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5-13 Electric Schedule 120 - Conservation Service Rider (UE-25XXXX) (Eff. 05-01-25)\Sent to UTC 2-28-25\"/>
    </mc:Choice>
  </mc:AlternateContent>
  <bookViews>
    <workbookView xWindow="375" yWindow="45" windowWidth="25245" windowHeight="13980" tabRatio="847"/>
  </bookViews>
  <sheets>
    <sheet name="Sch 120 Rates" sheetId="95" r:id="rId1"/>
    <sheet name="Lighting Rates" sheetId="94" r:id="rId2"/>
    <sheet name="Rate Impacts" sheetId="38" r:id="rId3"/>
    <sheet name="Workpapers&gt;" sheetId="89" r:id="rId4"/>
    <sheet name="Lighting RD" sheetId="76" r:id="rId5"/>
    <sheet name="Rate Spread &amp; Design" sheetId="87" r:id="rId6"/>
    <sheet name="Energy and Demand Allocation" sheetId="96" r:id="rId7"/>
    <sheet name="Inputs" sheetId="88" r:id="rId8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CURRENT" hidden="1">#REF!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A166" i="94" l="1"/>
  <c r="A167" i="94" s="1"/>
  <c r="A168" i="94" s="1"/>
  <c r="A169" i="94" s="1"/>
  <c r="B69" i="95" l="1"/>
  <c r="C69" i="95"/>
  <c r="O36" i="38"/>
  <c r="A10" i="96" l="1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A25" i="96" s="1"/>
  <c r="A26" i="96" s="1"/>
  <c r="A27" i="96" s="1"/>
  <c r="A28" i="96" s="1"/>
  <c r="A29" i="96" s="1"/>
  <c r="B4" i="88"/>
  <c r="A3" i="94" s="1"/>
  <c r="K44" i="38"/>
  <c r="G30" i="38"/>
  <c r="G34" i="38"/>
  <c r="G32" i="38"/>
  <c r="G27" i="38"/>
  <c r="G26" i="38"/>
  <c r="G22" i="38"/>
  <c r="G21" i="38"/>
  <c r="G20" i="38"/>
  <c r="C67" i="95"/>
  <c r="C66" i="95"/>
  <c r="C63" i="95"/>
  <c r="C62" i="95"/>
  <c r="C58" i="95"/>
  <c r="C56" i="95"/>
  <c r="A3" i="76"/>
  <c r="A4" i="76"/>
  <c r="A10" i="76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41" i="76" s="1"/>
  <c r="A42" i="76" s="1"/>
  <c r="A43" i="76" s="1"/>
  <c r="A44" i="76" s="1"/>
  <c r="A45" i="76" s="1"/>
  <c r="A46" i="76" s="1"/>
  <c r="A47" i="76" s="1"/>
  <c r="A48" i="76" s="1"/>
  <c r="A49" i="76" s="1"/>
  <c r="A50" i="76" s="1"/>
  <c r="A51" i="76" s="1"/>
  <c r="A52" i="76" s="1"/>
  <c r="A53" i="76" s="1"/>
  <c r="A54" i="76" s="1"/>
  <c r="A55" i="76" s="1"/>
  <c r="A56" i="76" s="1"/>
  <c r="A57" i="76" s="1"/>
  <c r="A58" i="76" s="1"/>
  <c r="A59" i="76" s="1"/>
  <c r="A60" i="76" s="1"/>
  <c r="A61" i="76" s="1"/>
  <c r="A62" i="76" s="1"/>
  <c r="A63" i="76" s="1"/>
  <c r="A64" i="76" s="1"/>
  <c r="A65" i="76" s="1"/>
  <c r="A66" i="76" s="1"/>
  <c r="A67" i="76" s="1"/>
  <c r="A68" i="76" s="1"/>
  <c r="A69" i="76" s="1"/>
  <c r="A70" i="76" s="1"/>
  <c r="A71" i="76" s="1"/>
  <c r="A72" i="76" s="1"/>
  <c r="A73" i="76" s="1"/>
  <c r="A74" i="76" s="1"/>
  <c r="A75" i="76" s="1"/>
  <c r="A76" i="76" s="1"/>
  <c r="A77" i="76" s="1"/>
  <c r="A78" i="76" s="1"/>
  <c r="A79" i="76" s="1"/>
  <c r="A80" i="76" s="1"/>
  <c r="A81" i="76" s="1"/>
  <c r="A82" i="76" s="1"/>
  <c r="A83" i="76" s="1"/>
  <c r="A84" i="76" s="1"/>
  <c r="A85" i="76" s="1"/>
  <c r="A86" i="76" s="1"/>
  <c r="A87" i="76" s="1"/>
  <c r="A88" i="76" s="1"/>
  <c r="A89" i="76" s="1"/>
  <c r="A90" i="76" s="1"/>
  <c r="A91" i="76" s="1"/>
  <c r="A92" i="76" s="1"/>
  <c r="A93" i="76" s="1"/>
  <c r="A94" i="76" s="1"/>
  <c r="A95" i="76" s="1"/>
  <c r="A96" i="76" s="1"/>
  <c r="A97" i="76" s="1"/>
  <c r="A98" i="76" s="1"/>
  <c r="A99" i="76" s="1"/>
  <c r="A100" i="76" s="1"/>
  <c r="A101" i="76" s="1"/>
  <c r="A102" i="76" s="1"/>
  <c r="A103" i="76" s="1"/>
  <c r="A104" i="76" s="1"/>
  <c r="A105" i="76" s="1"/>
  <c r="A106" i="76" s="1"/>
  <c r="A107" i="76" s="1"/>
  <c r="A108" i="76" s="1"/>
  <c r="A109" i="76" s="1"/>
  <c r="A110" i="76" s="1"/>
  <c r="A111" i="76" s="1"/>
  <c r="A112" i="76" s="1"/>
  <c r="A113" i="76" s="1"/>
  <c r="A114" i="76" s="1"/>
  <c r="A115" i="76" s="1"/>
  <c r="A116" i="76" s="1"/>
  <c r="A117" i="76" s="1"/>
  <c r="A118" i="76" s="1"/>
  <c r="A119" i="76" s="1"/>
  <c r="A120" i="76" s="1"/>
  <c r="A121" i="76" s="1"/>
  <c r="A122" i="76" s="1"/>
  <c r="A123" i="76" s="1"/>
  <c r="A124" i="76" s="1"/>
  <c r="A125" i="76" s="1"/>
  <c r="A126" i="76" s="1"/>
  <c r="A127" i="76" s="1"/>
  <c r="A128" i="76" s="1"/>
  <c r="A129" i="76" s="1"/>
  <c r="A130" i="76" s="1"/>
  <c r="A131" i="76" s="1"/>
  <c r="A132" i="76" s="1"/>
  <c r="A133" i="76" s="1"/>
  <c r="A134" i="76" s="1"/>
  <c r="A135" i="76" s="1"/>
  <c r="A136" i="76" s="1"/>
  <c r="A137" i="76" s="1"/>
  <c r="A138" i="76" s="1"/>
  <c r="A139" i="76" s="1"/>
  <c r="A140" i="76" s="1"/>
  <c r="A141" i="76" s="1"/>
  <c r="A142" i="76" s="1"/>
  <c r="A143" i="76" s="1"/>
  <c r="A144" i="76" s="1"/>
  <c r="A145" i="76" s="1"/>
  <c r="A146" i="76" s="1"/>
  <c r="A147" i="76" s="1"/>
  <c r="A148" i="76" s="1"/>
  <c r="A149" i="76" s="1"/>
  <c r="A150" i="76" s="1"/>
  <c r="A151" i="76" s="1"/>
  <c r="A152" i="76" s="1"/>
  <c r="A153" i="76" s="1"/>
  <c r="A154" i="76" s="1"/>
  <c r="A155" i="76" s="1"/>
  <c r="A156" i="76" s="1"/>
  <c r="A157" i="76" s="1"/>
  <c r="A158" i="76" s="1"/>
  <c r="A159" i="76" s="1"/>
  <c r="A160" i="76" s="1"/>
  <c r="A161" i="76" s="1"/>
  <c r="A162" i="76" s="1"/>
  <c r="A163" i="76" s="1"/>
  <c r="A164" i="76" s="1"/>
  <c r="A165" i="76" s="1"/>
  <c r="A166" i="76" s="1"/>
  <c r="A167" i="76" s="1"/>
  <c r="A168" i="76" s="1"/>
  <c r="A169" i="76" s="1"/>
  <c r="A170" i="76" s="1"/>
  <c r="B14" i="76"/>
  <c r="B15" i="76" s="1"/>
  <c r="B16" i="76" s="1"/>
  <c r="B33" i="76"/>
  <c r="B34" i="76" s="1"/>
  <c r="B35" i="76" s="1"/>
  <c r="B36" i="76" s="1"/>
  <c r="C45" i="76"/>
  <c r="C46" i="76" s="1"/>
  <c r="C47" i="76" s="1"/>
  <c r="B51" i="76"/>
  <c r="B52" i="76" s="1"/>
  <c r="B53" i="76" s="1"/>
  <c r="B54" i="76" s="1"/>
  <c r="B55" i="76" s="1"/>
  <c r="B56" i="76" s="1"/>
  <c r="B57" i="76" s="1"/>
  <c r="B58" i="76" s="1"/>
  <c r="B60" i="76" s="1"/>
  <c r="B61" i="76" s="1"/>
  <c r="B62" i="76" s="1"/>
  <c r="B63" i="76" s="1"/>
  <c r="B64" i="76" s="1"/>
  <c r="B81" i="76"/>
  <c r="B82" i="76" s="1"/>
  <c r="B83" i="76" s="1"/>
  <c r="B84" i="76" s="1"/>
  <c r="B85" i="76" s="1"/>
  <c r="B86" i="76" s="1"/>
  <c r="B87" i="76" s="1"/>
  <c r="B103" i="76"/>
  <c r="B104" i="76" s="1"/>
  <c r="B105" i="76" s="1"/>
  <c r="B106" i="76" s="1"/>
  <c r="B107" i="76" s="1"/>
  <c r="B109" i="76" s="1"/>
  <c r="B127" i="76"/>
  <c r="B128" i="76" s="1"/>
  <c r="B129" i="76" s="1"/>
  <c r="B130" i="76" s="1"/>
  <c r="B131" i="76" s="1"/>
  <c r="B134" i="76"/>
  <c r="B135" i="76" s="1"/>
  <c r="B136" i="76" s="1"/>
  <c r="B137" i="76" s="1"/>
  <c r="B144" i="76"/>
  <c r="B145" i="76" s="1"/>
  <c r="B149" i="76"/>
  <c r="B150" i="76" s="1"/>
  <c r="B151" i="76" s="1"/>
  <c r="B152" i="76" s="1"/>
  <c r="B153" i="76" s="1"/>
  <c r="B154" i="76" s="1"/>
  <c r="B155" i="76" s="1"/>
  <c r="B156" i="76" s="1"/>
  <c r="B157" i="76" s="1"/>
  <c r="B158" i="76" s="1"/>
  <c r="B159" i="76" s="1"/>
  <c r="B160" i="76" s="1"/>
  <c r="B161" i="76" s="1"/>
  <c r="B162" i="76" s="1"/>
  <c r="A2" i="95"/>
  <c r="A11" i="95"/>
  <c r="A12" i="95" s="1"/>
  <c r="A13" i="95" s="1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A42" i="95" s="1"/>
  <c r="A43" i="95" s="1"/>
  <c r="A44" i="95" s="1"/>
  <c r="A45" i="95" s="1"/>
  <c r="A46" i="95" s="1"/>
  <c r="A47" i="95" s="1"/>
  <c r="A48" i="95" s="1"/>
  <c r="A49" i="95" s="1"/>
  <c r="A50" i="95" s="1"/>
  <c r="A51" i="95" s="1"/>
  <c r="A52" i="95" s="1"/>
  <c r="A53" i="95" s="1"/>
  <c r="A54" i="95" s="1"/>
  <c r="A55" i="95" s="1"/>
  <c r="A56" i="95" s="1"/>
  <c r="A57" i="95" s="1"/>
  <c r="A58" i="95" s="1"/>
  <c r="A59" i="95" s="1"/>
  <c r="A60" i="95" s="1"/>
  <c r="A61" i="95" s="1"/>
  <c r="A62" i="95" s="1"/>
  <c r="A63" i="95" s="1"/>
  <c r="A64" i="95" s="1"/>
  <c r="A65" i="95" s="1"/>
  <c r="A66" i="95" s="1"/>
  <c r="A67" i="95" s="1"/>
  <c r="A68" i="95" s="1"/>
  <c r="A69" i="95" s="1"/>
  <c r="A70" i="95" s="1"/>
  <c r="A71" i="95" s="1"/>
  <c r="A72" i="95" s="1"/>
  <c r="A73" i="95" s="1"/>
  <c r="A74" i="95" s="1"/>
  <c r="A75" i="95" s="1"/>
  <c r="C45" i="95"/>
  <c r="C48" i="95"/>
  <c r="C49" i="95"/>
  <c r="C50" i="95"/>
  <c r="G16" i="95"/>
  <c r="C51" i="95"/>
  <c r="C52" i="95"/>
  <c r="C57" i="95"/>
  <c r="C68" i="95"/>
  <c r="C73" i="95"/>
  <c r="B45" i="95"/>
  <c r="F45" i="95"/>
  <c r="B47" i="95"/>
  <c r="B48" i="95"/>
  <c r="F48" i="95"/>
  <c r="B49" i="95"/>
  <c r="F49" i="95"/>
  <c r="B50" i="95"/>
  <c r="D50" i="95"/>
  <c r="F50" i="95" s="1"/>
  <c r="E50" i="95"/>
  <c r="B51" i="95"/>
  <c r="F51" i="95"/>
  <c r="B52" i="95"/>
  <c r="F52" i="95"/>
  <c r="B53" i="95"/>
  <c r="B55" i="95"/>
  <c r="B56" i="95"/>
  <c r="F56" i="95"/>
  <c r="B57" i="95"/>
  <c r="F57" i="95"/>
  <c r="B58" i="95"/>
  <c r="F58" i="95"/>
  <c r="B59" i="95"/>
  <c r="B61" i="95"/>
  <c r="B62" i="95"/>
  <c r="F62" i="95"/>
  <c r="B63" i="95"/>
  <c r="F63" i="95"/>
  <c r="B64" i="95"/>
  <c r="B66" i="95"/>
  <c r="F66" i="95"/>
  <c r="B67" i="95"/>
  <c r="F67" i="95"/>
  <c r="B68" i="95"/>
  <c r="F68" i="95"/>
  <c r="B71" i="95"/>
  <c r="B73" i="95"/>
  <c r="F73" i="95"/>
  <c r="B75" i="95"/>
  <c r="A4" i="94"/>
  <c r="A10" i="94"/>
  <c r="A11" i="94" s="1"/>
  <c r="A12" i="94" s="1"/>
  <c r="A13" i="94" s="1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1" i="94" s="1"/>
  <c r="A62" i="94" s="1"/>
  <c r="A63" i="94" s="1"/>
  <c r="A64" i="94" s="1"/>
  <c r="A65" i="94" s="1"/>
  <c r="A66" i="94" s="1"/>
  <c r="A67" i="94" s="1"/>
  <c r="A68" i="94" s="1"/>
  <c r="A69" i="94" s="1"/>
  <c r="A70" i="94" s="1"/>
  <c r="A71" i="94" s="1"/>
  <c r="A72" i="94" s="1"/>
  <c r="A73" i="94" s="1"/>
  <c r="A74" i="94" s="1"/>
  <c r="A75" i="94" s="1"/>
  <c r="A76" i="94" s="1"/>
  <c r="A77" i="94" s="1"/>
  <c r="A78" i="94" s="1"/>
  <c r="A79" i="94" s="1"/>
  <c r="A80" i="94" s="1"/>
  <c r="A81" i="94" s="1"/>
  <c r="A82" i="94" s="1"/>
  <c r="A83" i="94" s="1"/>
  <c r="A84" i="94" s="1"/>
  <c r="A85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7" i="94" s="1"/>
  <c r="A98" i="94" s="1"/>
  <c r="A99" i="94" s="1"/>
  <c r="A100" i="94" s="1"/>
  <c r="A101" i="94" s="1"/>
  <c r="A102" i="94" s="1"/>
  <c r="A103" i="94" s="1"/>
  <c r="A104" i="94" s="1"/>
  <c r="A105" i="94" s="1"/>
  <c r="A106" i="94" s="1"/>
  <c r="A107" i="94" s="1"/>
  <c r="A108" i="94" s="1"/>
  <c r="A109" i="94" s="1"/>
  <c r="A110" i="94" s="1"/>
  <c r="A111" i="94" s="1"/>
  <c r="A112" i="94" s="1"/>
  <c r="A113" i="94" s="1"/>
  <c r="A114" i="94" s="1"/>
  <c r="A115" i="94" s="1"/>
  <c r="A116" i="94" s="1"/>
  <c r="A117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4" i="94" s="1"/>
  <c r="A145" i="94" s="1"/>
  <c r="A146" i="94" s="1"/>
  <c r="A147" i="94" s="1"/>
  <c r="A148" i="94" s="1"/>
  <c r="A149" i="94" s="1"/>
  <c r="A150" i="94" s="1"/>
  <c r="A151" i="94" s="1"/>
  <c r="A152" i="94" s="1"/>
  <c r="A153" i="94" s="1"/>
  <c r="A154" i="94" s="1"/>
  <c r="A155" i="94" s="1"/>
  <c r="A156" i="94" s="1"/>
  <c r="A157" i="94" s="1"/>
  <c r="A158" i="94" s="1"/>
  <c r="A159" i="94" s="1"/>
  <c r="A160" i="94" s="1"/>
  <c r="A161" i="94" s="1"/>
  <c r="A162" i="94" s="1"/>
  <c r="A163" i="94" s="1"/>
  <c r="A164" i="94" s="1"/>
  <c r="A165" i="94" s="1"/>
  <c r="A170" i="94" s="1"/>
  <c r="A171" i="94" s="1"/>
  <c r="A172" i="94" s="1"/>
  <c r="A173" i="94" s="1"/>
  <c r="A174" i="94" s="1"/>
  <c r="A175" i="94" s="1"/>
  <c r="A176" i="94" s="1"/>
  <c r="A177" i="94" s="1"/>
  <c r="D22" i="95"/>
  <c r="D23" i="95"/>
  <c r="D24" i="95"/>
  <c r="D28" i="95"/>
  <c r="D29" i="95"/>
  <c r="D32" i="95"/>
  <c r="D33" i="95"/>
  <c r="D34" i="95"/>
  <c r="J44" i="38"/>
  <c r="D11" i="95"/>
  <c r="D14" i="95"/>
  <c r="D15" i="95"/>
  <c r="D16" i="95" s="1"/>
  <c r="D17" i="95"/>
  <c r="D18" i="95"/>
  <c r="I44" i="38"/>
  <c r="A4" i="87"/>
  <c r="G7" i="38"/>
  <c r="F7" i="87"/>
  <c r="E38" i="87"/>
  <c r="E40" i="87" s="1"/>
  <c r="E43" i="87" s="1"/>
  <c r="E44" i="87" s="1"/>
  <c r="G34" i="87" s="1"/>
  <c r="G16" i="38"/>
  <c r="G10" i="38"/>
  <c r="G14" i="38"/>
  <c r="G13" i="38"/>
  <c r="A4" i="38"/>
  <c r="A10" i="38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3" i="87"/>
  <c r="A3" i="38"/>
  <c r="A9" i="87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A34" i="87" s="1"/>
  <c r="A35" i="87" s="1"/>
  <c r="A36" i="87" s="1"/>
  <c r="A37" i="87" s="1"/>
  <c r="A38" i="87" s="1"/>
  <c r="A39" i="87" s="1"/>
  <c r="A40" i="87" s="1"/>
  <c r="A41" i="87" s="1"/>
  <c r="A42" i="87" s="1"/>
  <c r="A43" i="87" s="1"/>
  <c r="A44" i="87" s="1"/>
  <c r="A45" i="87" s="1"/>
  <c r="B139" i="76" l="1"/>
  <c r="B140" i="76" s="1"/>
  <c r="B141" i="76" s="1"/>
  <c r="B142" i="76" s="1"/>
  <c r="B90" i="76"/>
  <c r="B88" i="76"/>
  <c r="B91" i="76" s="1"/>
  <c r="B92" i="76" s="1"/>
  <c r="B93" i="76" s="1"/>
  <c r="B94" i="76" s="1"/>
  <c r="B95" i="76" s="1"/>
  <c r="B96" i="76" s="1"/>
  <c r="B97" i="76" s="1"/>
  <c r="B98" i="76" s="1"/>
  <c r="B99" i="76" s="1"/>
  <c r="B37" i="76"/>
  <c r="B41" i="76"/>
  <c r="B67" i="76"/>
  <c r="B65" i="76"/>
  <c r="B68" i="76" s="1"/>
  <c r="B69" i="76" s="1"/>
  <c r="B70" i="76" s="1"/>
  <c r="B71" i="76" s="1"/>
  <c r="B72" i="76" s="1"/>
  <c r="B73" i="76" s="1"/>
  <c r="B74" i="76" s="1"/>
  <c r="B75" i="76" s="1"/>
  <c r="B76" i="76" s="1"/>
  <c r="D27" i="96"/>
  <c r="E15" i="96" s="1"/>
  <c r="G15" i="96" s="1"/>
  <c r="K28" i="38"/>
  <c r="G23" i="38"/>
  <c r="H23" i="38" s="1"/>
  <c r="I27" i="96"/>
  <c r="G28" i="38"/>
  <c r="H28" i="38" s="1"/>
  <c r="G15" i="38"/>
  <c r="G17" i="38" s="1"/>
  <c r="E34" i="87"/>
  <c r="J30" i="38"/>
  <c r="G44" i="38"/>
  <c r="K17" i="38"/>
  <c r="K23" i="38"/>
  <c r="E21" i="96" l="1"/>
  <c r="G21" i="96" s="1"/>
  <c r="E25" i="96"/>
  <c r="G25" i="96" s="1"/>
  <c r="D36" i="96"/>
  <c r="E10" i="96"/>
  <c r="G10" i="96" s="1"/>
  <c r="B42" i="76"/>
  <c r="B38" i="76"/>
  <c r="E9" i="96"/>
  <c r="G9" i="96" s="1"/>
  <c r="E12" i="96"/>
  <c r="G12" i="96" s="1"/>
  <c r="E20" i="96"/>
  <c r="G20" i="96" s="1"/>
  <c r="E16" i="96"/>
  <c r="G16" i="96" s="1"/>
  <c r="E13" i="96"/>
  <c r="G13" i="96" s="1"/>
  <c r="E18" i="96"/>
  <c r="G18" i="96" s="1"/>
  <c r="E14" i="96"/>
  <c r="G14" i="96" s="1"/>
  <c r="E11" i="96"/>
  <c r="G11" i="96" s="1"/>
  <c r="H17" i="38"/>
  <c r="G38" i="38"/>
  <c r="J21" i="96"/>
  <c r="L21" i="96" s="1"/>
  <c r="N21" i="96" s="1"/>
  <c r="D22" i="87" s="1"/>
  <c r="E22" i="87" s="1"/>
  <c r="G22" i="87" s="1"/>
  <c r="J14" i="96"/>
  <c r="L14" i="96" s="1"/>
  <c r="J18" i="96"/>
  <c r="L18" i="96" s="1"/>
  <c r="J9" i="96"/>
  <c r="J12" i="96"/>
  <c r="L12" i="96" s="1"/>
  <c r="J16" i="96"/>
  <c r="L16" i="96" s="1"/>
  <c r="J11" i="96"/>
  <c r="L11" i="96" s="1"/>
  <c r="J25" i="96"/>
  <c r="L25" i="96" s="1"/>
  <c r="N25" i="96" s="1"/>
  <c r="D26" i="87" s="1"/>
  <c r="E26" i="87" s="1"/>
  <c r="J13" i="96"/>
  <c r="L13" i="96" s="1"/>
  <c r="J15" i="96"/>
  <c r="L15" i="96" s="1"/>
  <c r="N15" i="96" s="1"/>
  <c r="D18" i="87" s="1"/>
  <c r="E18" i="87" s="1"/>
  <c r="G18" i="87" s="1"/>
  <c r="I36" i="96"/>
  <c r="J10" i="96"/>
  <c r="L10" i="96" s="1"/>
  <c r="J20" i="96"/>
  <c r="L20" i="96" s="1"/>
  <c r="K38" i="38"/>
  <c r="M30" i="38"/>
  <c r="N30" i="38" s="1"/>
  <c r="O30" i="38" s="1"/>
  <c r="E32" i="95"/>
  <c r="F32" i="95" s="1"/>
  <c r="N10" i="96" l="1"/>
  <c r="D12" i="87" s="1"/>
  <c r="E12" i="87" s="1"/>
  <c r="G12" i="87" s="1"/>
  <c r="J13" i="38" s="1"/>
  <c r="H38" i="38"/>
  <c r="N13" i="96"/>
  <c r="D15" i="87" s="1"/>
  <c r="E15" i="87" s="1"/>
  <c r="G15" i="87" s="1"/>
  <c r="J16" i="38" s="1"/>
  <c r="N12" i="96"/>
  <c r="D14" i="87" s="1"/>
  <c r="E14" i="87" s="1"/>
  <c r="G14" i="87" s="1"/>
  <c r="J15" i="38" s="1"/>
  <c r="N16" i="96"/>
  <c r="D19" i="87" s="1"/>
  <c r="E19" i="87" s="1"/>
  <c r="G19" i="87" s="1"/>
  <c r="J22" i="38" s="1"/>
  <c r="N20" i="96"/>
  <c r="D21" i="87" s="1"/>
  <c r="E21" i="87" s="1"/>
  <c r="G21" i="87" s="1"/>
  <c r="J26" i="38" s="1"/>
  <c r="N14" i="96"/>
  <c r="D17" i="87" s="1"/>
  <c r="E17" i="87" s="1"/>
  <c r="G17" i="87" s="1"/>
  <c r="J20" i="38" s="1"/>
  <c r="B39" i="76"/>
  <c r="B44" i="76" s="1"/>
  <c r="B45" i="76" s="1"/>
  <c r="B46" i="76" s="1"/>
  <c r="B47" i="76" s="1"/>
  <c r="B43" i="76"/>
  <c r="E27" i="96"/>
  <c r="N18" i="96"/>
  <c r="D24" i="87" s="1"/>
  <c r="E24" i="87" s="1"/>
  <c r="G24" i="87" s="1"/>
  <c r="J32" i="38" s="1"/>
  <c r="N11" i="96"/>
  <c r="D13" i="87" s="1"/>
  <c r="E13" i="87" s="1"/>
  <c r="G13" i="87" s="1"/>
  <c r="J14" i="38" s="1"/>
  <c r="H166" i="76"/>
  <c r="G26" i="87"/>
  <c r="G27" i="96"/>
  <c r="J27" i="96"/>
  <c r="L9" i="96"/>
  <c r="L27" i="96" s="1"/>
  <c r="H18" i="87"/>
  <c r="J21" i="38"/>
  <c r="J27" i="38"/>
  <c r="H22" i="87"/>
  <c r="H13" i="87" l="1"/>
  <c r="H24" i="87"/>
  <c r="H15" i="87"/>
  <c r="H17" i="87"/>
  <c r="H21" i="87"/>
  <c r="H14" i="87"/>
  <c r="H19" i="87"/>
  <c r="G28" i="87"/>
  <c r="H12" i="87"/>
  <c r="M13" i="38"/>
  <c r="J17" i="38"/>
  <c r="E14" i="95"/>
  <c r="F14" i="95" s="1"/>
  <c r="E23" i="95"/>
  <c r="F23" i="95" s="1"/>
  <c r="M21" i="38"/>
  <c r="N21" i="38" s="1"/>
  <c r="O21" i="38" s="1"/>
  <c r="E24" i="95"/>
  <c r="F24" i="95" s="1"/>
  <c r="M22" i="38"/>
  <c r="N22" i="38" s="1"/>
  <c r="O22" i="38" s="1"/>
  <c r="M20" i="38"/>
  <c r="J23" i="38"/>
  <c r="E22" i="95"/>
  <c r="F22" i="95" s="1"/>
  <c r="E33" i="95"/>
  <c r="F33" i="95" s="1"/>
  <c r="M32" i="38"/>
  <c r="N32" i="38" s="1"/>
  <c r="O32" i="38" s="1"/>
  <c r="E29" i="95"/>
  <c r="F29" i="95" s="1"/>
  <c r="M27" i="38"/>
  <c r="N27" i="38" s="1"/>
  <c r="O27" i="38" s="1"/>
  <c r="N9" i="96"/>
  <c r="E15" i="95"/>
  <c r="M14" i="38"/>
  <c r="N14" i="38" s="1"/>
  <c r="O14" i="38" s="1"/>
  <c r="J28" i="38"/>
  <c r="E28" i="95"/>
  <c r="F28" i="95" s="1"/>
  <c r="M26" i="38"/>
  <c r="E18" i="95"/>
  <c r="F18" i="95" s="1"/>
  <c r="M16" i="38"/>
  <c r="N16" i="38" s="1"/>
  <c r="O16" i="38" s="1"/>
  <c r="H26" i="87"/>
  <c r="J34" i="38"/>
  <c r="E17" i="95"/>
  <c r="F17" i="95" s="1"/>
  <c r="M15" i="38"/>
  <c r="N15" i="38" s="1"/>
  <c r="O15" i="38" s="1"/>
  <c r="F77" i="76" l="1"/>
  <c r="F29" i="76"/>
  <c r="N11" i="76"/>
  <c r="J36" i="38"/>
  <c r="M36" i="38" s="1"/>
  <c r="N36" i="38" s="1"/>
  <c r="E35" i="95"/>
  <c r="F35" i="95" s="1"/>
  <c r="E34" i="95"/>
  <c r="F34" i="95" s="1"/>
  <c r="M34" i="38"/>
  <c r="N34" i="38" s="1"/>
  <c r="O34" i="38" s="1"/>
  <c r="N27" i="96"/>
  <c r="D10" i="87"/>
  <c r="E10" i="87" s="1"/>
  <c r="E16" i="95"/>
  <c r="F16" i="95" s="1"/>
  <c r="F15" i="95"/>
  <c r="M28" i="38"/>
  <c r="N26" i="38"/>
  <c r="N20" i="38"/>
  <c r="M23" i="38"/>
  <c r="N13" i="38"/>
  <c r="M17" i="38"/>
  <c r="N12" i="76" l="1"/>
  <c r="D170" i="94"/>
  <c r="O11" i="76"/>
  <c r="C170" i="94" s="1"/>
  <c r="D30" i="94"/>
  <c r="H29" i="76"/>
  <c r="D79" i="94"/>
  <c r="H77" i="76"/>
  <c r="N28" i="38"/>
  <c r="O28" i="38" s="1"/>
  <c r="O26" i="38"/>
  <c r="G10" i="87"/>
  <c r="E31" i="87"/>
  <c r="H30" i="87"/>
  <c r="N17" i="38"/>
  <c r="O17" i="38" s="1"/>
  <c r="O13" i="38"/>
  <c r="N23" i="38"/>
  <c r="O23" i="38" s="1"/>
  <c r="O20" i="38"/>
  <c r="N13" i="76" l="1"/>
  <c r="D171" i="94"/>
  <c r="O12" i="76"/>
  <c r="C171" i="94" s="1"/>
  <c r="J10" i="38"/>
  <c r="H10" i="87"/>
  <c r="N14" i="76" l="1"/>
  <c r="D172" i="94"/>
  <c r="O13" i="76"/>
  <c r="C172" i="94" s="1"/>
  <c r="E11" i="95"/>
  <c r="F11" i="95" s="1"/>
  <c r="M10" i="38"/>
  <c r="L44" i="38"/>
  <c r="M44" i="38" s="1"/>
  <c r="N44" i="38" s="1"/>
  <c r="O44" i="38" s="1"/>
  <c r="J38" i="38"/>
  <c r="N15" i="76" l="1"/>
  <c r="D173" i="94"/>
  <c r="O14" i="76"/>
  <c r="C173" i="94" s="1"/>
  <c r="N10" i="38"/>
  <c r="M38" i="38"/>
  <c r="N16" i="76" l="1"/>
  <c r="D174" i="94"/>
  <c r="O15" i="76"/>
  <c r="C174" i="94" s="1"/>
  <c r="O10" i="38"/>
  <c r="N38" i="38"/>
  <c r="O38" i="38" s="1"/>
  <c r="N17" i="76" l="1"/>
  <c r="D175" i="94"/>
  <c r="O16" i="76"/>
  <c r="C175" i="94" s="1"/>
  <c r="F123" i="76"/>
  <c r="F11" i="76"/>
  <c r="N18" i="76" l="1"/>
  <c r="D176" i="94"/>
  <c r="O17" i="76"/>
  <c r="C176" i="94" s="1"/>
  <c r="D11" i="94"/>
  <c r="H11" i="76"/>
  <c r="D125" i="94"/>
  <c r="H123" i="76"/>
  <c r="F44" i="76"/>
  <c r="F42" i="76"/>
  <c r="F23" i="76"/>
  <c r="F32" i="76"/>
  <c r="F54" i="76"/>
  <c r="F97" i="76"/>
  <c r="F21" i="76"/>
  <c r="F27" i="76"/>
  <c r="F34" i="76"/>
  <c r="F67" i="76"/>
  <c r="F39" i="76"/>
  <c r="F158" i="76"/>
  <c r="F150" i="76"/>
  <c r="F99" i="76"/>
  <c r="F65" i="76"/>
  <c r="F16" i="76"/>
  <c r="F81" i="76"/>
  <c r="F84" i="76"/>
  <c r="F134" i="76"/>
  <c r="F154" i="76"/>
  <c r="F136" i="76"/>
  <c r="F96" i="76"/>
  <c r="F106" i="76"/>
  <c r="F95" i="76"/>
  <c r="F118" i="76"/>
  <c r="F57" i="76"/>
  <c r="F147" i="76"/>
  <c r="F37" i="76"/>
  <c r="F41" i="76"/>
  <c r="F68" i="76"/>
  <c r="F128" i="76"/>
  <c r="F51" i="76"/>
  <c r="F60" i="76"/>
  <c r="F20" i="76"/>
  <c r="F35" i="76"/>
  <c r="F88" i="76"/>
  <c r="F55" i="76"/>
  <c r="F83" i="76"/>
  <c r="F25" i="76"/>
  <c r="F73" i="76"/>
  <c r="F144" i="76"/>
  <c r="F114" i="76"/>
  <c r="F139" i="76"/>
  <c r="F61" i="76"/>
  <c r="F74" i="76"/>
  <c r="F112" i="76"/>
  <c r="F107" i="76"/>
  <c r="F160" i="76"/>
  <c r="F85" i="76"/>
  <c r="F149" i="76"/>
  <c r="F104" i="76"/>
  <c r="F140" i="76"/>
  <c r="F98" i="76"/>
  <c r="F56" i="76"/>
  <c r="F102" i="76"/>
  <c r="F133" i="76"/>
  <c r="F19" i="76"/>
  <c r="F53" i="76"/>
  <c r="F156" i="76"/>
  <c r="F157" i="76"/>
  <c r="F111" i="76"/>
  <c r="F28" i="76"/>
  <c r="F26" i="76"/>
  <c r="F91" i="76"/>
  <c r="F142" i="76"/>
  <c r="F137" i="76"/>
  <c r="F130" i="76"/>
  <c r="F62" i="76"/>
  <c r="F87" i="76"/>
  <c r="F71" i="76"/>
  <c r="F72" i="76"/>
  <c r="F14" i="76"/>
  <c r="F76" i="76"/>
  <c r="F86" i="76"/>
  <c r="F90" i="76"/>
  <c r="F103" i="76"/>
  <c r="F120" i="76"/>
  <c r="F33" i="76"/>
  <c r="F58" i="76"/>
  <c r="F93" i="76"/>
  <c r="F13" i="76"/>
  <c r="F15" i="76"/>
  <c r="F113" i="76"/>
  <c r="F127" i="76"/>
  <c r="F69" i="76"/>
  <c r="F82" i="76"/>
  <c r="F129" i="76"/>
  <c r="F75" i="76"/>
  <c r="F105" i="76"/>
  <c r="F126" i="76"/>
  <c r="F109" i="76"/>
  <c r="F70" i="76"/>
  <c r="F159" i="76"/>
  <c r="F117" i="76"/>
  <c r="F152" i="76"/>
  <c r="F116" i="76"/>
  <c r="F52" i="76"/>
  <c r="F63" i="76"/>
  <c r="F43" i="76"/>
  <c r="F94" i="76"/>
  <c r="F155" i="76"/>
  <c r="F135" i="76"/>
  <c r="F47" i="76"/>
  <c r="F36" i="76"/>
  <c r="F64" i="76"/>
  <c r="F22" i="76"/>
  <c r="F131" i="76"/>
  <c r="F145" i="76"/>
  <c r="F162" i="76"/>
  <c r="F119" i="76"/>
  <c r="F80" i="76"/>
  <c r="F153" i="76"/>
  <c r="F115" i="76"/>
  <c r="F46" i="76"/>
  <c r="F24" i="76"/>
  <c r="F161" i="76"/>
  <c r="F151" i="76"/>
  <c r="F38" i="76"/>
  <c r="F148" i="76"/>
  <c r="F50" i="76"/>
  <c r="F45" i="76"/>
  <c r="F92" i="76"/>
  <c r="F141" i="76"/>
  <c r="D177" i="94" l="1"/>
  <c r="O18" i="76"/>
  <c r="C177" i="94" s="1"/>
  <c r="H80" i="76"/>
  <c r="D82" i="94"/>
  <c r="D131" i="94"/>
  <c r="H129" i="76"/>
  <c r="D137" i="94"/>
  <c r="H135" i="76"/>
  <c r="D119" i="94"/>
  <c r="H117" i="76"/>
  <c r="D111" i="94"/>
  <c r="H109" i="76"/>
  <c r="D76" i="94"/>
  <c r="H75" i="76"/>
  <c r="D59" i="94"/>
  <c r="H58" i="76"/>
  <c r="H120" i="76"/>
  <c r="D122" i="94"/>
  <c r="H62" i="76"/>
  <c r="D63" i="94"/>
  <c r="H28" i="76"/>
  <c r="D28" i="94"/>
  <c r="D109" i="94"/>
  <c r="H107" i="76"/>
  <c r="D69" i="94"/>
  <c r="H68" i="76"/>
  <c r="H65" i="76"/>
  <c r="D66" i="94"/>
  <c r="D40" i="94"/>
  <c r="H39" i="76"/>
  <c r="D27" i="94"/>
  <c r="H27" i="76"/>
  <c r="H131" i="76"/>
  <c r="D133" i="94"/>
  <c r="D161" i="94"/>
  <c r="H159" i="76"/>
  <c r="H72" i="76"/>
  <c r="D73" i="94"/>
  <c r="D54" i="94"/>
  <c r="H53" i="76"/>
  <c r="D57" i="94"/>
  <c r="H56" i="76"/>
  <c r="D151" i="94"/>
  <c r="H149" i="76"/>
  <c r="D62" i="94"/>
  <c r="H61" i="76"/>
  <c r="H55" i="76"/>
  <c r="D56" i="94"/>
  <c r="H60" i="76"/>
  <c r="D61" i="94"/>
  <c r="H51" i="76"/>
  <c r="D52" i="94"/>
  <c r="H95" i="76"/>
  <c r="D97" i="94"/>
  <c r="H96" i="76"/>
  <c r="D98" i="94"/>
  <c r="H84" i="76"/>
  <c r="D86" i="94"/>
  <c r="H99" i="76"/>
  <c r="D101" i="94"/>
  <c r="H21" i="76"/>
  <c r="D21" i="94"/>
  <c r="D33" i="94"/>
  <c r="H32" i="76"/>
  <c r="D43" i="94"/>
  <c r="H42" i="76"/>
  <c r="H141" i="76"/>
  <c r="D143" i="94"/>
  <c r="D37" i="94"/>
  <c r="H36" i="76"/>
  <c r="H64" i="76"/>
  <c r="D65" i="94"/>
  <c r="D155" i="94"/>
  <c r="H153" i="76"/>
  <c r="D147" i="94"/>
  <c r="H145" i="76"/>
  <c r="D44" i="94"/>
  <c r="H43" i="76"/>
  <c r="H69" i="76"/>
  <c r="D70" i="94"/>
  <c r="D150" i="94"/>
  <c r="H148" i="76"/>
  <c r="H155" i="76"/>
  <c r="D157" i="94"/>
  <c r="H33" i="76"/>
  <c r="D34" i="94"/>
  <c r="D132" i="94"/>
  <c r="H130" i="76"/>
  <c r="H19" i="76"/>
  <c r="D19" i="94"/>
  <c r="H98" i="76"/>
  <c r="D100" i="94"/>
  <c r="H85" i="76"/>
  <c r="D87" i="94"/>
  <c r="D42" i="94"/>
  <c r="H41" i="76"/>
  <c r="D58" i="94"/>
  <c r="H57" i="76"/>
  <c r="D68" i="94"/>
  <c r="H67" i="76"/>
  <c r="H127" i="76"/>
  <c r="D129" i="94"/>
  <c r="D94" i="94"/>
  <c r="H92" i="76"/>
  <c r="D46" i="94"/>
  <c r="H45" i="76"/>
  <c r="H38" i="76"/>
  <c r="D39" i="94"/>
  <c r="D15" i="94"/>
  <c r="H15" i="76"/>
  <c r="D77" i="94"/>
  <c r="H76" i="76"/>
  <c r="D72" i="94"/>
  <c r="H71" i="76"/>
  <c r="H91" i="76"/>
  <c r="D93" i="94"/>
  <c r="D113" i="94"/>
  <c r="H111" i="76"/>
  <c r="H139" i="76"/>
  <c r="D141" i="94"/>
  <c r="D74" i="94"/>
  <c r="H73" i="76"/>
  <c r="H88" i="76"/>
  <c r="D90" i="94"/>
  <c r="D138" i="94"/>
  <c r="H136" i="76"/>
  <c r="D83" i="94"/>
  <c r="H81" i="76"/>
  <c r="D152" i="94"/>
  <c r="H150" i="76"/>
  <c r="D35" i="94"/>
  <c r="H34" i="76"/>
  <c r="H44" i="76"/>
  <c r="D45" i="94"/>
  <c r="H157" i="76"/>
  <c r="D159" i="94"/>
  <c r="D135" i="94"/>
  <c r="H133" i="76"/>
  <c r="H112" i="76"/>
  <c r="D114" i="94"/>
  <c r="D75" i="94"/>
  <c r="H74" i="76"/>
  <c r="D25" i="94"/>
  <c r="H25" i="76"/>
  <c r="D130" i="94"/>
  <c r="H128" i="76"/>
  <c r="D38" i="94"/>
  <c r="H37" i="76"/>
  <c r="H16" i="76"/>
  <c r="D16" i="94"/>
  <c r="D99" i="94"/>
  <c r="H97" i="76"/>
  <c r="H140" i="76"/>
  <c r="D142" i="94"/>
  <c r="D116" i="94"/>
  <c r="H114" i="76"/>
  <c r="D156" i="94"/>
  <c r="H154" i="76"/>
  <c r="D160" i="94"/>
  <c r="H158" i="76"/>
  <c r="D23" i="94"/>
  <c r="H23" i="76"/>
  <c r="D24" i="94"/>
  <c r="H24" i="76"/>
  <c r="H63" i="76"/>
  <c r="D64" i="94"/>
  <c r="D13" i="94"/>
  <c r="H13" i="76"/>
  <c r="H103" i="76"/>
  <c r="D105" i="94"/>
  <c r="D139" i="94"/>
  <c r="H137" i="76"/>
  <c r="H50" i="76"/>
  <c r="D51" i="94"/>
  <c r="D47" i="94"/>
  <c r="H46" i="76"/>
  <c r="H94" i="76"/>
  <c r="D96" i="94"/>
  <c r="H52" i="76"/>
  <c r="D53" i="94"/>
  <c r="D154" i="94"/>
  <c r="H152" i="76"/>
  <c r="D107" i="94"/>
  <c r="H105" i="76"/>
  <c r="D153" i="94"/>
  <c r="H151" i="76"/>
  <c r="H119" i="76"/>
  <c r="D121" i="94"/>
  <c r="H22" i="76"/>
  <c r="D22" i="94"/>
  <c r="H70" i="76"/>
  <c r="D71" i="94"/>
  <c r="D84" i="94"/>
  <c r="H82" i="76"/>
  <c r="H113" i="76"/>
  <c r="D115" i="94"/>
  <c r="H93" i="76"/>
  <c r="D95" i="94"/>
  <c r="D92" i="94"/>
  <c r="H90" i="76"/>
  <c r="H14" i="76"/>
  <c r="D14" i="94"/>
  <c r="H87" i="76"/>
  <c r="D89" i="94"/>
  <c r="H142" i="76"/>
  <c r="D144" i="94"/>
  <c r="H26" i="76"/>
  <c r="D26" i="94"/>
  <c r="H35" i="76"/>
  <c r="D36" i="94"/>
  <c r="H118" i="76"/>
  <c r="D120" i="94"/>
  <c r="H161" i="76"/>
  <c r="D163" i="94"/>
  <c r="H115" i="76"/>
  <c r="D117" i="94"/>
  <c r="D164" i="94"/>
  <c r="H162" i="76"/>
  <c r="D48" i="94"/>
  <c r="H47" i="76"/>
  <c r="H116" i="76"/>
  <c r="D118" i="94"/>
  <c r="D128" i="94"/>
  <c r="H126" i="76"/>
  <c r="D88" i="94"/>
  <c r="H86" i="76"/>
  <c r="H156" i="76"/>
  <c r="D158" i="94"/>
  <c r="H102" i="76"/>
  <c r="D104" i="94"/>
  <c r="D106" i="94"/>
  <c r="H104" i="76"/>
  <c r="H160" i="76"/>
  <c r="D162" i="94"/>
  <c r="D146" i="94"/>
  <c r="H144" i="76"/>
  <c r="H83" i="76"/>
  <c r="D85" i="94"/>
  <c r="D20" i="94"/>
  <c r="H20" i="76"/>
  <c r="D149" i="94"/>
  <c r="H147" i="76"/>
  <c r="H106" i="76"/>
  <c r="D108" i="94"/>
  <c r="D136" i="94"/>
  <c r="H134" i="76"/>
  <c r="H54" i="76"/>
  <c r="D55" i="94"/>
  <c r="H165" i="76" l="1"/>
  <c r="H167" i="76" s="1"/>
</calcChain>
</file>

<file path=xl/sharedStrings.xml><?xml version="1.0" encoding="utf-8"?>
<sst xmlns="http://schemas.openxmlformats.org/spreadsheetml/2006/main" count="891" uniqueCount="271">
  <si>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</si>
  <si>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</si>
  <si>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</si>
  <si>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</si>
  <si>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</si>
  <si>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</si>
  <si>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</si>
  <si>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</si>
  <si>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HV Interruptible Svc</t>
  </si>
  <si>
    <t>HV Gen Svc</t>
  </si>
  <si>
    <t>Lights</t>
  </si>
  <si>
    <t>Total</t>
  </si>
  <si>
    <t>Customer Class</t>
  </si>
  <si>
    <t>High Voltage</t>
  </si>
  <si>
    <t>Schedule</t>
  </si>
  <si>
    <t>Lamp Type</t>
  </si>
  <si>
    <t>Mercury Vapor</t>
  </si>
  <si>
    <t>Sodium Vapor</t>
  </si>
  <si>
    <t>a</t>
  </si>
  <si>
    <t>b</t>
  </si>
  <si>
    <t>c</t>
  </si>
  <si>
    <t>d</t>
  </si>
  <si>
    <t>Total High Voltage</t>
  </si>
  <si>
    <t>Line No.</t>
  </si>
  <si>
    <t>Total Secondary Voltage</t>
  </si>
  <si>
    <t>Total Primary Voltage</t>
  </si>
  <si>
    <t>Budget Increase</t>
  </si>
  <si>
    <t>PV / HV Transportation</t>
  </si>
  <si>
    <t>Wattage (W)</t>
  </si>
  <si>
    <t>003</t>
  </si>
  <si>
    <t>Compact Flourescent</t>
  </si>
  <si>
    <t>Sch 51E</t>
  </si>
  <si>
    <t>51E</t>
  </si>
  <si>
    <t>Light Emitting Diode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</si>
  <si>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</si>
  <si>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</si>
  <si>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</si>
  <si>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</si>
  <si>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</si>
  <si>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</si>
  <si>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</si>
  <si>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</si>
  <si>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</si>
  <si>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</si>
  <si>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</si>
  <si>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</si>
  <si>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</si>
  <si>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</si>
  <si>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</si>
  <si>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</si>
  <si>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</si>
  <si>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</si>
  <si>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</si>
  <si>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</si>
  <si>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</si>
  <si>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</si>
  <si>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</si>
  <si>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</si>
  <si>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</si>
  <si>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</si>
  <si>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50E</t>
  </si>
  <si>
    <t>53E</t>
  </si>
  <si>
    <t>Special Contract</t>
  </si>
  <si>
    <t>SC</t>
  </si>
  <si>
    <t>30 - 60</t>
  </si>
  <si>
    <t>Sch 120 Tariff Reference</t>
  </si>
  <si>
    <t>Sheet No. 120</t>
  </si>
  <si>
    <t>Sheet No. 120-A</t>
  </si>
  <si>
    <t>Sheet No. 120-B</t>
  </si>
  <si>
    <t>Sheet No. 120-C</t>
  </si>
  <si>
    <t>Sheet No. 120-D</t>
  </si>
  <si>
    <t>Sheet No. 120-E</t>
  </si>
  <si>
    <t>Sheet No. 120-F</t>
  </si>
  <si>
    <t>Sheet No. 120-G</t>
  </si>
  <si>
    <t>Smart LED</t>
  </si>
  <si>
    <t>Per kWh - All Lamps</t>
  </si>
  <si>
    <t>0-30</t>
  </si>
  <si>
    <t>0 - 30</t>
  </si>
  <si>
    <t>30.01 - 60</t>
  </si>
  <si>
    <t>Proposed Rider Rate Effective Start Date</t>
  </si>
  <si>
    <t>Budget Forecast</t>
  </si>
  <si>
    <t>Forecasted Rate Year Start Date</t>
  </si>
  <si>
    <t>Forecasted Rate Year End Date</t>
  </si>
  <si>
    <t>Secondary Voltage</t>
  </si>
  <si>
    <t>Demand &lt;= 50 kW</t>
  </si>
  <si>
    <t>Demand &gt; 50 kW but &lt;= 350 kW</t>
  </si>
  <si>
    <r>
      <rPr>
        <b/>
        <sz val="8"/>
        <rFont val="Arial"/>
        <family val="2"/>
      </rPr>
      <t>25</t>
    </r>
    <r>
      <rPr>
        <sz val="8"/>
        <rFont val="Arial"/>
        <family val="2"/>
      </rPr>
      <t xml:space="preserve"> (11, 7A)</t>
    </r>
  </si>
  <si>
    <t>Demand &gt; 350 kW</t>
  </si>
  <si>
    <t>Seasonal Irrigation &amp; Drainage Pumping</t>
  </si>
  <si>
    <t>Primary Voltage</t>
  </si>
  <si>
    <t>General Service</t>
  </si>
  <si>
    <r>
      <rPr>
        <b/>
        <sz val="8"/>
        <rFont val="Arial"/>
        <family val="2"/>
      </rPr>
      <t>31</t>
    </r>
    <r>
      <rPr>
        <sz val="8"/>
        <rFont val="Arial"/>
        <family val="2"/>
      </rPr>
      <t xml:space="preserve"> (10)</t>
    </r>
  </si>
  <si>
    <t>Interruptible Total Electric Schools</t>
  </si>
  <si>
    <t>Lighting</t>
  </si>
  <si>
    <t>Interruptible</t>
  </si>
  <si>
    <t>Total Choice / Retail Wheeling</t>
  </si>
  <si>
    <r>
      <rPr>
        <b/>
        <sz val="8"/>
        <rFont val="Arial"/>
        <family val="2"/>
      </rPr>
      <t>26</t>
    </r>
    <r>
      <rPr>
        <sz val="8"/>
        <rFont val="Arial"/>
        <family val="2"/>
      </rPr>
      <t xml:space="preserve"> (12, 26P)</t>
    </r>
  </si>
  <si>
    <t>Total Projected Revenue
 w/ Current Sch. 120 Rates</t>
  </si>
  <si>
    <t>Total Projected Revenue
 w/ Proposed Sch. 120 Rates</t>
  </si>
  <si>
    <t>Projected Rate-Year
Revenue Impacts
from Proposed Rate Changes</t>
  </si>
  <si>
    <t xml:space="preserve"> </t>
  </si>
  <si>
    <t>449 - 459</t>
  </si>
  <si>
    <t>50 - 59</t>
  </si>
  <si>
    <t>PUGET SOUND ENERGY</t>
  </si>
  <si>
    <t>Revenue Requirement</t>
  </si>
  <si>
    <t>n/a</t>
  </si>
  <si>
    <t>Proposed Rate</t>
  </si>
  <si>
    <r>
      <rPr>
        <b/>
        <sz val="8"/>
        <rFont val="Arial"/>
        <family val="2"/>
      </rPr>
      <t>24</t>
    </r>
    <r>
      <rPr>
        <sz val="8"/>
        <rFont val="Arial"/>
        <family val="2"/>
      </rPr>
      <t xml:space="preserve"> (8, 324)</t>
    </r>
  </si>
  <si>
    <t>b = a * RevReq</t>
  </si>
  <si>
    <t>d = b / c</t>
  </si>
  <si>
    <t>Rate Spread &amp; Design</t>
  </si>
  <si>
    <t>Lamp Level Rate Design</t>
  </si>
  <si>
    <r>
      <t>Combined Energy &amp; Demand Allocation</t>
    </r>
    <r>
      <rPr>
        <vertAlign val="superscript"/>
        <sz val="8"/>
        <rFont val="Arial"/>
        <family val="2"/>
      </rPr>
      <t>[1]</t>
    </r>
  </si>
  <si>
    <r>
      <t xml:space="preserve">Special Contract </t>
    </r>
    <r>
      <rPr>
        <vertAlign val="superscript"/>
        <sz val="8"/>
        <rFont val="Arial"/>
        <family val="2"/>
      </rPr>
      <t>[2]</t>
    </r>
  </si>
  <si>
    <t>Electric Schedule 120 - Conservation Service</t>
  </si>
  <si>
    <t>cc</t>
  </si>
  <si>
    <t>Proposed Bill</t>
  </si>
  <si>
    <t>Change ($)</t>
  </si>
  <si>
    <t>(%)</t>
  </si>
  <si>
    <t>Sch 50</t>
  </si>
  <si>
    <t>Sch 51</t>
  </si>
  <si>
    <t>Sch 52</t>
  </si>
  <si>
    <t>Sch 53</t>
  </si>
  <si>
    <t>Sch 54</t>
  </si>
  <si>
    <t>Variance</t>
  </si>
  <si>
    <t>Proposed Schedule 120 Lamp Charge</t>
  </si>
  <si>
    <t>Proposed Schedule 120 Lamp Revenue</t>
  </si>
  <si>
    <t>51S</t>
  </si>
  <si>
    <t>53S</t>
  </si>
  <si>
    <t>f</t>
  </si>
  <si>
    <t>e</t>
  </si>
  <si>
    <t>non-449 Total Revenue Requirement</t>
  </si>
  <si>
    <t>Typical Residential Bill at 800 kWh</t>
  </si>
  <si>
    <t>First 600 kWh</t>
  </si>
  <si>
    <t>Over 600 kWh</t>
  </si>
  <si>
    <t>per kWh</t>
  </si>
  <si>
    <t>50E - Mercury Vapor</t>
  </si>
  <si>
    <t>51E - LED</t>
  </si>
  <si>
    <t>51S - Smart LED</t>
  </si>
  <si>
    <t>52E  - Sodium Vapor</t>
  </si>
  <si>
    <t>52E  - Metal Halide</t>
  </si>
  <si>
    <t>53E - Sodium Vapor</t>
  </si>
  <si>
    <t>53E - Metal Halide</t>
  </si>
  <si>
    <t>53E - LED</t>
  </si>
  <si>
    <t>54E - Sodium Vapor</t>
  </si>
  <si>
    <t>54E - LED</t>
  </si>
  <si>
    <t>55E &amp; 56E - Sodium Vapor</t>
  </si>
  <si>
    <t>55E &amp; 56E - Metal Halide</t>
  </si>
  <si>
    <t>55E &amp; 56E - LED</t>
  </si>
  <si>
    <t>58E &amp; 59E - LED</t>
  </si>
  <si>
    <t>58E &amp; 59E - Directional Sodium Vapor</t>
  </si>
  <si>
    <t>58E &amp; 59E - Directional Metal Halide</t>
  </si>
  <si>
    <t>58E &amp; 59E - Horizontal Sodium Vapor</t>
  </si>
  <si>
    <t>58E &amp; 59E - Horizontal Metal Halide</t>
  </si>
  <si>
    <t>Basic Charge</t>
  </si>
  <si>
    <t>Proposed 
Sch. 120 Rate</t>
  </si>
  <si>
    <t>Proposed
 Sch. 120 Rates</t>
  </si>
  <si>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(307, 317, 327)</t>
    </r>
  </si>
  <si>
    <t>% Increase / (Decrease)</t>
  </si>
  <si>
    <t>Voltage Level</t>
  </si>
  <si>
    <t>Rate Schedule</t>
  </si>
  <si>
    <t>Current Rates</t>
  </si>
  <si>
    <t>Proposed Rates</t>
  </si>
  <si>
    <t>% Change</t>
  </si>
  <si>
    <t>Energy</t>
  </si>
  <si>
    <t>Demand</t>
  </si>
  <si>
    <t>na</t>
  </si>
  <si>
    <t>e = a * (c - b) + d</t>
  </si>
  <si>
    <t>f = e - d</t>
  </si>
  <si>
    <t>g = f / d</t>
  </si>
  <si>
    <t>Projected Schedule Revenue Impacts of Rate Change by Forecasted Energy</t>
  </si>
  <si>
    <t>Pass-Thru Trackers</t>
  </si>
  <si>
    <t>Current Bill</t>
  </si>
  <si>
    <t>Residential Bill Impacts</t>
  </si>
  <si>
    <t>Wattage</t>
  </si>
  <si>
    <t>Lighting Rates</t>
  </si>
  <si>
    <t>Irrigation</t>
  </si>
  <si>
    <t>Interruptible Schools</t>
  </si>
  <si>
    <t>Interruptible Service</t>
  </si>
  <si>
    <t>Choice / Retail Wheeling</t>
  </si>
  <si>
    <t>Special Contracts</t>
  </si>
  <si>
    <t>Total Retail Sales</t>
  </si>
  <si>
    <t>Firm Resale</t>
  </si>
  <si>
    <t>Total Sales</t>
  </si>
  <si>
    <r>
      <t xml:space="preserve">Lighting </t>
    </r>
    <r>
      <rPr>
        <b/>
        <vertAlign val="superscript"/>
        <sz val="8"/>
        <rFont val="Arial"/>
        <family val="2"/>
      </rPr>
      <t>[1]</t>
    </r>
  </si>
  <si>
    <t>003 - Compact Flourescent</t>
  </si>
  <si>
    <t>Sch 55 &amp; Sch 56</t>
  </si>
  <si>
    <t>53S - Smart LED</t>
  </si>
  <si>
    <t>per W charge</t>
  </si>
  <si>
    <t>Lighting Allocation of Revenue Requirement</t>
  </si>
  <si>
    <t>Proposed Lighting Revenue</t>
  </si>
  <si>
    <t>Schedule &amp; Charge Type</t>
  </si>
  <si>
    <t>See Lighting Rates tab</t>
  </si>
  <si>
    <t>Scaling Factor [SF]</t>
  </si>
  <si>
    <t>g = e * f</t>
  </si>
  <si>
    <t>Increase / (Decrease)</t>
  </si>
  <si>
    <r>
      <t>Sch 258 - Transporation Rate Calculation - Effective</t>
    </r>
    <r>
      <rPr>
        <sz val="8"/>
        <color rgb="FF0033CC"/>
        <rFont val="Arial"/>
        <family val="2"/>
      </rPr>
      <t xml:space="preserve"> 5/1/2022</t>
    </r>
    <r>
      <rPr>
        <sz val="8"/>
        <rFont val="Arial"/>
        <family val="2"/>
      </rPr>
      <t xml:space="preserve"> to </t>
    </r>
    <r>
      <rPr>
        <sz val="8"/>
        <color rgb="FF0033CC"/>
        <rFont val="Arial"/>
        <family val="2"/>
      </rPr>
      <t>4/30/2026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[3]</t>
    </r>
  </si>
  <si>
    <r>
      <t xml:space="preserve">Conservation </t>
    </r>
    <r>
      <rPr>
        <sz val="8"/>
        <color rgb="FF0033CC"/>
        <rFont val="Arial"/>
        <family val="2"/>
      </rPr>
      <t>2022-2023</t>
    </r>
    <r>
      <rPr>
        <sz val="8"/>
        <rFont val="Arial"/>
        <family val="2"/>
      </rPr>
      <t xml:space="preserve"> Biennial Budget ($M)</t>
    </r>
  </si>
  <si>
    <r>
      <t xml:space="preserve">Conservation </t>
    </r>
    <r>
      <rPr>
        <sz val="8"/>
        <color rgb="FF0033CC"/>
        <rFont val="Arial"/>
        <family val="2"/>
      </rPr>
      <t>2018-2019</t>
    </r>
    <r>
      <rPr>
        <sz val="8"/>
        <rFont val="Arial"/>
        <family val="2"/>
      </rPr>
      <t xml:space="preserve"> Biennial Budget ($M)</t>
    </r>
  </si>
  <si>
    <r>
      <t xml:space="preserve">Four Year Rate Effective </t>
    </r>
    <r>
      <rPr>
        <sz val="8"/>
        <color rgb="FF0033CC"/>
        <rFont val="Arial"/>
        <family val="2"/>
      </rPr>
      <t>5/1/2018</t>
    </r>
  </si>
  <si>
    <r>
      <t xml:space="preserve">Four Year Rate Effective </t>
    </r>
    <r>
      <rPr>
        <sz val="8"/>
        <color rgb="FF0033CC"/>
        <rFont val="Arial"/>
        <family val="2"/>
      </rPr>
      <t>5/1/2022</t>
    </r>
  </si>
  <si>
    <t>F2024</t>
  </si>
  <si>
    <t>Check</t>
  </si>
  <si>
    <t>Subtotal</t>
  </si>
  <si>
    <t>50-59</t>
  </si>
  <si>
    <t>449/459</t>
  </si>
  <si>
    <t>Transportation</t>
  </si>
  <si>
    <t>HV - General Service</t>
  </si>
  <si>
    <t>HV - Interruptible</t>
  </si>
  <si>
    <t>Special Contract (Note 1)</t>
  </si>
  <si>
    <t>10/31</t>
  </si>
  <si>
    <t>12/26</t>
  </si>
  <si>
    <t>7A/11/25</t>
  </si>
  <si>
    <t>8/24</t>
  </si>
  <si>
    <t>i = d + h</t>
  </si>
  <si>
    <t>h = f * g</t>
  </si>
  <si>
    <t>f = e / ∑(e)</t>
  </si>
  <si>
    <t>d = b * c</t>
  </si>
  <si>
    <t>b = a / ∑(a)</t>
  </si>
  <si>
    <t>Total Weighted Allocation</t>
  </si>
  <si>
    <t>Weighted Demand Allocator</t>
  </si>
  <si>
    <t>Weighted Energy Allocator</t>
  </si>
  <si>
    <t>Developed Using 2024 GRC Allocators (Docket No. UE-240004)</t>
  </si>
  <si>
    <r>
      <rPr>
        <b/>
        <sz val="8"/>
        <color rgb="FF0033CC"/>
        <rFont val="Arial"/>
        <family val="2"/>
      </rPr>
      <t xml:space="preserve">2024 GRC </t>
    </r>
    <r>
      <rPr>
        <b/>
        <sz val="8"/>
        <rFont val="Arial"/>
        <family val="2"/>
      </rPr>
      <t>Temperature Adjusted Annual Energy Allocation</t>
    </r>
  </si>
  <si>
    <r>
      <rPr>
        <b/>
        <sz val="8"/>
        <color rgb="FF0033CC"/>
        <rFont val="Arial"/>
        <family val="2"/>
      </rPr>
      <t xml:space="preserve">2024 GRC </t>
    </r>
    <r>
      <rPr>
        <b/>
        <sz val="8"/>
        <rFont val="Arial"/>
        <family val="2"/>
      </rPr>
      <t>Renewable Peak Credit Energy Component</t>
    </r>
  </si>
  <si>
    <r>
      <rPr>
        <b/>
        <sz val="8"/>
        <color rgb="FF0033CC"/>
        <rFont val="Arial"/>
        <family val="2"/>
      </rPr>
      <t xml:space="preserve">2024 GRC </t>
    </r>
    <r>
      <rPr>
        <b/>
        <sz val="8"/>
        <rFont val="Arial"/>
        <family val="2"/>
      </rPr>
      <t>Renewable Peak Credit Demand Component</t>
    </r>
  </si>
  <si>
    <t>g</t>
  </si>
  <si>
    <t>[Note 3] - Schedule 258 requires that the 449-459 rates be reset every four years based on the change in the prevailing approved biennial CRAG budget and the biennial budget last used in 449-459 ratemaking. This requries a separate allocation process from other retail schedules revenue requirement. Details regarding the 449-459 exceptions can be found on Sch. 258.</t>
  </si>
  <si>
    <t>CALCULATION OF SCH 120 ENERGY AND DEMAND ALLOCATORS</t>
  </si>
  <si>
    <t>Transportation Electrification</t>
  </si>
  <si>
    <t>558</t>
  </si>
  <si>
    <t>Wattage Range</t>
  </si>
  <si>
    <t>Schs. 50-56, 58-59</t>
  </si>
  <si>
    <r>
      <rPr>
        <b/>
        <sz val="8"/>
        <color rgb="FF0033CC"/>
        <rFont val="Arial"/>
        <family val="2"/>
      </rPr>
      <t xml:space="preserve">2024 GRC </t>
    </r>
    <r>
      <rPr>
        <b/>
        <sz val="8"/>
        <rFont val="Arial"/>
        <family val="2"/>
      </rPr>
      <t xml:space="preserve">12CP Demand
Allocator 
</t>
    </r>
  </si>
  <si>
    <t>Note 1 - Special Contract Load data added to the allocation factors to reflect appropriate allocation of Schedule 120 Revenue Requirement to this customer class</t>
  </si>
  <si>
    <t xml:space="preserve">Energy Allocator </t>
  </si>
  <si>
    <t xml:space="preserve">Demand Allocator </t>
  </si>
  <si>
    <t>[Note 2] - Special Contract Load data added to the allocation factors to reflect appropriate allocation of Schedule 120 Revenue Requirement to this customer class</t>
  </si>
  <si>
    <t xml:space="preserve">[Note 1] - Utilizes the allocation factor as approved in Docket No UE-240004 which established a pro-rata allocation beteween demand and energy based on the Renewable Future Peak Credit - Levelized Fixed Cost </t>
  </si>
  <si>
    <t>N/A</t>
  </si>
  <si>
    <r>
      <t xml:space="preserve">Transportation Electrification </t>
    </r>
    <r>
      <rPr>
        <sz val="4"/>
        <rFont val="Arial"/>
        <family val="2"/>
      </rPr>
      <t>[4]</t>
    </r>
  </si>
  <si>
    <t>[Note 4] - Schedule 558 rate is a weighted average rate based on rates for Schedules 24/25/26</t>
  </si>
  <si>
    <t>Unmetered 
(kWh per Lamp)</t>
  </si>
  <si>
    <t>Proposed Sch 120 Rate ($/kWh)</t>
  </si>
  <si>
    <t>Proposed Sch 120 Rate ($/lamp)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</si>
  <si>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Annual Lamp Inventory</t>
    </r>
  </si>
  <si>
    <t>Proposed Rates throught January 28, 2026</t>
  </si>
  <si>
    <t>Proposed Rates Effective January 29, 2026</t>
  </si>
  <si>
    <t>cross check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</si>
  <si>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Lighting Base Rates </t>
    </r>
    <r>
      <rPr>
        <b/>
        <vertAlign val="superscript"/>
        <sz val="8"/>
        <rFont val="Arial"/>
        <family val="2"/>
      </rPr>
      <t>[1]</t>
    </r>
  </si>
  <si>
    <t>[Note 1] - Utilizes base rates approved in Docket No UE-240004 which established a pro-rata allocation beteween lamp watage sizes and lamp types in the 2024 GRC Lighting COS Model.</t>
  </si>
  <si>
    <t>30.1-60</t>
  </si>
  <si>
    <t>60.1-90</t>
  </si>
  <si>
    <t>90.1-150</t>
  </si>
  <si>
    <t>150.1-240</t>
  </si>
  <si>
    <t>240.1-340</t>
  </si>
  <si>
    <t>340.1-600</t>
  </si>
  <si>
    <t>600.1-1,000</t>
  </si>
  <si>
    <t xml:space="preserve">Unmetered </t>
  </si>
  <si>
    <t xml:space="preserve">Metered </t>
  </si>
  <si>
    <t>Schedules 50-56, 58-59</t>
  </si>
  <si>
    <t xml:space="preserve">Note [1] displayed energy determinates (kWh) and rates for Lighting (Sch. 50-59) are illustrative for rate impact noticing requirements.  Lighting charges are detailed on the "Lighting Rates" Tab.
</t>
  </si>
  <si>
    <t>Note [2] Current rates approved in Docket No. UE-240138</t>
  </si>
  <si>
    <r>
      <t xml:space="preserve">Current 
Sch. 120 Rate </t>
    </r>
    <r>
      <rPr>
        <b/>
        <sz val="5"/>
        <rFont val="Arial"/>
        <family val="2"/>
      </rPr>
      <t>(2)</t>
    </r>
  </si>
  <si>
    <t>7 (307) (317) (327)</t>
  </si>
  <si>
    <t>08 (24) (324)</t>
  </si>
  <si>
    <t>7A</t>
  </si>
  <si>
    <t>11 / 25</t>
  </si>
  <si>
    <t>12 (26) (26P)</t>
  </si>
  <si>
    <t>10 (31)</t>
  </si>
  <si>
    <t>448 - 459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</si>
</sst>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0\ \¢"/>
    <numFmt numFmtId="169" formatCode="_(&quot;$&quot;* #,##0.00000_);_(&quot;$&quot;* \(#,##0.00000\);_(&quot;$&quot;* &quot;-&quot;??_);_(@_)"/>
    <numFmt numFmtId="170" formatCode="m/d/yy;@"/>
    <numFmt numFmtId="171" formatCode="0.000000"/>
    <numFmt numFmtId="172" formatCode="0.0000\ \¢"/>
  </numFmts>
  <fonts count="2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b/>
      <sz val="8"/>
      <color rgb="FF008080"/>
      <name val="Arial"/>
      <family val="2"/>
    </font>
    <font>
      <u val="singleAccounting"/>
      <sz val="8"/>
      <name val="Arial"/>
      <family val="2"/>
    </font>
    <font>
      <b/>
      <u val="singleAccounting"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u/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u val="singleAccounting"/>
      <sz val="8"/>
      <color rgb="FF0033CC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4"/>
      <name val="Arial"/>
      <family val="2"/>
    </font>
    <font>
      <b/>
      <u val="singleAccounting"/>
      <sz val="8"/>
      <color rgb="FF008080"/>
      <name val="Arial"/>
      <family val="2"/>
    </font>
    <font>
      <u val="singleAccounting"/>
      <sz val="8"/>
      <color rgb="FF008080"/>
      <name val="Arial"/>
      <family val="2"/>
    </font>
    <font>
      <b/>
      <sz val="5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center" wrapText="1"/>
    </xf>
    <xf numFmtId="164" fontId="1" fillId="0" borderId="0" xfId="0" applyNumberFormat="1" applyFont="1" applyFill="1" applyBorder="1" applyAlignment="1"/>
    <xf numFmtId="0" fontId="1" fillId="0" borderId="0" xfId="0" applyNumberFormat="1" applyFont="1" applyFill="1" applyBorder="1"/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Continuous" vertical="center"/>
    </xf>
    <xf numFmtId="164" fontId="1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 indent="1"/>
    </xf>
    <xf numFmtId="0" fontId="2" fillId="0" borderId="0" xfId="0" applyFont="1" applyFill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 vertical="center" wrapText="1"/>
    </xf>
    <xf numFmtId="164" fontId="1" fillId="0" borderId="0" xfId="0" applyNumberFormat="1" applyFont="1" applyFill="1" applyBorder="1" applyAlignment="1">
      <alignment horizontal="centerContinuous" vertical="center" wrapText="1"/>
    </xf>
    <xf numFmtId="164" fontId="4" fillId="0" borderId="0" xfId="0" applyNumberFormat="1" applyFont="1" applyFill="1" applyBorder="1" applyAlignment="1">
      <alignment horizontal="centerContinuous" vertical="center" wrapText="1"/>
    </xf>
    <xf numFmtId="44" fontId="12" fillId="0" borderId="0" xfId="0" applyNumberFormat="1" applyFont="1" applyFill="1" applyBorder="1"/>
    <xf numFmtId="44" fontId="12" fillId="0" borderId="0" xfId="0" quotePrefix="1" applyNumberFormat="1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1" fillId="0" borderId="0" xfId="0" quotePrefix="1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0" xfId="0" quotePrefix="1" applyFont="1" applyFill="1" applyBorder="1" applyAlignment="1">
      <alignment horizontal="centerContinuous" vertical="center" wrapText="1"/>
    </xf>
    <xf numFmtId="44" fontId="11" fillId="0" borderId="0" xfId="0" applyNumberFormat="1" applyFont="1" applyFill="1" applyBorder="1" applyAlignment="1">
      <alignment horizontal="center" wrapText="1"/>
    </xf>
    <xf numFmtId="44" fontId="11" fillId="0" borderId="0" xfId="0" applyNumberFormat="1" applyFont="1" applyFill="1" applyBorder="1" applyAlignment="1">
      <alignment horizontal="centerContinuous"/>
    </xf>
    <xf numFmtId="0" fontId="1" fillId="0" borderId="0" xfId="0" applyFont="1" applyFill="1" applyAlignment="1">
      <alignment horizontal="right" vertical="center"/>
    </xf>
    <xf numFmtId="44" fontId="12" fillId="0" borderId="4" xfId="0" quotePrefix="1" applyNumberFormat="1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164" fontId="1" fillId="0" borderId="4" xfId="0" applyNumberFormat="1" applyFont="1" applyFill="1" applyBorder="1" applyAlignment="1">
      <alignment horizontal="centerContinuous" vertical="center"/>
    </xf>
    <xf numFmtId="0" fontId="1" fillId="0" borderId="6" xfId="0" applyFont="1" applyFill="1" applyBorder="1"/>
    <xf numFmtId="0" fontId="1" fillId="0" borderId="6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right"/>
    </xf>
    <xf numFmtId="167" fontId="1" fillId="0" borderId="6" xfId="0" applyNumberFormat="1" applyFont="1" applyFill="1" applyBorder="1"/>
    <xf numFmtId="164" fontId="1" fillId="0" borderId="6" xfId="0" applyNumberFormat="1" applyFont="1" applyFill="1" applyBorder="1"/>
    <xf numFmtId="0" fontId="1" fillId="0" borderId="3" xfId="0" applyFont="1" applyFill="1" applyBorder="1" applyAlignment="1">
      <alignment horizontal="centerContinuous" vertical="center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164" fontId="6" fillId="0" borderId="4" xfId="0" applyNumberFormat="1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left"/>
    </xf>
    <xf numFmtId="164" fontId="4" fillId="0" borderId="0" xfId="0" applyNumberFormat="1" applyFont="1" applyFill="1" applyBorder="1"/>
    <xf numFmtId="164" fontId="1" fillId="0" borderId="1" xfId="0" quotePrefix="1" applyNumberFormat="1" applyFont="1" applyFill="1" applyBorder="1" applyAlignment="1">
      <alignment horizontal="centerContinuous" wrapText="1"/>
    </xf>
    <xf numFmtId="0" fontId="1" fillId="0" borderId="0" xfId="0" quotePrefix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quotePrefix="1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7" fontId="3" fillId="0" borderId="0" xfId="0" applyNumberFormat="1" applyFont="1" applyFill="1" applyBorder="1" applyAlignment="1">
      <alignment horizontal="centerContinuous"/>
    </xf>
    <xf numFmtId="167" fontId="1" fillId="0" borderId="0" xfId="0" applyNumberFormat="1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168" fontId="1" fillId="0" borderId="0" xfId="0" applyNumberFormat="1" applyFont="1" applyFill="1" applyBorder="1" applyAlignment="1">
      <alignment horizontal="centerContinuous"/>
    </xf>
    <xf numFmtId="44" fontId="18" fillId="0" borderId="4" xfId="0" quotePrefix="1" applyNumberFormat="1" applyFont="1" applyFill="1" applyBorder="1" applyAlignment="1">
      <alignment horizontal="centerContinuous" vertical="center"/>
    </xf>
    <xf numFmtId="166" fontId="19" fillId="0" borderId="0" xfId="0" applyNumberFormat="1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44" fontId="15" fillId="0" borderId="0" xfId="0" applyNumberFormat="1" applyFont="1" applyFill="1" applyBorder="1"/>
    <xf numFmtId="44" fontId="15" fillId="0" borderId="1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3" fillId="0" borderId="0" xfId="0" applyFont="1" applyFill="1"/>
    <xf numFmtId="0" fontId="1" fillId="0" borderId="0" xfId="0" quotePrefix="1" applyFont="1" applyFill="1" applyAlignment="1">
      <alignment horizontal="center"/>
    </xf>
    <xf numFmtId="0" fontId="1" fillId="0" borderId="4" xfId="0" quotePrefix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center" indent="1"/>
    </xf>
    <xf numFmtId="167" fontId="3" fillId="0" borderId="0" xfId="0" applyNumberFormat="1" applyFont="1" applyFill="1"/>
    <xf numFmtId="167" fontId="1" fillId="0" borderId="0" xfId="0" applyNumberFormat="1" applyFont="1" applyFill="1"/>
    <xf numFmtId="0" fontId="3" fillId="0" borderId="0" xfId="0" quotePrefix="1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167" fontId="15" fillId="0" borderId="0" xfId="0" applyNumberFormat="1" applyFont="1" applyFill="1"/>
    <xf numFmtId="10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/>
    </xf>
    <xf numFmtId="167" fontId="15" fillId="0" borderId="3" xfId="0" applyNumberFormat="1" applyFont="1" applyFill="1" applyBorder="1"/>
    <xf numFmtId="164" fontId="15" fillId="0" borderId="3" xfId="0" applyNumberFormat="1" applyFont="1" applyFill="1" applyBorder="1"/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/>
    <xf numFmtId="0" fontId="17" fillId="0" borderId="0" xfId="0" applyFont="1" applyFill="1" applyAlignment="1">
      <alignment horizontal="left" wrapText="1"/>
    </xf>
    <xf numFmtId="0" fontId="15" fillId="0" borderId="0" xfId="0" applyFont="1" applyFill="1"/>
    <xf numFmtId="10" fontId="15" fillId="0" borderId="1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 vertical="center" indent="1"/>
    </xf>
    <xf numFmtId="0" fontId="15" fillId="0" borderId="0" xfId="0" quotePrefix="1" applyFont="1" applyFill="1" applyAlignment="1">
      <alignment horizontal="center"/>
    </xf>
    <xf numFmtId="0" fontId="15" fillId="0" borderId="0" xfId="0" quotePrefix="1" applyFont="1" applyFill="1" applyAlignment="1">
      <alignment horizontal="left"/>
    </xf>
    <xf numFmtId="0" fontId="18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18" fillId="0" borderId="4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44" fontId="1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quotePrefix="1" applyNumberFormat="1" applyFont="1" applyFill="1" applyAlignment="1">
      <alignment horizontal="center"/>
    </xf>
    <xf numFmtId="167" fontId="3" fillId="0" borderId="0" xfId="0" applyNumberFormat="1" applyFont="1" applyFill="1" applyBorder="1"/>
    <xf numFmtId="164" fontId="1" fillId="0" borderId="0" xfId="0" applyNumberFormat="1" applyFont="1" applyFill="1" applyAlignment="1">
      <alignment horizontal="left"/>
    </xf>
    <xf numFmtId="169" fontId="3" fillId="0" borderId="0" xfId="0" applyNumberFormat="1" applyFont="1" applyFill="1" applyBorder="1"/>
    <xf numFmtId="0" fontId="18" fillId="0" borderId="0" xfId="0" applyFont="1" applyFill="1" applyBorder="1" applyAlignment="1">
      <alignment horizontal="centerContinuous" vertical="center"/>
    </xf>
    <xf numFmtId="0" fontId="1" fillId="0" borderId="0" xfId="0" applyFont="1" applyFill="1"/>
    <xf numFmtId="0" fontId="2" fillId="0" borderId="4" xfId="0" applyFont="1" applyFill="1" applyBorder="1" applyAlignment="1">
      <alignment horizontal="centerContinuous" wrapText="1"/>
    </xf>
    <xf numFmtId="164" fontId="2" fillId="0" borderId="4" xfId="0" quotePrefix="1" applyNumberFormat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Continuous" wrapText="1"/>
    </xf>
    <xf numFmtId="164" fontId="2" fillId="0" borderId="4" xfId="0" quotePrefix="1" applyNumberFormat="1" applyFont="1" applyFill="1" applyBorder="1" applyAlignment="1">
      <alignment horizontal="centerContinuous" wrapText="1"/>
    </xf>
    <xf numFmtId="164" fontId="3" fillId="0" borderId="1" xfId="0" applyNumberFormat="1" applyFont="1" applyFill="1" applyBorder="1"/>
    <xf numFmtId="167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Continuous" vertical="center"/>
    </xf>
    <xf numFmtId="165" fontId="1" fillId="0" borderId="1" xfId="0" applyNumberFormat="1" applyFont="1" applyFill="1" applyBorder="1"/>
    <xf numFmtId="10" fontId="1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centerContinuous"/>
    </xf>
    <xf numFmtId="164" fontId="1" fillId="0" borderId="1" xfId="0" applyNumberFormat="1" applyFont="1" applyFill="1" applyBorder="1"/>
    <xf numFmtId="167" fontId="1" fillId="0" borderId="1" xfId="0" applyNumberFormat="1" applyFont="1" applyFill="1" applyBorder="1" applyAlignment="1">
      <alignment horizontal="centerContinuous" wrapText="1"/>
    </xf>
    <xf numFmtId="167" fontId="1" fillId="0" borderId="1" xfId="0" applyNumberFormat="1" applyFont="1" applyFill="1" applyBorder="1" applyAlignment="1">
      <alignment horizontal="centerContinuous"/>
    </xf>
    <xf numFmtId="167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Continuous"/>
    </xf>
    <xf numFmtId="164" fontId="1" fillId="0" borderId="3" xfId="0" applyNumberFormat="1" applyFont="1" applyFill="1" applyBorder="1"/>
    <xf numFmtId="167" fontId="1" fillId="0" borderId="3" xfId="0" applyNumberFormat="1" applyFont="1" applyFill="1" applyBorder="1" applyAlignment="1">
      <alignment horizontal="centerContinuous" wrapText="1"/>
    </xf>
    <xf numFmtId="167" fontId="1" fillId="0" borderId="3" xfId="0" applyNumberFormat="1" applyFont="1" applyFill="1" applyBorder="1"/>
    <xf numFmtId="165" fontId="1" fillId="0" borderId="3" xfId="0" applyNumberFormat="1" applyFont="1" applyFill="1" applyBorder="1" applyAlignment="1">
      <alignment horizontal="centerContinuous"/>
    </xf>
    <xf numFmtId="165" fontId="1" fillId="0" borderId="3" xfId="0" applyNumberFormat="1" applyFont="1" applyFill="1" applyBorder="1"/>
    <xf numFmtId="10" fontId="1" fillId="0" borderId="3" xfId="0" applyNumberFormat="1" applyFont="1" applyFill="1" applyBorder="1" applyAlignment="1">
      <alignment horizontal="right"/>
    </xf>
    <xf numFmtId="44" fontId="11" fillId="0" borderId="0" xfId="0" quotePrefix="1" applyNumberFormat="1" applyFont="1" applyFill="1" applyBorder="1" applyAlignment="1">
      <alignment horizontal="centerContinuous" vertical="center"/>
    </xf>
    <xf numFmtId="44" fontId="11" fillId="0" borderId="0" xfId="0" quotePrefix="1" applyNumberFormat="1" applyFont="1" applyFill="1" applyBorder="1" applyAlignment="1">
      <alignment horizontal="center" vertical="center"/>
    </xf>
    <xf numFmtId="44" fontId="11" fillId="0" borderId="0" xfId="0" quotePrefix="1" applyNumberFormat="1" applyFont="1" applyFill="1" applyBorder="1" applyAlignment="1">
      <alignment horizontal="centerContinuous"/>
    </xf>
    <xf numFmtId="44" fontId="11" fillId="0" borderId="0" xfId="0" applyNumberFormat="1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 vertical="center"/>
    </xf>
    <xf numFmtId="43" fontId="1" fillId="0" borderId="0" xfId="0" quotePrefix="1" applyNumberFormat="1" applyFont="1" applyFill="1" applyBorder="1" applyAlignment="1"/>
    <xf numFmtId="10" fontId="1" fillId="0" borderId="0" xfId="0" applyNumberFormat="1" applyFont="1" applyFill="1" applyBorder="1"/>
    <xf numFmtId="0" fontId="2" fillId="0" borderId="4" xfId="0" quotePrefix="1" applyFont="1" applyFill="1" applyBorder="1" applyAlignment="1">
      <alignment horizontal="center" wrapText="1"/>
    </xf>
    <xf numFmtId="0" fontId="1" fillId="0" borderId="5" xfId="0" quotePrefix="1" applyFont="1" applyFill="1" applyBorder="1" applyAlignment="1">
      <alignment horizontal="center" vertical="center"/>
    </xf>
    <xf numFmtId="44" fontId="1" fillId="0" borderId="0" xfId="0" applyNumberFormat="1" applyFont="1" applyFill="1" applyBorder="1"/>
    <xf numFmtId="41" fontId="3" fillId="0" borderId="0" xfId="0" applyNumberFormat="1" applyFont="1" applyFill="1"/>
    <xf numFmtId="165" fontId="1" fillId="0" borderId="0" xfId="0" applyNumberFormat="1" applyFont="1" applyFill="1"/>
    <xf numFmtId="164" fontId="1" fillId="0" borderId="0" xfId="0" applyNumberFormat="1" applyFont="1" applyFill="1"/>
    <xf numFmtId="169" fontId="1" fillId="0" borderId="0" xfId="0" applyNumberFormat="1" applyFont="1" applyFill="1" applyBorder="1"/>
    <xf numFmtId="41" fontId="4" fillId="0" borderId="0" xfId="0" applyNumberFormat="1" applyFont="1" applyFill="1"/>
    <xf numFmtId="44" fontId="1" fillId="0" borderId="0" xfId="0" applyNumberFormat="1" applyFont="1" applyFill="1" applyAlignment="1">
      <alignment horizontal="right"/>
    </xf>
    <xf numFmtId="44" fontId="11" fillId="0" borderId="0" xfId="0" applyNumberFormat="1" applyFont="1" applyFill="1" applyAlignment="1">
      <alignment horizontal="right"/>
    </xf>
    <xf numFmtId="0" fontId="1" fillId="0" borderId="2" xfId="0" quotePrefix="1" applyFont="1" applyFill="1" applyBorder="1" applyAlignment="1">
      <alignment horizontal="center" wrapText="1"/>
    </xf>
    <xf numFmtId="164" fontId="3" fillId="0" borderId="2" xfId="0" quotePrefix="1" applyNumberFormat="1" applyFont="1" applyFill="1" applyBorder="1" applyAlignment="1">
      <alignment horizontal="center" wrapText="1"/>
    </xf>
    <xf numFmtId="164" fontId="1" fillId="0" borderId="2" xfId="0" quotePrefix="1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/>
    <xf numFmtId="167" fontId="16" fillId="0" borderId="0" xfId="0" applyNumberFormat="1" applyFont="1" applyFill="1" applyBorder="1"/>
    <xf numFmtId="44" fontId="3" fillId="0" borderId="0" xfId="0" applyNumberFormat="1" applyFont="1" applyFill="1" applyBorder="1"/>
    <xf numFmtId="165" fontId="3" fillId="0" borderId="0" xfId="0" applyNumberFormat="1" applyFont="1" applyFill="1" applyBorder="1"/>
    <xf numFmtId="43" fontId="4" fillId="0" borderId="0" xfId="0" applyNumberFormat="1" applyFont="1" applyFill="1" applyBorder="1"/>
    <xf numFmtId="0" fontId="1" fillId="0" borderId="0" xfId="0" quotePrefix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quotePrefix="1" applyFont="1" applyFill="1" applyBorder="1" applyAlignment="1">
      <alignment vertical="center" wrapText="1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171" fontId="1" fillId="0" borderId="0" xfId="0" applyNumberFormat="1" applyFont="1" applyFill="1" applyBorder="1"/>
    <xf numFmtId="44" fontId="1" fillId="0" borderId="0" xfId="1" applyFont="1" applyFill="1" applyBorder="1"/>
    <xf numFmtId="0" fontId="4" fillId="0" borderId="0" xfId="2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0" fontId="1" fillId="0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164" fontId="4" fillId="0" borderId="0" xfId="2" applyNumberFormat="1" applyFont="1" applyFill="1" applyBorder="1"/>
    <xf numFmtId="9" fontId="1" fillId="0" borderId="0" xfId="3" applyFont="1" applyFill="1" applyBorder="1"/>
    <xf numFmtId="9" fontId="1" fillId="0" borderId="0" xfId="3" applyNumberFormat="1" applyFont="1" applyFill="1" applyBorder="1"/>
    <xf numFmtId="10" fontId="1" fillId="0" borderId="0" xfId="3" applyNumberFormat="1" applyFont="1" applyFill="1" applyBorder="1"/>
    <xf numFmtId="166" fontId="1" fillId="0" borderId="0" xfId="0" applyNumberFormat="1" applyFont="1" applyFill="1" applyBorder="1"/>
    <xf numFmtId="172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vertical="top" wrapText="1"/>
    </xf>
    <xf numFmtId="9" fontId="1" fillId="0" borderId="0" xfId="0" quotePrefix="1" applyNumberFormat="1" applyFont="1" applyFill="1" applyBorder="1" applyAlignment="1">
      <alignment horizontal="center" vertical="top" wrapText="1"/>
    </xf>
    <xf numFmtId="0" fontId="1" fillId="0" borderId="0" xfId="2" quotePrefix="1" applyFont="1" applyFill="1" applyBorder="1" applyAlignment="1">
      <alignment horizontal="center" vertical="top" wrapText="1"/>
    </xf>
    <xf numFmtId="0" fontId="2" fillId="0" borderId="4" xfId="2" quotePrefix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9" fontId="1" fillId="0" borderId="0" xfId="2" quotePrefix="1" applyNumberFormat="1" applyFont="1" applyFill="1" applyBorder="1" applyAlignment="1">
      <alignment horizontal="center" vertical="top" wrapText="1"/>
    </xf>
    <xf numFmtId="164" fontId="3" fillId="0" borderId="0" xfId="4" applyNumberFormat="1" applyFont="1" applyFill="1" applyBorder="1"/>
    <xf numFmtId="9" fontId="3" fillId="0" borderId="0" xfId="3" applyNumberFormat="1" applyFont="1" applyFill="1" applyBorder="1"/>
    <xf numFmtId="167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top" wrapText="1"/>
    </xf>
    <xf numFmtId="165" fontId="6" fillId="0" borderId="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43" fontId="3" fillId="0" borderId="0" xfId="4" applyFont="1" applyFill="1" applyBorder="1"/>
    <xf numFmtId="44" fontId="1" fillId="0" borderId="13" xfId="0" applyNumberFormat="1" applyFont="1" applyFill="1" applyBorder="1"/>
    <xf numFmtId="43" fontId="3" fillId="0" borderId="2" xfId="4" applyFont="1" applyFill="1" applyBorder="1"/>
    <xf numFmtId="43" fontId="3" fillId="0" borderId="2" xfId="0" applyNumberFormat="1" applyFont="1" applyFill="1" applyBorder="1" applyAlignment="1">
      <alignment horizontal="right" vertical="center"/>
    </xf>
    <xf numFmtId="44" fontId="1" fillId="0" borderId="16" xfId="0" applyNumberFormat="1" applyFont="1" applyFill="1" applyBorder="1"/>
    <xf numFmtId="0" fontId="4" fillId="0" borderId="0" xfId="0" applyFont="1" applyFill="1"/>
    <xf numFmtId="44" fontId="3" fillId="0" borderId="0" xfId="0" applyNumberFormat="1" applyFont="1" applyFill="1"/>
    <xf numFmtId="0" fontId="18" fillId="0" borderId="4" xfId="0" quotePrefix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Continuous"/>
    </xf>
    <xf numFmtId="14" fontId="14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44" fontId="11" fillId="0" borderId="0" xfId="0" quotePrefix="1" applyNumberFormat="1" applyFont="1" applyFill="1" applyAlignment="1">
      <alignment horizontal="left"/>
    </xf>
    <xf numFmtId="170" fontId="7" fillId="0" borderId="0" xfId="0" quotePrefix="1" applyNumberFormat="1" applyFont="1" applyFill="1" applyAlignment="1">
      <alignment horizontal="center"/>
    </xf>
    <xf numFmtId="0" fontId="0" fillId="0" borderId="0" xfId="0" applyFill="1"/>
    <xf numFmtId="44" fontId="11" fillId="0" borderId="0" xfId="0" applyNumberFormat="1" applyFont="1" applyFill="1"/>
    <xf numFmtId="0" fontId="7" fillId="0" borderId="0" xfId="0" applyFont="1" applyFill="1" applyAlignment="1">
      <alignment horizontal="center"/>
    </xf>
    <xf numFmtId="170" fontId="7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3" fillId="0" borderId="0" xfId="0" applyFont="1" applyFill="1" applyBorder="1"/>
    <xf numFmtId="41" fontId="24" fillId="0" borderId="0" xfId="0" applyNumberFormat="1" applyFont="1" applyFill="1" applyBorder="1"/>
    <xf numFmtId="165" fontId="1" fillId="0" borderId="1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5">
    <cellStyle name="Comma 2" xfId="4"/>
    <cellStyle name="Currency" xfId="1" builtinId="4"/>
    <cellStyle name="Normal" xfId="0" builtinId="0"/>
    <cellStyle name="Normal - Style1 5 4" xfId="2"/>
    <cellStyle name="Percent 2" xfId="3"/>
  </cellStyles>
  <dxfs count="0"/>
  <tableStyles count="0" defaultTableStyle="TableStyleMedium9" defaultPivotStyle="PivotStyleLight16"/>
  <colors>
    <mruColors>
      <color rgb="FF008080"/>
      <color rgb="FF0033CC"/>
      <color rgb="FF81FFFF"/>
      <color rgb="FFD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76"/>
  <sheetViews>
    <sheetView tabSelected="1" zoomScaleNormal="100" workbookViewId="0">
      <selection activeCell="J42" sqref="J42"/>
    </sheetView>
  </sheetViews>
  <sheetFormatPr defaultColWidth="6.42578125" defaultRowHeight="11.25" x14ac:dyDescent="0.2"/>
  <cols>
    <col min="1" max="1" width="6.140625" style="135" bestFit="1" customWidth="1"/>
    <col min="2" max="2" width="25" style="135" customWidth="1"/>
    <col min="3" max="3" width="14.42578125" style="135" bestFit="1" customWidth="1"/>
    <col min="4" max="4" width="13.5703125" style="135" customWidth="1"/>
    <col min="5" max="5" width="14.5703125" style="135" customWidth="1"/>
    <col min="6" max="6" width="10.42578125" style="135" customWidth="1"/>
    <col min="7" max="7" width="16.5703125" style="135" bestFit="1" customWidth="1"/>
    <col min="8" max="16384" width="6.42578125" style="135"/>
  </cols>
  <sheetData>
    <row r="1" spans="1:7" x14ac:dyDescent="0.2">
      <c r="A1" s="80" t="s">
        <v>103</v>
      </c>
      <c r="B1" s="80"/>
      <c r="C1" s="80"/>
      <c r="D1" s="80"/>
      <c r="E1" s="80"/>
      <c r="F1" s="80"/>
    </row>
    <row r="2" spans="1:7" x14ac:dyDescent="0.2">
      <c r="A2" s="80" t="str">
        <f ca="1">RIGHT(CELL("filename",A1),LEN(CELL("filename",A1))-SEARCH("]",CELL("filename",A1)))</f>
        <v>Sch 120 Rates</v>
      </c>
      <c r="B2" s="80"/>
      <c r="C2" s="80"/>
      <c r="D2" s="80"/>
      <c r="E2" s="80"/>
      <c r="F2" s="80"/>
    </row>
    <row r="3" spans="1:7" x14ac:dyDescent="0.2">
      <c r="A3" s="81"/>
      <c r="B3" s="81"/>
      <c r="C3" s="81"/>
      <c r="D3" s="81"/>
      <c r="E3" s="81"/>
      <c r="F3" s="81"/>
      <c r="G3" s="82"/>
    </row>
    <row r="4" spans="1:7" s="82" customFormat="1" x14ac:dyDescent="0.2">
      <c r="A4" s="81"/>
      <c r="B4" s="81"/>
      <c r="C4" s="81"/>
      <c r="D4" s="81"/>
      <c r="E4" s="81"/>
      <c r="F4" s="81"/>
    </row>
    <row r="5" spans="1:7" x14ac:dyDescent="0.2">
      <c r="A5" s="83"/>
      <c r="B5" s="83"/>
      <c r="C5" s="124"/>
      <c r="D5" s="124"/>
      <c r="E5" s="124"/>
      <c r="F5" s="124"/>
    </row>
    <row r="6" spans="1:7" ht="13.5" customHeight="1" x14ac:dyDescent="0.2">
      <c r="A6" s="83"/>
      <c r="B6" s="83"/>
      <c r="C6" s="124"/>
      <c r="D6" s="124"/>
      <c r="E6" s="124"/>
      <c r="F6" s="124"/>
    </row>
    <row r="7" spans="1:7" s="91" customFormat="1" ht="22.5" x14ac:dyDescent="0.2">
      <c r="A7" s="85" t="s">
        <v>23</v>
      </c>
      <c r="B7" s="85" t="s">
        <v>159</v>
      </c>
      <c r="C7" s="85" t="s">
        <v>160</v>
      </c>
      <c r="D7" s="84" t="s">
        <v>161</v>
      </c>
      <c r="E7" s="84" t="s">
        <v>162</v>
      </c>
      <c r="F7" s="84" t="s">
        <v>163</v>
      </c>
      <c r="G7" s="85" t="s">
        <v>65</v>
      </c>
    </row>
    <row r="8" spans="1:7" s="91" customFormat="1" x14ac:dyDescent="0.2">
      <c r="A8" s="86"/>
      <c r="B8" s="86"/>
      <c r="C8" s="86"/>
      <c r="D8" s="250">
        <v>45413</v>
      </c>
      <c r="E8" s="250">
        <v>45778</v>
      </c>
      <c r="F8" s="87"/>
      <c r="G8" s="87"/>
    </row>
    <row r="9" spans="1:7" s="91" customFormat="1" x14ac:dyDescent="0.2">
      <c r="A9" s="88"/>
      <c r="B9" s="89" t="s">
        <v>18</v>
      </c>
      <c r="C9" s="84" t="s">
        <v>19</v>
      </c>
      <c r="D9" s="84" t="s">
        <v>20</v>
      </c>
      <c r="E9" s="84" t="s">
        <v>21</v>
      </c>
      <c r="F9" s="84" t="s">
        <v>130</v>
      </c>
      <c r="G9" s="84" t="s">
        <v>129</v>
      </c>
    </row>
    <row r="10" spans="1:7" s="91" customFormat="1" x14ac:dyDescent="0.2">
      <c r="A10" s="124">
        <v>1</v>
      </c>
      <c r="B10" s="90" t="s">
        <v>164</v>
      </c>
      <c r="C10" s="90"/>
      <c r="D10" s="127"/>
      <c r="E10" s="127"/>
      <c r="F10" s="127"/>
    </row>
    <row r="11" spans="1:7" x14ac:dyDescent="0.2">
      <c r="A11" s="92">
        <f t="shared" ref="A11:A74" si="0">+A10+1</f>
        <v>2</v>
      </c>
      <c r="B11" s="93" t="s">
        <v>0</v>
      </c>
      <c r="C11" s="94" t="s">
        <v>264</v>
      </c>
      <c r="D11" s="141">
        <f>'Rate Impacts'!H10</f>
        <v>6.0949999999999997E-3</v>
      </c>
      <c r="E11" s="141">
        <f>'Rate Impacts'!J10</f>
        <v>7.8079999999999998E-3</v>
      </c>
      <c r="F11" s="144">
        <f>IFERROR(E11/D11-1, "na")</f>
        <v>0.28105004101722719</v>
      </c>
      <c r="G11" s="128" t="s">
        <v>66</v>
      </c>
    </row>
    <row r="12" spans="1:7" x14ac:dyDescent="0.2">
      <c r="A12" s="92">
        <f t="shared" si="0"/>
        <v>3</v>
      </c>
      <c r="B12" s="93"/>
      <c r="C12" s="94"/>
      <c r="D12" s="97"/>
      <c r="E12" s="97"/>
      <c r="F12" s="95"/>
    </row>
    <row r="13" spans="1:7" x14ac:dyDescent="0.2">
      <c r="A13" s="92">
        <f t="shared" si="0"/>
        <v>4</v>
      </c>
      <c r="B13" s="93" t="s">
        <v>83</v>
      </c>
      <c r="C13" s="94"/>
      <c r="D13" s="97"/>
      <c r="E13" s="97"/>
      <c r="F13" s="95"/>
    </row>
    <row r="14" spans="1:7" x14ac:dyDescent="0.2">
      <c r="A14" s="92">
        <f t="shared" si="0"/>
        <v>5</v>
      </c>
      <c r="B14" s="96" t="s">
        <v>84</v>
      </c>
      <c r="C14" s="94" t="s">
        <v>265</v>
      </c>
      <c r="D14" s="97">
        <f>'Rate Impacts'!H13</f>
        <v>5.352E-3</v>
      </c>
      <c r="E14" s="97">
        <f>'Rate Impacts'!J13</f>
        <v>7.2199999999999999E-3</v>
      </c>
      <c r="F14" s="95">
        <f>IFERROR(E14/D14-1, "na")</f>
        <v>0.34902840059790741</v>
      </c>
      <c r="G14" s="128" t="s">
        <v>66</v>
      </c>
    </row>
    <row r="15" spans="1:7" x14ac:dyDescent="0.2">
      <c r="A15" s="92">
        <f t="shared" si="0"/>
        <v>6</v>
      </c>
      <c r="B15" s="96" t="s">
        <v>85</v>
      </c>
      <c r="C15" s="94" t="s">
        <v>266</v>
      </c>
      <c r="D15" s="97">
        <f>'Rate Impacts'!H14</f>
        <v>5.365E-3</v>
      </c>
      <c r="E15" s="97">
        <f>'Rate Impacts'!J14</f>
        <v>7.2139999999999999E-3</v>
      </c>
      <c r="F15" s="95">
        <f>IFERROR(E15/D15-1, "na")</f>
        <v>0.34464119291705497</v>
      </c>
      <c r="G15" s="128" t="s">
        <v>66</v>
      </c>
    </row>
    <row r="16" spans="1:7" x14ac:dyDescent="0.2">
      <c r="A16" s="92">
        <f t="shared" si="0"/>
        <v>7</v>
      </c>
      <c r="B16" s="96" t="s">
        <v>85</v>
      </c>
      <c r="C16" s="94" t="s">
        <v>267</v>
      </c>
      <c r="D16" s="98">
        <f>D15</f>
        <v>5.365E-3</v>
      </c>
      <c r="E16" s="98">
        <f>E15</f>
        <v>7.2139999999999999E-3</v>
      </c>
      <c r="F16" s="95">
        <f>IFERROR(E16/D16-1, "na")</f>
        <v>0.34464119291705497</v>
      </c>
      <c r="G16" s="124" t="str">
        <f>G15</f>
        <v>Sheet No. 120</v>
      </c>
    </row>
    <row r="17" spans="1:7" x14ac:dyDescent="0.2">
      <c r="A17" s="92">
        <f t="shared" si="0"/>
        <v>8</v>
      </c>
      <c r="B17" s="96" t="s">
        <v>87</v>
      </c>
      <c r="C17" s="94" t="s">
        <v>268</v>
      </c>
      <c r="D17" s="97">
        <f>'Rate Impacts'!H15</f>
        <v>4.6410000000000002E-3</v>
      </c>
      <c r="E17" s="97">
        <f>'Rate Impacts'!J15</f>
        <v>5.9080000000000001E-3</v>
      </c>
      <c r="F17" s="95">
        <f>IFERROR(E17/D17-1, "na")</f>
        <v>0.27300150829562586</v>
      </c>
      <c r="G17" s="128" t="s">
        <v>66</v>
      </c>
    </row>
    <row r="18" spans="1:7" x14ac:dyDescent="0.2">
      <c r="A18" s="92">
        <f t="shared" si="0"/>
        <v>9</v>
      </c>
      <c r="B18" s="96" t="s">
        <v>85</v>
      </c>
      <c r="C18" s="94">
        <v>29</v>
      </c>
      <c r="D18" s="97">
        <f>'Rate Impacts'!H16</f>
        <v>5.666E-3</v>
      </c>
      <c r="E18" s="97">
        <f>'Rate Impacts'!J16</f>
        <v>6.3039999999999997E-3</v>
      </c>
      <c r="F18" s="95">
        <f>IFERROR(E18/D18-1, "na")</f>
        <v>0.11260148252735602</v>
      </c>
      <c r="G18" s="128" t="s">
        <v>66</v>
      </c>
    </row>
    <row r="19" spans="1:7" x14ac:dyDescent="0.2">
      <c r="A19" s="92">
        <f t="shared" si="0"/>
        <v>10</v>
      </c>
      <c r="B19" s="125" t="s">
        <v>24</v>
      </c>
      <c r="C19" s="99"/>
      <c r="D19" s="141"/>
      <c r="E19" s="141"/>
      <c r="F19" s="144"/>
    </row>
    <row r="20" spans="1:7" x14ac:dyDescent="0.2">
      <c r="A20" s="92">
        <f t="shared" si="0"/>
        <v>11</v>
      </c>
      <c r="B20" s="125"/>
      <c r="C20" s="99"/>
      <c r="D20" s="97"/>
      <c r="E20" s="97"/>
      <c r="F20" s="95"/>
    </row>
    <row r="21" spans="1:7" x14ac:dyDescent="0.2">
      <c r="A21" s="92">
        <f t="shared" si="0"/>
        <v>12</v>
      </c>
      <c r="B21" s="93" t="s">
        <v>89</v>
      </c>
      <c r="C21" s="94"/>
      <c r="D21" s="97"/>
      <c r="E21" s="97"/>
      <c r="F21" s="95"/>
    </row>
    <row r="22" spans="1:7" x14ac:dyDescent="0.2">
      <c r="A22" s="92">
        <f t="shared" si="0"/>
        <v>13</v>
      </c>
      <c r="B22" s="96" t="s">
        <v>90</v>
      </c>
      <c r="C22" s="94" t="s">
        <v>269</v>
      </c>
      <c r="D22" s="97">
        <f>'Rate Impacts'!H20</f>
        <v>4.5279999999999999E-3</v>
      </c>
      <c r="E22" s="97">
        <f>'Rate Impacts'!J20</f>
        <v>6.1879999999999999E-3</v>
      </c>
      <c r="F22" s="95">
        <f>IFERROR(E22/D22-1, "na")</f>
        <v>0.36660777385159005</v>
      </c>
      <c r="G22" s="128" t="s">
        <v>66</v>
      </c>
    </row>
    <row r="23" spans="1:7" x14ac:dyDescent="0.2">
      <c r="A23" s="92">
        <f t="shared" si="0"/>
        <v>14</v>
      </c>
      <c r="B23" s="96" t="s">
        <v>176</v>
      </c>
      <c r="C23" s="94">
        <v>35</v>
      </c>
      <c r="D23" s="97">
        <f>'Rate Impacts'!H21</f>
        <v>3.4810000000000002E-3</v>
      </c>
      <c r="E23" s="97">
        <f>'Rate Impacts'!J21</f>
        <v>4.0239999999999998E-3</v>
      </c>
      <c r="F23" s="95">
        <f>IFERROR(E23/D23-1, "na")</f>
        <v>0.15598965814421129</v>
      </c>
      <c r="G23" s="128" t="s">
        <v>66</v>
      </c>
    </row>
    <row r="24" spans="1:7" x14ac:dyDescent="0.2">
      <c r="A24" s="92">
        <f t="shared" si="0"/>
        <v>15</v>
      </c>
      <c r="B24" s="96" t="s">
        <v>177</v>
      </c>
      <c r="C24" s="94">
        <v>43</v>
      </c>
      <c r="D24" s="97">
        <f>'Rate Impacts'!H22</f>
        <v>1.0089999999999999E-3</v>
      </c>
      <c r="E24" s="97">
        <f>'Rate Impacts'!J22</f>
        <v>9.2390000000000007E-3</v>
      </c>
      <c r="F24" s="95">
        <f>IFERROR(E24/D24-1, "na")</f>
        <v>8.1565906838453923</v>
      </c>
      <c r="G24" s="128" t="s">
        <v>66</v>
      </c>
    </row>
    <row r="25" spans="1:7" x14ac:dyDescent="0.2">
      <c r="A25" s="92">
        <f t="shared" si="0"/>
        <v>16</v>
      </c>
      <c r="B25" s="125" t="s">
        <v>25</v>
      </c>
      <c r="C25" s="99"/>
      <c r="D25" s="141"/>
      <c r="E25" s="141"/>
      <c r="F25" s="144"/>
    </row>
    <row r="26" spans="1:7" x14ac:dyDescent="0.2">
      <c r="A26" s="92">
        <f t="shared" si="0"/>
        <v>17</v>
      </c>
      <c r="B26" s="125"/>
      <c r="C26" s="99"/>
      <c r="D26" s="97"/>
      <c r="E26" s="97"/>
      <c r="F26" s="95"/>
    </row>
    <row r="27" spans="1:7" x14ac:dyDescent="0.2">
      <c r="A27" s="92">
        <f t="shared" si="0"/>
        <v>18</v>
      </c>
      <c r="B27" s="93" t="s">
        <v>13</v>
      </c>
      <c r="C27" s="94"/>
      <c r="D27" s="97"/>
      <c r="E27" s="97"/>
      <c r="F27" s="95"/>
    </row>
    <row r="28" spans="1:7" x14ac:dyDescent="0.2">
      <c r="A28" s="92">
        <f t="shared" si="0"/>
        <v>19</v>
      </c>
      <c r="B28" s="96" t="s">
        <v>178</v>
      </c>
      <c r="C28" s="94">
        <v>46</v>
      </c>
      <c r="D28" s="97">
        <f>'Rate Impacts'!H26</f>
        <v>1.1249999999999999E-3</v>
      </c>
      <c r="E28" s="97">
        <f>'Rate Impacts'!J26</f>
        <v>5.4409999999999997E-3</v>
      </c>
      <c r="F28" s="95">
        <f>IFERROR(E28/D28-1, "na")</f>
        <v>3.8364444444444441</v>
      </c>
      <c r="G28" s="100" t="s">
        <v>67</v>
      </c>
    </row>
    <row r="29" spans="1:7" x14ac:dyDescent="0.2">
      <c r="A29" s="92">
        <f t="shared" si="0"/>
        <v>20</v>
      </c>
      <c r="B29" s="96" t="s">
        <v>90</v>
      </c>
      <c r="C29" s="94">
        <v>49</v>
      </c>
      <c r="D29" s="97">
        <f>'Rate Impacts'!H27</f>
        <v>4.2370000000000003E-3</v>
      </c>
      <c r="E29" s="97">
        <f>'Rate Impacts'!J27</f>
        <v>5.8539999999999998E-3</v>
      </c>
      <c r="F29" s="95">
        <f>IFERROR(E29/D29-1, "na")</f>
        <v>0.38163795138069379</v>
      </c>
      <c r="G29" s="100" t="s">
        <v>67</v>
      </c>
    </row>
    <row r="30" spans="1:7" x14ac:dyDescent="0.2">
      <c r="A30" s="92">
        <f t="shared" si="0"/>
        <v>21</v>
      </c>
      <c r="B30" s="129" t="s">
        <v>22</v>
      </c>
      <c r="C30" s="99"/>
      <c r="D30" s="141"/>
      <c r="E30" s="141"/>
      <c r="F30" s="144"/>
    </row>
    <row r="31" spans="1:7" x14ac:dyDescent="0.2">
      <c r="A31" s="92">
        <f t="shared" si="0"/>
        <v>22</v>
      </c>
      <c r="B31" s="93"/>
      <c r="C31" s="94"/>
      <c r="D31" s="97"/>
      <c r="E31" s="97"/>
      <c r="F31" s="95"/>
    </row>
    <row r="32" spans="1:7" x14ac:dyDescent="0.2">
      <c r="A32" s="92">
        <f t="shared" si="0"/>
        <v>23</v>
      </c>
      <c r="B32" s="125" t="s">
        <v>179</v>
      </c>
      <c r="C32" s="94" t="s">
        <v>270</v>
      </c>
      <c r="D32" s="97">
        <f>'Rate Impacts'!$H$30</f>
        <v>1.351E-3</v>
      </c>
      <c r="E32" s="97">
        <f>'Rate Impacts'!$J$30</f>
        <v>1.351E-3</v>
      </c>
      <c r="F32" s="95">
        <f>IFERROR(E32/D32-1, "na")</f>
        <v>0</v>
      </c>
      <c r="G32" s="100" t="s">
        <v>67</v>
      </c>
    </row>
    <row r="33" spans="1:7" x14ac:dyDescent="0.2">
      <c r="A33" s="92">
        <f t="shared" si="0"/>
        <v>24</v>
      </c>
      <c r="B33" s="93" t="s">
        <v>180</v>
      </c>
      <c r="C33" s="94" t="s">
        <v>62</v>
      </c>
      <c r="D33" s="97">
        <f>'Rate Impacts'!$H$32</f>
        <v>5.0289999999999996E-3</v>
      </c>
      <c r="E33" s="97">
        <f>'Rate Impacts'!$J$32</f>
        <v>6.757E-3</v>
      </c>
      <c r="F33" s="95">
        <f>IFERROR(E33/D33-1, "na")</f>
        <v>0.34360707894213571</v>
      </c>
      <c r="G33" s="100" t="s">
        <v>67</v>
      </c>
    </row>
    <row r="34" spans="1:7" x14ac:dyDescent="0.2">
      <c r="A34" s="92">
        <f t="shared" si="0"/>
        <v>25</v>
      </c>
      <c r="B34" s="93" t="s">
        <v>93</v>
      </c>
      <c r="C34" s="94" t="s">
        <v>102</v>
      </c>
      <c r="D34" s="101">
        <f>'Rate Impacts'!$H$34</f>
        <v>2.6700000000000001E-3</v>
      </c>
      <c r="E34" s="101">
        <f>'Rate Impacts'!$J$34</f>
        <v>3.738E-3</v>
      </c>
      <c r="F34" s="102">
        <f>IFERROR(E34/D34-1, "na")</f>
        <v>0.39999999999999991</v>
      </c>
      <c r="G34" s="128" t="s">
        <v>192</v>
      </c>
    </row>
    <row r="35" spans="1:7" x14ac:dyDescent="0.2">
      <c r="A35" s="92">
        <f t="shared" si="0"/>
        <v>26</v>
      </c>
      <c r="B35" s="93" t="s">
        <v>229</v>
      </c>
      <c r="C35" s="94">
        <v>558</v>
      </c>
      <c r="D35" s="101">
        <v>0</v>
      </c>
      <c r="E35" s="101">
        <f>'Rate Spread &amp; Design'!G28</f>
        <v>6.8668122110458482E-3</v>
      </c>
      <c r="F35" s="102" t="str">
        <f>IFERROR(E35/D35-1, "na")</f>
        <v>na</v>
      </c>
      <c r="G35" s="100" t="s">
        <v>67</v>
      </c>
    </row>
    <row r="36" spans="1:7" x14ac:dyDescent="0.2">
      <c r="A36" s="92">
        <f t="shared" si="0"/>
        <v>27</v>
      </c>
      <c r="B36" s="93"/>
      <c r="C36" s="94"/>
      <c r="D36" s="97"/>
      <c r="E36" s="97"/>
      <c r="F36" s="95"/>
    </row>
    <row r="37" spans="1:7" x14ac:dyDescent="0.2">
      <c r="A37" s="92">
        <f t="shared" si="0"/>
        <v>28</v>
      </c>
      <c r="B37" s="129" t="s">
        <v>181</v>
      </c>
      <c r="C37" s="99"/>
      <c r="D37" s="141"/>
      <c r="E37" s="141"/>
      <c r="F37" s="144"/>
    </row>
    <row r="38" spans="1:7" x14ac:dyDescent="0.2">
      <c r="A38" s="92">
        <f t="shared" si="0"/>
        <v>29</v>
      </c>
      <c r="B38" s="93"/>
      <c r="C38" s="94"/>
      <c r="D38" s="97"/>
      <c r="E38" s="97"/>
      <c r="F38" s="95"/>
    </row>
    <row r="39" spans="1:7" x14ac:dyDescent="0.2">
      <c r="A39" s="92">
        <f t="shared" si="0"/>
        <v>30</v>
      </c>
      <c r="B39" s="103" t="s">
        <v>182</v>
      </c>
      <c r="C39" s="94">
        <v>0</v>
      </c>
      <c r="D39" s="101" t="s">
        <v>166</v>
      </c>
      <c r="E39" s="101" t="s">
        <v>166</v>
      </c>
      <c r="F39" s="102" t="s">
        <v>166</v>
      </c>
    </row>
    <row r="40" spans="1:7" x14ac:dyDescent="0.2">
      <c r="A40" s="92">
        <f t="shared" si="0"/>
        <v>31</v>
      </c>
      <c r="B40" s="103"/>
      <c r="C40" s="104"/>
      <c r="D40" s="101"/>
      <c r="E40" s="101"/>
      <c r="F40" s="102"/>
    </row>
    <row r="41" spans="1:7" ht="12" thickBot="1" x14ac:dyDescent="0.25">
      <c r="A41" s="92">
        <f t="shared" si="0"/>
        <v>32</v>
      </c>
      <c r="B41" s="104" t="s">
        <v>183</v>
      </c>
      <c r="C41" s="114"/>
      <c r="D41" s="105"/>
      <c r="E41" s="105"/>
      <c r="F41" s="106"/>
    </row>
    <row r="42" spans="1:7" ht="12" thickTop="1" x14ac:dyDescent="0.2">
      <c r="A42" s="92">
        <f t="shared" si="0"/>
        <v>33</v>
      </c>
      <c r="B42" s="107"/>
      <c r="C42" s="104"/>
      <c r="D42" s="101"/>
      <c r="E42" s="101"/>
      <c r="F42" s="108"/>
    </row>
    <row r="43" spans="1:7" x14ac:dyDescent="0.2">
      <c r="A43" s="92">
        <f t="shared" si="0"/>
        <v>34</v>
      </c>
      <c r="B43" s="107"/>
      <c r="C43" s="104"/>
      <c r="D43" s="101"/>
      <c r="E43" s="101"/>
      <c r="F43" s="108"/>
    </row>
    <row r="44" spans="1:7" x14ac:dyDescent="0.2">
      <c r="A44" s="92">
        <f t="shared" si="0"/>
        <v>35</v>
      </c>
      <c r="B44" s="109" t="s">
        <v>165</v>
      </c>
      <c r="C44" s="109"/>
      <c r="D44" s="110"/>
      <c r="E44" s="110"/>
      <c r="F44" s="110"/>
    </row>
    <row r="45" spans="1:7" x14ac:dyDescent="0.2">
      <c r="A45" s="92">
        <f t="shared" si="0"/>
        <v>36</v>
      </c>
      <c r="B45" s="103" t="str">
        <f>B11</f>
        <v>Residential</v>
      </c>
      <c r="C45" s="107" t="str">
        <f>C11</f>
        <v>7 (307) (317) (327)</v>
      </c>
      <c r="D45" s="79"/>
      <c r="E45" s="79"/>
      <c r="F45" s="111" t="str">
        <f>IFERROR(E45/D45-1, "na")</f>
        <v>na</v>
      </c>
    </row>
    <row r="46" spans="1:7" x14ac:dyDescent="0.2">
      <c r="A46" s="92">
        <f t="shared" si="0"/>
        <v>37</v>
      </c>
      <c r="B46" s="103"/>
      <c r="C46" s="107"/>
      <c r="D46" s="78"/>
      <c r="E46" s="78"/>
      <c r="F46" s="102"/>
    </row>
    <row r="47" spans="1:7" x14ac:dyDescent="0.2">
      <c r="A47" s="92">
        <f t="shared" si="0"/>
        <v>38</v>
      </c>
      <c r="B47" s="103" t="str">
        <f t="shared" ref="B47:B53" si="1">B13</f>
        <v>Secondary Voltage</v>
      </c>
      <c r="C47" s="107"/>
      <c r="D47" s="78"/>
      <c r="E47" s="78"/>
      <c r="F47" s="102"/>
    </row>
    <row r="48" spans="1:7" x14ac:dyDescent="0.2">
      <c r="A48" s="92">
        <f t="shared" si="0"/>
        <v>39</v>
      </c>
      <c r="B48" s="112" t="str">
        <f t="shared" si="1"/>
        <v>Demand &lt;= 50 kW</v>
      </c>
      <c r="C48" s="107" t="str">
        <f>C14</f>
        <v>08 (24) (324)</v>
      </c>
      <c r="D48" s="78"/>
      <c r="E48" s="78"/>
      <c r="F48" s="102" t="str">
        <f>IFERROR(E48/D48-1, "na")</f>
        <v>na</v>
      </c>
    </row>
    <row r="49" spans="1:6" x14ac:dyDescent="0.2">
      <c r="A49" s="92">
        <f t="shared" si="0"/>
        <v>40</v>
      </c>
      <c r="B49" s="112" t="str">
        <f t="shared" si="1"/>
        <v>Demand &gt; 50 kW but &lt;= 350 kW</v>
      </c>
      <c r="C49" s="107" t="str">
        <f>C15</f>
        <v>7A</v>
      </c>
      <c r="D49" s="78"/>
      <c r="E49" s="78"/>
      <c r="F49" s="102" t="str">
        <f>IFERROR(E49/D49-1, "na")</f>
        <v>na</v>
      </c>
    </row>
    <row r="50" spans="1:6" x14ac:dyDescent="0.2">
      <c r="A50" s="92">
        <f t="shared" si="0"/>
        <v>41</v>
      </c>
      <c r="B50" s="112" t="str">
        <f t="shared" si="1"/>
        <v>Demand &gt; 50 kW but &lt;= 350 kW</v>
      </c>
      <c r="C50" s="107" t="str">
        <f>C16</f>
        <v>11 / 25</v>
      </c>
      <c r="D50" s="78">
        <f>D49</f>
        <v>0</v>
      </c>
      <c r="E50" s="78">
        <f>E49</f>
        <v>0</v>
      </c>
      <c r="F50" s="102" t="str">
        <f>IFERROR(E50/D50-1, "na")</f>
        <v>na</v>
      </c>
    </row>
    <row r="51" spans="1:6" x14ac:dyDescent="0.2">
      <c r="A51" s="92">
        <f t="shared" si="0"/>
        <v>42</v>
      </c>
      <c r="B51" s="112" t="str">
        <f t="shared" si="1"/>
        <v>Demand &gt; 350 kW</v>
      </c>
      <c r="C51" s="107" t="str">
        <f>C17</f>
        <v>12 (26) (26P)</v>
      </c>
      <c r="D51" s="78"/>
      <c r="E51" s="78"/>
      <c r="F51" s="102" t="str">
        <f>IFERROR(E51/D51-1, "na")</f>
        <v>na</v>
      </c>
    </row>
    <row r="52" spans="1:6" x14ac:dyDescent="0.2">
      <c r="A52" s="92">
        <f t="shared" si="0"/>
        <v>43</v>
      </c>
      <c r="B52" s="112" t="str">
        <f t="shared" si="1"/>
        <v>Demand &gt; 50 kW but &lt;= 350 kW</v>
      </c>
      <c r="C52" s="107">
        <f>C18</f>
        <v>29</v>
      </c>
      <c r="D52" s="78"/>
      <c r="E52" s="78"/>
      <c r="F52" s="102" t="str">
        <f>IFERROR(E52/D52-1, "na")</f>
        <v>na</v>
      </c>
    </row>
    <row r="53" spans="1:6" x14ac:dyDescent="0.2">
      <c r="A53" s="92">
        <f t="shared" si="0"/>
        <v>44</v>
      </c>
      <c r="B53" s="114" t="str">
        <f t="shared" si="1"/>
        <v>Total Secondary Voltage</v>
      </c>
      <c r="C53" s="113"/>
      <c r="D53" s="79"/>
      <c r="E53" s="79"/>
      <c r="F53" s="111"/>
    </row>
    <row r="54" spans="1:6" x14ac:dyDescent="0.2">
      <c r="A54" s="92">
        <f t="shared" si="0"/>
        <v>45</v>
      </c>
      <c r="B54" s="114"/>
      <c r="C54" s="113"/>
      <c r="D54" s="78"/>
      <c r="E54" s="78"/>
      <c r="F54" s="102"/>
    </row>
    <row r="55" spans="1:6" x14ac:dyDescent="0.2">
      <c r="A55" s="92">
        <f t="shared" si="0"/>
        <v>46</v>
      </c>
      <c r="B55" s="103" t="str">
        <f>B21</f>
        <v>Primary Voltage</v>
      </c>
      <c r="C55" s="107"/>
      <c r="D55" s="78"/>
      <c r="E55" s="78"/>
      <c r="F55" s="102"/>
    </row>
    <row r="56" spans="1:6" x14ac:dyDescent="0.2">
      <c r="A56" s="92">
        <f t="shared" si="0"/>
        <v>47</v>
      </c>
      <c r="B56" s="112" t="str">
        <f>B22</f>
        <v>General Service</v>
      </c>
      <c r="C56" s="107" t="str">
        <f>C22</f>
        <v>10 (31)</v>
      </c>
      <c r="D56" s="78"/>
      <c r="E56" s="78"/>
      <c r="F56" s="102" t="str">
        <f>IFERROR(E56/D56-1, "na")</f>
        <v>na</v>
      </c>
    </row>
    <row r="57" spans="1:6" x14ac:dyDescent="0.2">
      <c r="A57" s="92">
        <f t="shared" si="0"/>
        <v>48</v>
      </c>
      <c r="B57" s="112" t="str">
        <f>B23</f>
        <v>Irrigation</v>
      </c>
      <c r="C57" s="107">
        <f>C23</f>
        <v>35</v>
      </c>
      <c r="D57" s="78"/>
      <c r="E57" s="78"/>
      <c r="F57" s="102" t="str">
        <f>IFERROR(E57/D57-1, "na")</f>
        <v>na</v>
      </c>
    </row>
    <row r="58" spans="1:6" x14ac:dyDescent="0.2">
      <c r="A58" s="92">
        <f t="shared" si="0"/>
        <v>49</v>
      </c>
      <c r="B58" s="112" t="str">
        <f>B24</f>
        <v>Interruptible Schools</v>
      </c>
      <c r="C58" s="107">
        <f>C24</f>
        <v>43</v>
      </c>
      <c r="D58" s="78"/>
      <c r="E58" s="78"/>
      <c r="F58" s="102" t="str">
        <f>IFERROR(E58/D58-1, "na")</f>
        <v>na</v>
      </c>
    </row>
    <row r="59" spans="1:6" x14ac:dyDescent="0.2">
      <c r="A59" s="92">
        <f t="shared" si="0"/>
        <v>50</v>
      </c>
      <c r="B59" s="114" t="str">
        <f>B25</f>
        <v>Total Primary Voltage</v>
      </c>
      <c r="C59" s="113"/>
      <c r="D59" s="79"/>
      <c r="E59" s="79"/>
      <c r="F59" s="111"/>
    </row>
    <row r="60" spans="1:6" x14ac:dyDescent="0.2">
      <c r="A60" s="92">
        <f t="shared" si="0"/>
        <v>51</v>
      </c>
      <c r="B60" s="114"/>
      <c r="C60" s="113"/>
      <c r="D60" s="78"/>
      <c r="E60" s="78"/>
      <c r="F60" s="102"/>
    </row>
    <row r="61" spans="1:6" x14ac:dyDescent="0.2">
      <c r="A61" s="92">
        <f t="shared" si="0"/>
        <v>52</v>
      </c>
      <c r="B61" s="103" t="str">
        <f>B27</f>
        <v>High Voltage</v>
      </c>
      <c r="C61" s="107"/>
      <c r="D61" s="78"/>
      <c r="E61" s="78"/>
      <c r="F61" s="102"/>
    </row>
    <row r="62" spans="1:6" x14ac:dyDescent="0.2">
      <c r="A62" s="92">
        <f t="shared" si="0"/>
        <v>53</v>
      </c>
      <c r="B62" s="112" t="str">
        <f>B28</f>
        <v>Interruptible Service</v>
      </c>
      <c r="C62" s="107">
        <f>C28</f>
        <v>46</v>
      </c>
      <c r="D62" s="78"/>
      <c r="E62" s="78"/>
      <c r="F62" s="102" t="str">
        <f>IFERROR(E62/D62-1, "na")</f>
        <v>na</v>
      </c>
    </row>
    <row r="63" spans="1:6" x14ac:dyDescent="0.2">
      <c r="A63" s="92">
        <f t="shared" si="0"/>
        <v>54</v>
      </c>
      <c r="B63" s="112" t="str">
        <f>B29</f>
        <v>General Service</v>
      </c>
      <c r="C63" s="107">
        <f>C29</f>
        <v>49</v>
      </c>
      <c r="D63" s="78"/>
      <c r="E63" s="78"/>
      <c r="F63" s="102" t="str">
        <f>IFERROR(E63/D63-1, "na")</f>
        <v>na</v>
      </c>
    </row>
    <row r="64" spans="1:6" x14ac:dyDescent="0.2">
      <c r="A64" s="92">
        <f t="shared" si="0"/>
        <v>55</v>
      </c>
      <c r="B64" s="104" t="str">
        <f>B30</f>
        <v>Total High Voltage</v>
      </c>
      <c r="C64" s="113"/>
      <c r="D64" s="79"/>
      <c r="E64" s="79"/>
      <c r="F64" s="111"/>
    </row>
    <row r="65" spans="1:6" x14ac:dyDescent="0.2">
      <c r="A65" s="92">
        <f t="shared" si="0"/>
        <v>56</v>
      </c>
      <c r="B65" s="103"/>
      <c r="C65" s="107"/>
      <c r="D65" s="78"/>
      <c r="E65" s="78"/>
      <c r="F65" s="102"/>
    </row>
    <row r="66" spans="1:6" x14ac:dyDescent="0.2">
      <c r="A66" s="92">
        <f t="shared" si="0"/>
        <v>57</v>
      </c>
      <c r="B66" s="114" t="str">
        <f t="shared" ref="B66:C69" si="2">B32</f>
        <v>Choice / Retail Wheeling</v>
      </c>
      <c r="C66" s="107" t="str">
        <f t="shared" si="2"/>
        <v>448 - 459</v>
      </c>
      <c r="D66" s="78"/>
      <c r="E66" s="78"/>
      <c r="F66" s="102" t="str">
        <f>IFERROR(E66/D66-1, "na")</f>
        <v>na</v>
      </c>
    </row>
    <row r="67" spans="1:6" x14ac:dyDescent="0.2">
      <c r="A67" s="92">
        <f t="shared" si="0"/>
        <v>58</v>
      </c>
      <c r="B67" s="103" t="str">
        <f t="shared" si="2"/>
        <v>Special Contracts</v>
      </c>
      <c r="C67" s="107" t="str">
        <f t="shared" si="2"/>
        <v>Special Contract</v>
      </c>
      <c r="D67" s="78"/>
      <c r="E67" s="78"/>
      <c r="F67" s="102" t="str">
        <f>IFERROR(E67/D67-1, "na")</f>
        <v>na</v>
      </c>
    </row>
    <row r="68" spans="1:6" x14ac:dyDescent="0.2">
      <c r="A68" s="92">
        <f t="shared" si="0"/>
        <v>59</v>
      </c>
      <c r="B68" s="103" t="str">
        <f t="shared" si="2"/>
        <v>Lighting</v>
      </c>
      <c r="C68" s="107" t="str">
        <f t="shared" si="2"/>
        <v>50 - 59</v>
      </c>
      <c r="D68" s="78"/>
      <c r="E68" s="78"/>
      <c r="F68" s="102" t="str">
        <f>IFERROR(E68/D68-1, "na")</f>
        <v>na</v>
      </c>
    </row>
    <row r="69" spans="1:6" x14ac:dyDescent="0.2">
      <c r="A69" s="92">
        <f t="shared" si="0"/>
        <v>60</v>
      </c>
      <c r="B69" s="103" t="str">
        <f t="shared" si="2"/>
        <v>Transportation Electrification</v>
      </c>
      <c r="C69" s="107">
        <f t="shared" si="2"/>
        <v>558</v>
      </c>
      <c r="D69" s="78"/>
      <c r="E69" s="78"/>
      <c r="F69" s="102"/>
    </row>
    <row r="70" spans="1:6" x14ac:dyDescent="0.2">
      <c r="A70" s="92">
        <f t="shared" si="0"/>
        <v>61</v>
      </c>
      <c r="B70" s="103"/>
      <c r="C70" s="107"/>
      <c r="D70" s="78"/>
      <c r="E70" s="78"/>
      <c r="F70" s="102"/>
    </row>
    <row r="71" spans="1:6" x14ac:dyDescent="0.2">
      <c r="A71" s="92">
        <f t="shared" si="0"/>
        <v>62</v>
      </c>
      <c r="B71" s="104" t="str">
        <f>B37</f>
        <v>Total Retail Sales</v>
      </c>
      <c r="C71" s="113"/>
      <c r="D71" s="79"/>
      <c r="E71" s="79"/>
      <c r="F71" s="111"/>
    </row>
    <row r="72" spans="1:6" x14ac:dyDescent="0.2">
      <c r="A72" s="92">
        <f t="shared" si="0"/>
        <v>63</v>
      </c>
      <c r="B72" s="103"/>
      <c r="C72" s="107"/>
      <c r="D72" s="78"/>
      <c r="E72" s="78"/>
      <c r="F72" s="102"/>
    </row>
    <row r="73" spans="1:6" x14ac:dyDescent="0.2">
      <c r="A73" s="92">
        <f t="shared" si="0"/>
        <v>64</v>
      </c>
      <c r="B73" s="103" t="str">
        <f>B39</f>
        <v>Firm Resale</v>
      </c>
      <c r="C73" s="107">
        <f>C39</f>
        <v>0</v>
      </c>
      <c r="D73" s="78"/>
      <c r="E73" s="78"/>
      <c r="F73" s="102" t="str">
        <f>IFERROR(E73/D73-1, "na")</f>
        <v>na</v>
      </c>
    </row>
    <row r="74" spans="1:6" x14ac:dyDescent="0.2">
      <c r="A74" s="92">
        <f t="shared" si="0"/>
        <v>65</v>
      </c>
      <c r="B74" s="103"/>
      <c r="C74" s="104"/>
      <c r="D74" s="101"/>
      <c r="E74" s="101"/>
      <c r="F74" s="102"/>
    </row>
    <row r="75" spans="1:6" ht="12" thickBot="1" x14ac:dyDescent="0.25">
      <c r="A75" s="92">
        <f>+A74+1</f>
        <v>66</v>
      </c>
      <c r="B75" s="104" t="str">
        <f>B41</f>
        <v>Total Sales</v>
      </c>
      <c r="C75" s="114"/>
      <c r="D75" s="105"/>
      <c r="E75" s="105"/>
      <c r="F75" s="106"/>
    </row>
    <row r="76" spans="1:6" ht="12" thickTop="1" x14ac:dyDescent="0.2"/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E179"/>
  <sheetViews>
    <sheetView workbookViewId="0">
      <pane ySplit="8" topLeftCell="A9" activePane="bottomLeft" state="frozen"/>
      <selection activeCell="J42" sqref="J42"/>
      <selection pane="bottomLeft" activeCell="J42" sqref="J42"/>
    </sheetView>
  </sheetViews>
  <sheetFormatPr defaultColWidth="8.85546875" defaultRowHeight="11.25" x14ac:dyDescent="0.2"/>
  <cols>
    <col min="1" max="1" width="6.7109375" style="135" bestFit="1" customWidth="1"/>
    <col min="2" max="2" width="25.85546875" style="135" bestFit="1" customWidth="1"/>
    <col min="3" max="3" width="9.7109375" style="135" bestFit="1" customWidth="1"/>
    <col min="4" max="4" width="11.5703125" style="135" customWidth="1"/>
    <col min="5" max="5" width="18.28515625" style="135" bestFit="1" customWidth="1"/>
    <col min="6" max="6" width="12.42578125" style="135" bestFit="1" customWidth="1"/>
    <col min="7" max="16384" width="8.85546875" style="135"/>
  </cols>
  <sheetData>
    <row r="1" spans="1:5" x14ac:dyDescent="0.2">
      <c r="A1" s="115" t="s">
        <v>103</v>
      </c>
      <c r="B1" s="116"/>
      <c r="C1" s="116"/>
      <c r="D1" s="117"/>
      <c r="E1" s="116"/>
    </row>
    <row r="2" spans="1:5" x14ac:dyDescent="0.2">
      <c r="A2" s="115" t="s">
        <v>114</v>
      </c>
      <c r="B2" s="116"/>
      <c r="C2" s="116"/>
      <c r="D2" s="117"/>
      <c r="E2" s="116"/>
    </row>
    <row r="3" spans="1:5" x14ac:dyDescent="0.2">
      <c r="A3" s="118" t="str">
        <f>Inputs!B2&amp;" Forecasted Rate-Year Ended "&amp;TEXT(Inputs!B4,"mmmm d, yyyy")</f>
        <v>F2024 Forecasted Rate-Year Ended April 30, 2026</v>
      </c>
      <c r="B3" s="116"/>
      <c r="C3" s="116"/>
      <c r="D3" s="117"/>
      <c r="E3" s="116"/>
    </row>
    <row r="4" spans="1:5" x14ac:dyDescent="0.2">
      <c r="A4" s="118" t="str">
        <f>"Proposed Rate Effective "&amp;TEXT(Inputs!B1,"mmmm d, yyyy")</f>
        <v>Proposed Rate Effective May 1, 2025</v>
      </c>
      <c r="B4" s="116"/>
      <c r="C4" s="116"/>
      <c r="D4" s="117"/>
      <c r="E4" s="116"/>
    </row>
    <row r="5" spans="1:5" x14ac:dyDescent="0.2">
      <c r="A5" s="115" t="s">
        <v>175</v>
      </c>
      <c r="B5" s="116"/>
      <c r="C5" s="116"/>
      <c r="D5" s="117"/>
      <c r="E5" s="116"/>
    </row>
    <row r="6" spans="1:5" ht="12" thickBot="1" x14ac:dyDescent="0.25">
      <c r="A6" s="115"/>
      <c r="B6" s="116"/>
      <c r="C6" s="116"/>
      <c r="D6" s="117"/>
      <c r="E6" s="116"/>
    </row>
    <row r="7" spans="1:5" ht="13.5" thickBot="1" x14ac:dyDescent="0.25">
      <c r="A7" s="116" t="s">
        <v>100</v>
      </c>
      <c r="B7" s="116"/>
      <c r="C7" s="269" t="s">
        <v>246</v>
      </c>
      <c r="D7" s="270"/>
      <c r="E7" s="271"/>
    </row>
    <row r="8" spans="1:5" ht="33.75" x14ac:dyDescent="0.2">
      <c r="A8" s="119" t="s">
        <v>23</v>
      </c>
      <c r="B8" s="120" t="s">
        <v>191</v>
      </c>
      <c r="C8" s="136" t="s">
        <v>174</v>
      </c>
      <c r="D8" s="121" t="s">
        <v>156</v>
      </c>
      <c r="E8" s="119" t="s">
        <v>65</v>
      </c>
    </row>
    <row r="9" spans="1:5" x14ac:dyDescent="0.2">
      <c r="A9" s="122">
        <v>1</v>
      </c>
      <c r="B9" s="116" t="s">
        <v>100</v>
      </c>
      <c r="C9" s="117"/>
      <c r="D9" s="97"/>
      <c r="E9" s="124"/>
    </row>
    <row r="10" spans="1:5" ht="13.5" x14ac:dyDescent="0.35">
      <c r="A10" s="122">
        <f t="shared" ref="A10:A41" si="0">A9+1</f>
        <v>2</v>
      </c>
      <c r="B10" s="123" t="s">
        <v>119</v>
      </c>
      <c r="C10" s="170"/>
      <c r="E10" s="124"/>
    </row>
    <row r="11" spans="1:5" x14ac:dyDescent="0.2">
      <c r="A11" s="122">
        <f t="shared" si="0"/>
        <v>3</v>
      </c>
      <c r="B11" s="125" t="s">
        <v>185</v>
      </c>
      <c r="C11" s="126">
        <v>22</v>
      </c>
      <c r="D11" s="182">
        <f>ROUND('Lighting RD'!F11,2)</f>
        <v>0.03</v>
      </c>
      <c r="E11" s="100" t="s">
        <v>67</v>
      </c>
    </row>
    <row r="12" spans="1:5" x14ac:dyDescent="0.2">
      <c r="A12" s="122">
        <f t="shared" si="0"/>
        <v>4</v>
      </c>
      <c r="B12" s="125"/>
      <c r="C12" s="127"/>
      <c r="D12" s="182"/>
      <c r="E12" s="128"/>
    </row>
    <row r="13" spans="1:5" x14ac:dyDescent="0.2">
      <c r="A13" s="122">
        <f t="shared" si="0"/>
        <v>5</v>
      </c>
      <c r="B13" s="125" t="s">
        <v>136</v>
      </c>
      <c r="C13" s="126">
        <v>100</v>
      </c>
      <c r="D13" s="182">
        <f>ROUND('Lighting RD'!F13,2)</f>
        <v>0.15</v>
      </c>
      <c r="E13" s="100" t="s">
        <v>67</v>
      </c>
    </row>
    <row r="14" spans="1:5" x14ac:dyDescent="0.2">
      <c r="A14" s="122">
        <f t="shared" si="0"/>
        <v>6</v>
      </c>
      <c r="B14" s="125" t="s">
        <v>136</v>
      </c>
      <c r="C14" s="126">
        <v>175</v>
      </c>
      <c r="D14" s="182">
        <f>ROUND('Lighting RD'!F14,2)</f>
        <v>0.26</v>
      </c>
      <c r="E14" s="100" t="s">
        <v>67</v>
      </c>
    </row>
    <row r="15" spans="1:5" x14ac:dyDescent="0.2">
      <c r="A15" s="122">
        <f t="shared" si="0"/>
        <v>7</v>
      </c>
      <c r="B15" s="125" t="s">
        <v>136</v>
      </c>
      <c r="C15" s="126">
        <v>400</v>
      </c>
      <c r="D15" s="182">
        <f>ROUND('Lighting RD'!F15,2)</f>
        <v>0.54</v>
      </c>
      <c r="E15" s="100" t="s">
        <v>67</v>
      </c>
    </row>
    <row r="16" spans="1:5" x14ac:dyDescent="0.2">
      <c r="A16" s="122">
        <f t="shared" si="0"/>
        <v>8</v>
      </c>
      <c r="B16" s="125" t="s">
        <v>136</v>
      </c>
      <c r="C16" s="126">
        <v>700</v>
      </c>
      <c r="D16" s="182">
        <f>ROUND('Lighting RD'!F16,2)</f>
        <v>1.34</v>
      </c>
      <c r="E16" s="100" t="s">
        <v>67</v>
      </c>
    </row>
    <row r="17" spans="1:5" x14ac:dyDescent="0.2">
      <c r="A17" s="122">
        <f t="shared" si="0"/>
        <v>9</v>
      </c>
      <c r="B17" s="129"/>
      <c r="C17" s="124"/>
      <c r="D17" s="182"/>
      <c r="E17" s="128"/>
    </row>
    <row r="18" spans="1:5" ht="13.5" x14ac:dyDescent="0.35">
      <c r="A18" s="122">
        <f t="shared" si="0"/>
        <v>10</v>
      </c>
      <c r="B18" s="123" t="s">
        <v>120</v>
      </c>
      <c r="C18" s="124"/>
      <c r="D18" s="182"/>
      <c r="E18" s="128"/>
    </row>
    <row r="19" spans="1:5" x14ac:dyDescent="0.2">
      <c r="A19" s="122">
        <f t="shared" si="0"/>
        <v>11</v>
      </c>
      <c r="B19" s="125" t="s">
        <v>137</v>
      </c>
      <c r="C19" s="124" t="s">
        <v>76</v>
      </c>
      <c r="D19" s="182">
        <f>ROUND('Lighting RD'!F19,2)</f>
        <v>0.03</v>
      </c>
      <c r="E19" s="100" t="s">
        <v>68</v>
      </c>
    </row>
    <row r="20" spans="1:5" x14ac:dyDescent="0.2">
      <c r="A20" s="122">
        <f t="shared" si="0"/>
        <v>12</v>
      </c>
      <c r="B20" s="125" t="s">
        <v>137</v>
      </c>
      <c r="C20" s="130" t="s">
        <v>64</v>
      </c>
      <c r="D20" s="182">
        <f>ROUND('Lighting RD'!F20,2)</f>
        <v>0.06</v>
      </c>
      <c r="E20" s="100" t="s">
        <v>68</v>
      </c>
    </row>
    <row r="21" spans="1:5" x14ac:dyDescent="0.2">
      <c r="A21" s="122">
        <f t="shared" si="0"/>
        <v>13</v>
      </c>
      <c r="B21" s="125" t="s">
        <v>137</v>
      </c>
      <c r="C21" s="126" t="s">
        <v>34</v>
      </c>
      <c r="D21" s="182">
        <f>ROUND('Lighting RD'!F21,2)</f>
        <v>0.1</v>
      </c>
      <c r="E21" s="100" t="s">
        <v>68</v>
      </c>
    </row>
    <row r="22" spans="1:5" x14ac:dyDescent="0.2">
      <c r="A22" s="122">
        <f t="shared" si="0"/>
        <v>14</v>
      </c>
      <c r="B22" s="125" t="s">
        <v>137</v>
      </c>
      <c r="C22" s="126" t="s">
        <v>35</v>
      </c>
      <c r="D22" s="182">
        <f>ROUND('Lighting RD'!F22,2)</f>
        <v>0.15</v>
      </c>
      <c r="E22" s="100" t="s">
        <v>68</v>
      </c>
    </row>
    <row r="23" spans="1:5" x14ac:dyDescent="0.2">
      <c r="A23" s="122">
        <f t="shared" si="0"/>
        <v>15</v>
      </c>
      <c r="B23" s="125" t="s">
        <v>137</v>
      </c>
      <c r="C23" s="126" t="s">
        <v>36</v>
      </c>
      <c r="D23" s="182">
        <f>ROUND('Lighting RD'!F23,2)</f>
        <v>0.15</v>
      </c>
      <c r="E23" s="100" t="s">
        <v>68</v>
      </c>
    </row>
    <row r="24" spans="1:5" x14ac:dyDescent="0.2">
      <c r="A24" s="122">
        <f t="shared" si="0"/>
        <v>16</v>
      </c>
      <c r="B24" s="125" t="s">
        <v>137</v>
      </c>
      <c r="C24" s="126" t="s">
        <v>37</v>
      </c>
      <c r="D24" s="182">
        <f>ROUND('Lighting RD'!F24,2)</f>
        <v>0.26</v>
      </c>
      <c r="E24" s="100" t="s">
        <v>68</v>
      </c>
    </row>
    <row r="25" spans="1:5" x14ac:dyDescent="0.2">
      <c r="A25" s="122">
        <f t="shared" si="0"/>
        <v>17</v>
      </c>
      <c r="B25" s="125" t="s">
        <v>137</v>
      </c>
      <c r="C25" s="126" t="s">
        <v>38</v>
      </c>
      <c r="D25" s="182">
        <f>ROUND('Lighting RD'!F25,2)</f>
        <v>0.26</v>
      </c>
      <c r="E25" s="100" t="s">
        <v>68</v>
      </c>
    </row>
    <row r="26" spans="1:5" x14ac:dyDescent="0.2">
      <c r="A26" s="122">
        <f t="shared" si="0"/>
        <v>18</v>
      </c>
      <c r="B26" s="125" t="s">
        <v>137</v>
      </c>
      <c r="C26" s="126" t="s">
        <v>39</v>
      </c>
      <c r="D26" s="182">
        <f>ROUND('Lighting RD'!F26,2)</f>
        <v>0.26</v>
      </c>
      <c r="E26" s="100" t="s">
        <v>68</v>
      </c>
    </row>
    <row r="27" spans="1:5" x14ac:dyDescent="0.2">
      <c r="A27" s="122">
        <f t="shared" si="0"/>
        <v>19</v>
      </c>
      <c r="B27" s="125" t="s">
        <v>137</v>
      </c>
      <c r="C27" s="126" t="s">
        <v>40</v>
      </c>
      <c r="D27" s="182">
        <f>ROUND('Lighting RD'!F27,2)</f>
        <v>0.34</v>
      </c>
      <c r="E27" s="100" t="s">
        <v>68</v>
      </c>
    </row>
    <row r="28" spans="1:5" x14ac:dyDescent="0.2">
      <c r="A28" s="122">
        <f t="shared" si="0"/>
        <v>20</v>
      </c>
      <c r="B28" s="125" t="s">
        <v>137</v>
      </c>
      <c r="C28" s="126" t="s">
        <v>41</v>
      </c>
      <c r="D28" s="182">
        <f>ROUND('Lighting RD'!F28,2)</f>
        <v>0.34</v>
      </c>
      <c r="E28" s="100" t="s">
        <v>68</v>
      </c>
    </row>
    <row r="29" spans="1:5" x14ac:dyDescent="0.2">
      <c r="A29" s="122">
        <f t="shared" si="0"/>
        <v>21</v>
      </c>
      <c r="B29" s="125"/>
      <c r="C29" s="126"/>
      <c r="D29" s="182"/>
      <c r="E29" s="100"/>
    </row>
    <row r="30" spans="1:5" x14ac:dyDescent="0.2">
      <c r="A30" s="122">
        <f t="shared" si="0"/>
        <v>22</v>
      </c>
      <c r="B30" s="125" t="s">
        <v>138</v>
      </c>
      <c r="C30" s="126" t="s">
        <v>135</v>
      </c>
      <c r="D30" s="131">
        <f>ROUND('Lighting RD'!F29,6)</f>
        <v>3.738E-3</v>
      </c>
      <c r="E30" s="100" t="s">
        <v>68</v>
      </c>
    </row>
    <row r="31" spans="1:5" x14ac:dyDescent="0.2">
      <c r="A31" s="122">
        <f t="shared" si="0"/>
        <v>23</v>
      </c>
      <c r="B31" s="129"/>
      <c r="C31" s="124"/>
      <c r="D31" s="182"/>
      <c r="E31" s="128"/>
    </row>
    <row r="32" spans="1:5" ht="13.5" x14ac:dyDescent="0.35">
      <c r="A32" s="122">
        <f t="shared" si="0"/>
        <v>24</v>
      </c>
      <c r="B32" s="123" t="s">
        <v>121</v>
      </c>
      <c r="C32" s="124"/>
      <c r="D32" s="182"/>
      <c r="E32" s="128"/>
    </row>
    <row r="33" spans="1:5" x14ac:dyDescent="0.2">
      <c r="A33" s="122">
        <f t="shared" si="0"/>
        <v>25</v>
      </c>
      <c r="B33" s="125" t="s">
        <v>139</v>
      </c>
      <c r="C33" s="126">
        <v>50</v>
      </c>
      <c r="D33" s="182">
        <f>ROUND('Lighting RD'!F32,2)</f>
        <v>0.06</v>
      </c>
      <c r="E33" s="100" t="s">
        <v>69</v>
      </c>
    </row>
    <row r="34" spans="1:5" x14ac:dyDescent="0.2">
      <c r="A34" s="122">
        <f t="shared" si="0"/>
        <v>26</v>
      </c>
      <c r="B34" s="125" t="s">
        <v>139</v>
      </c>
      <c r="C34" s="126">
        <v>70</v>
      </c>
      <c r="D34" s="182">
        <f>ROUND('Lighting RD'!F33,2)</f>
        <v>0.1</v>
      </c>
      <c r="E34" s="100" t="s">
        <v>69</v>
      </c>
    </row>
    <row r="35" spans="1:5" x14ac:dyDescent="0.2">
      <c r="A35" s="122">
        <f t="shared" si="0"/>
        <v>27</v>
      </c>
      <c r="B35" s="125" t="s">
        <v>139</v>
      </c>
      <c r="C35" s="126">
        <v>100</v>
      </c>
      <c r="D35" s="182">
        <f>ROUND('Lighting RD'!F34,2)</f>
        <v>0.15</v>
      </c>
      <c r="E35" s="100" t="s">
        <v>69</v>
      </c>
    </row>
    <row r="36" spans="1:5" x14ac:dyDescent="0.2">
      <c r="A36" s="122">
        <f t="shared" si="0"/>
        <v>28</v>
      </c>
      <c r="B36" s="125" t="s">
        <v>139</v>
      </c>
      <c r="C36" s="126">
        <v>150</v>
      </c>
      <c r="D36" s="182">
        <f>ROUND('Lighting RD'!F35,2)</f>
        <v>0.15</v>
      </c>
      <c r="E36" s="100" t="s">
        <v>69</v>
      </c>
    </row>
    <row r="37" spans="1:5" x14ac:dyDescent="0.2">
      <c r="A37" s="122">
        <f t="shared" si="0"/>
        <v>29</v>
      </c>
      <c r="B37" s="125" t="s">
        <v>139</v>
      </c>
      <c r="C37" s="126">
        <v>200</v>
      </c>
      <c r="D37" s="182">
        <f>ROUND('Lighting RD'!F36,2)</f>
        <v>0.26</v>
      </c>
      <c r="E37" s="100" t="s">
        <v>69</v>
      </c>
    </row>
    <row r="38" spans="1:5" x14ac:dyDescent="0.2">
      <c r="A38" s="122">
        <f t="shared" si="0"/>
        <v>30</v>
      </c>
      <c r="B38" s="125" t="s">
        <v>139</v>
      </c>
      <c r="C38" s="126">
        <v>250</v>
      </c>
      <c r="D38" s="182">
        <f>ROUND('Lighting RD'!F37,2)</f>
        <v>0.34</v>
      </c>
      <c r="E38" s="100" t="s">
        <v>69</v>
      </c>
    </row>
    <row r="39" spans="1:5" x14ac:dyDescent="0.2">
      <c r="A39" s="122">
        <f t="shared" si="0"/>
        <v>31</v>
      </c>
      <c r="B39" s="125" t="s">
        <v>139</v>
      </c>
      <c r="C39" s="126">
        <v>310</v>
      </c>
      <c r="D39" s="182">
        <f>ROUND('Lighting RD'!F38,2)</f>
        <v>0.34</v>
      </c>
      <c r="E39" s="100" t="s">
        <v>69</v>
      </c>
    </row>
    <row r="40" spans="1:5" x14ac:dyDescent="0.2">
      <c r="A40" s="122">
        <f t="shared" si="0"/>
        <v>32</v>
      </c>
      <c r="B40" s="125" t="s">
        <v>139</v>
      </c>
      <c r="C40" s="126">
        <v>400</v>
      </c>
      <c r="D40" s="182">
        <f>ROUND('Lighting RD'!F39,2)</f>
        <v>0.54</v>
      </c>
      <c r="E40" s="100" t="s">
        <v>69</v>
      </c>
    </row>
    <row r="41" spans="1:5" x14ac:dyDescent="0.2">
      <c r="A41" s="122">
        <f t="shared" si="0"/>
        <v>33</v>
      </c>
      <c r="B41" s="132"/>
      <c r="C41" s="126"/>
      <c r="D41" s="182"/>
      <c r="E41" s="128"/>
    </row>
    <row r="42" spans="1:5" x14ac:dyDescent="0.2">
      <c r="A42" s="122">
        <f t="shared" ref="A42:A73" si="1">A41+1</f>
        <v>34</v>
      </c>
      <c r="B42" s="125" t="s">
        <v>140</v>
      </c>
      <c r="C42" s="126">
        <v>70</v>
      </c>
      <c r="D42" s="182">
        <f>ROUND('Lighting RD'!F41,2)</f>
        <v>0.1</v>
      </c>
      <c r="E42" s="100" t="s">
        <v>69</v>
      </c>
    </row>
    <row r="43" spans="1:5" x14ac:dyDescent="0.2">
      <c r="A43" s="122">
        <f t="shared" si="1"/>
        <v>35</v>
      </c>
      <c r="B43" s="125" t="s">
        <v>140</v>
      </c>
      <c r="C43" s="126">
        <v>100</v>
      </c>
      <c r="D43" s="182">
        <f>ROUND('Lighting RD'!F42,2)</f>
        <v>0.15</v>
      </c>
      <c r="E43" s="100" t="s">
        <v>69</v>
      </c>
    </row>
    <row r="44" spans="1:5" x14ac:dyDescent="0.2">
      <c r="A44" s="122">
        <f t="shared" si="1"/>
        <v>36</v>
      </c>
      <c r="B44" s="125" t="s">
        <v>140</v>
      </c>
      <c r="C44" s="126">
        <v>150</v>
      </c>
      <c r="D44" s="182">
        <f>ROUND('Lighting RD'!F43,2)</f>
        <v>0.15</v>
      </c>
      <c r="E44" s="100" t="s">
        <v>69</v>
      </c>
    </row>
    <row r="45" spans="1:5" x14ac:dyDescent="0.2">
      <c r="A45" s="122">
        <f t="shared" si="1"/>
        <v>37</v>
      </c>
      <c r="B45" s="125" t="s">
        <v>140</v>
      </c>
      <c r="C45" s="126">
        <v>175</v>
      </c>
      <c r="D45" s="182">
        <f>ROUND('Lighting RD'!F44,2)</f>
        <v>0.26</v>
      </c>
      <c r="E45" s="100" t="s">
        <v>69</v>
      </c>
    </row>
    <row r="46" spans="1:5" x14ac:dyDescent="0.2">
      <c r="A46" s="122">
        <f t="shared" si="1"/>
        <v>38</v>
      </c>
      <c r="B46" s="125" t="s">
        <v>140</v>
      </c>
      <c r="C46" s="126">
        <v>250</v>
      </c>
      <c r="D46" s="182">
        <f>ROUND('Lighting RD'!F45,2)</f>
        <v>0.34</v>
      </c>
      <c r="E46" s="100" t="s">
        <v>69</v>
      </c>
    </row>
    <row r="47" spans="1:5" x14ac:dyDescent="0.2">
      <c r="A47" s="122">
        <f t="shared" si="1"/>
        <v>39</v>
      </c>
      <c r="B47" s="125" t="s">
        <v>140</v>
      </c>
      <c r="C47" s="126">
        <v>400</v>
      </c>
      <c r="D47" s="182">
        <f>ROUND('Lighting RD'!F46,2)</f>
        <v>0.54</v>
      </c>
      <c r="E47" s="100" t="s">
        <v>69</v>
      </c>
    </row>
    <row r="48" spans="1:5" x14ac:dyDescent="0.2">
      <c r="A48" s="122">
        <f t="shared" si="1"/>
        <v>40</v>
      </c>
      <c r="B48" s="125" t="s">
        <v>140</v>
      </c>
      <c r="C48" s="126">
        <v>1000</v>
      </c>
      <c r="D48" s="182">
        <f>ROUND('Lighting RD'!F47,2)</f>
        <v>1.34</v>
      </c>
      <c r="E48" s="100" t="s">
        <v>69</v>
      </c>
    </row>
    <row r="49" spans="1:5" x14ac:dyDescent="0.2">
      <c r="A49" s="122">
        <f t="shared" si="1"/>
        <v>41</v>
      </c>
      <c r="B49" s="129"/>
      <c r="C49" s="124"/>
      <c r="D49" s="182"/>
      <c r="E49" s="128"/>
    </row>
    <row r="50" spans="1:5" ht="13.5" x14ac:dyDescent="0.35">
      <c r="A50" s="122">
        <f t="shared" si="1"/>
        <v>42</v>
      </c>
      <c r="B50" s="123" t="s">
        <v>122</v>
      </c>
      <c r="C50" s="124"/>
      <c r="D50" s="182"/>
      <c r="E50" s="128"/>
    </row>
    <row r="51" spans="1:5" x14ac:dyDescent="0.2">
      <c r="A51" s="122">
        <f t="shared" si="1"/>
        <v>43</v>
      </c>
      <c r="B51" s="125" t="s">
        <v>141</v>
      </c>
      <c r="C51" s="126">
        <v>50</v>
      </c>
      <c r="D51" s="182">
        <f>ROUND('Lighting RD'!F50,2)</f>
        <v>0.06</v>
      </c>
      <c r="E51" s="100" t="s">
        <v>69</v>
      </c>
    </row>
    <row r="52" spans="1:5" x14ac:dyDescent="0.2">
      <c r="A52" s="122">
        <f t="shared" si="1"/>
        <v>44</v>
      </c>
      <c r="B52" s="125" t="s">
        <v>141</v>
      </c>
      <c r="C52" s="126">
        <v>70</v>
      </c>
      <c r="D52" s="182">
        <f>ROUND('Lighting RD'!F51,2)</f>
        <v>0.1</v>
      </c>
      <c r="E52" s="100" t="s">
        <v>69</v>
      </c>
    </row>
    <row r="53" spans="1:5" x14ac:dyDescent="0.2">
      <c r="A53" s="122">
        <f t="shared" si="1"/>
        <v>45</v>
      </c>
      <c r="B53" s="125" t="s">
        <v>141</v>
      </c>
      <c r="C53" s="126">
        <v>100</v>
      </c>
      <c r="D53" s="182">
        <f>ROUND('Lighting RD'!F52,2)</f>
        <v>0.15</v>
      </c>
      <c r="E53" s="100" t="s">
        <v>69</v>
      </c>
    </row>
    <row r="54" spans="1:5" x14ac:dyDescent="0.2">
      <c r="A54" s="122">
        <f t="shared" si="1"/>
        <v>46</v>
      </c>
      <c r="B54" s="125" t="s">
        <v>141</v>
      </c>
      <c r="C54" s="126">
        <v>150</v>
      </c>
      <c r="D54" s="182">
        <f>ROUND('Lighting RD'!F53,2)</f>
        <v>0.15</v>
      </c>
      <c r="E54" s="100" t="s">
        <v>69</v>
      </c>
    </row>
    <row r="55" spans="1:5" x14ac:dyDescent="0.2">
      <c r="A55" s="122">
        <f t="shared" si="1"/>
        <v>47</v>
      </c>
      <c r="B55" s="125" t="s">
        <v>141</v>
      </c>
      <c r="C55" s="126">
        <v>200</v>
      </c>
      <c r="D55" s="182">
        <f>ROUND('Lighting RD'!F54,2)</f>
        <v>0.26</v>
      </c>
      <c r="E55" s="100" t="s">
        <v>69</v>
      </c>
    </row>
    <row r="56" spans="1:5" x14ac:dyDescent="0.2">
      <c r="A56" s="122">
        <f t="shared" si="1"/>
        <v>48</v>
      </c>
      <c r="B56" s="125" t="s">
        <v>141</v>
      </c>
      <c r="C56" s="126">
        <v>250</v>
      </c>
      <c r="D56" s="182">
        <f>ROUND('Lighting RD'!F55,2)</f>
        <v>0.34</v>
      </c>
      <c r="E56" s="100" t="s">
        <v>69</v>
      </c>
    </row>
    <row r="57" spans="1:5" x14ac:dyDescent="0.2">
      <c r="A57" s="122">
        <f t="shared" si="1"/>
        <v>49</v>
      </c>
      <c r="B57" s="125" t="s">
        <v>141</v>
      </c>
      <c r="C57" s="126">
        <v>310</v>
      </c>
      <c r="D57" s="182">
        <f>ROUND('Lighting RD'!F56,2)</f>
        <v>0.34</v>
      </c>
      <c r="E57" s="100" t="s">
        <v>69</v>
      </c>
    </row>
    <row r="58" spans="1:5" x14ac:dyDescent="0.2">
      <c r="A58" s="122">
        <f t="shared" si="1"/>
        <v>50</v>
      </c>
      <c r="B58" s="125" t="s">
        <v>141</v>
      </c>
      <c r="C58" s="126">
        <v>400</v>
      </c>
      <c r="D58" s="182">
        <f>ROUND('Lighting RD'!F57,2)</f>
        <v>0.54</v>
      </c>
      <c r="E58" s="100" t="s">
        <v>69</v>
      </c>
    </row>
    <row r="59" spans="1:5" x14ac:dyDescent="0.2">
      <c r="A59" s="122">
        <f t="shared" si="1"/>
        <v>51</v>
      </c>
      <c r="B59" s="125" t="s">
        <v>141</v>
      </c>
      <c r="C59" s="126">
        <v>1000</v>
      </c>
      <c r="D59" s="182">
        <f>ROUND('Lighting RD'!F58,2)</f>
        <v>1.34</v>
      </c>
      <c r="E59" s="100" t="s">
        <v>69</v>
      </c>
    </row>
    <row r="60" spans="1:5" x14ac:dyDescent="0.2">
      <c r="A60" s="122">
        <f t="shared" si="1"/>
        <v>52</v>
      </c>
      <c r="B60" s="132"/>
      <c r="C60" s="126"/>
      <c r="D60" s="182"/>
      <c r="E60" s="128"/>
    </row>
    <row r="61" spans="1:5" x14ac:dyDescent="0.2">
      <c r="A61" s="122">
        <f t="shared" si="1"/>
        <v>53</v>
      </c>
      <c r="B61" s="125" t="s">
        <v>142</v>
      </c>
      <c r="C61" s="126">
        <v>70</v>
      </c>
      <c r="D61" s="182">
        <f>ROUND('Lighting RD'!F60,2)</f>
        <v>0.1</v>
      </c>
      <c r="E61" s="100" t="s">
        <v>70</v>
      </c>
    </row>
    <row r="62" spans="1:5" x14ac:dyDescent="0.2">
      <c r="A62" s="122">
        <f t="shared" si="1"/>
        <v>54</v>
      </c>
      <c r="B62" s="125" t="s">
        <v>142</v>
      </c>
      <c r="C62" s="126">
        <v>100</v>
      </c>
      <c r="D62" s="182">
        <f>ROUND('Lighting RD'!F61,2)</f>
        <v>0.15</v>
      </c>
      <c r="E62" s="100" t="s">
        <v>70</v>
      </c>
    </row>
    <row r="63" spans="1:5" x14ac:dyDescent="0.2">
      <c r="A63" s="122">
        <f t="shared" si="1"/>
        <v>55</v>
      </c>
      <c r="B63" s="125" t="s">
        <v>142</v>
      </c>
      <c r="C63" s="126">
        <v>150</v>
      </c>
      <c r="D63" s="182">
        <f>ROUND('Lighting RD'!F62,2)</f>
        <v>0.15</v>
      </c>
      <c r="E63" s="100" t="s">
        <v>70</v>
      </c>
    </row>
    <row r="64" spans="1:5" x14ac:dyDescent="0.2">
      <c r="A64" s="122">
        <f t="shared" si="1"/>
        <v>56</v>
      </c>
      <c r="B64" s="125" t="s">
        <v>142</v>
      </c>
      <c r="C64" s="126">
        <v>175</v>
      </c>
      <c r="D64" s="182">
        <f>ROUND('Lighting RD'!F63,2)</f>
        <v>0.26</v>
      </c>
      <c r="E64" s="100" t="s">
        <v>70</v>
      </c>
    </row>
    <row r="65" spans="1:5" x14ac:dyDescent="0.2">
      <c r="A65" s="122">
        <f t="shared" si="1"/>
        <v>57</v>
      </c>
      <c r="B65" s="125" t="s">
        <v>142</v>
      </c>
      <c r="C65" s="126">
        <v>250</v>
      </c>
      <c r="D65" s="182">
        <f>ROUND('Lighting RD'!F64,2)</f>
        <v>0.34</v>
      </c>
      <c r="E65" s="100" t="s">
        <v>70</v>
      </c>
    </row>
    <row r="66" spans="1:5" x14ac:dyDescent="0.2">
      <c r="A66" s="122">
        <f t="shared" si="1"/>
        <v>58</v>
      </c>
      <c r="B66" s="125" t="s">
        <v>142</v>
      </c>
      <c r="C66" s="126">
        <v>400</v>
      </c>
      <c r="D66" s="182">
        <f>ROUND('Lighting RD'!F65,2)</f>
        <v>0.54</v>
      </c>
      <c r="E66" s="100" t="s">
        <v>70</v>
      </c>
    </row>
    <row r="67" spans="1:5" x14ac:dyDescent="0.2">
      <c r="A67" s="122">
        <f t="shared" si="1"/>
        <v>59</v>
      </c>
      <c r="B67" s="132"/>
      <c r="C67" s="126"/>
      <c r="D67" s="182"/>
      <c r="E67" s="128"/>
    </row>
    <row r="68" spans="1:5" x14ac:dyDescent="0.2">
      <c r="A68" s="122">
        <f t="shared" si="1"/>
        <v>60</v>
      </c>
      <c r="B68" s="125" t="s">
        <v>143</v>
      </c>
      <c r="C68" s="124" t="s">
        <v>76</v>
      </c>
      <c r="D68" s="182">
        <f>ROUND('Lighting RD'!F67,2)</f>
        <v>0.03</v>
      </c>
      <c r="E68" s="100" t="s">
        <v>68</v>
      </c>
    </row>
    <row r="69" spans="1:5" x14ac:dyDescent="0.2">
      <c r="A69" s="122">
        <f t="shared" si="1"/>
        <v>61</v>
      </c>
      <c r="B69" s="125" t="s">
        <v>143</v>
      </c>
      <c r="C69" s="130" t="s">
        <v>64</v>
      </c>
      <c r="D69" s="182">
        <f>ROUND('Lighting RD'!F68,2)</f>
        <v>0.06</v>
      </c>
      <c r="E69" s="100" t="s">
        <v>68</v>
      </c>
    </row>
    <row r="70" spans="1:5" x14ac:dyDescent="0.2">
      <c r="A70" s="122">
        <f t="shared" si="1"/>
        <v>62</v>
      </c>
      <c r="B70" s="125" t="s">
        <v>143</v>
      </c>
      <c r="C70" s="126" t="s">
        <v>34</v>
      </c>
      <c r="D70" s="182">
        <f>ROUND('Lighting RD'!F69,2)</f>
        <v>0.1</v>
      </c>
      <c r="E70" s="100" t="s">
        <v>68</v>
      </c>
    </row>
    <row r="71" spans="1:5" x14ac:dyDescent="0.2">
      <c r="A71" s="122">
        <f t="shared" si="1"/>
        <v>63</v>
      </c>
      <c r="B71" s="125" t="s">
        <v>143</v>
      </c>
      <c r="C71" s="126" t="s">
        <v>35</v>
      </c>
      <c r="D71" s="182">
        <f>ROUND('Lighting RD'!F70,2)</f>
        <v>0.15</v>
      </c>
      <c r="E71" s="100" t="s">
        <v>68</v>
      </c>
    </row>
    <row r="72" spans="1:5" x14ac:dyDescent="0.2">
      <c r="A72" s="122">
        <f t="shared" si="1"/>
        <v>64</v>
      </c>
      <c r="B72" s="125" t="s">
        <v>143</v>
      </c>
      <c r="C72" s="126" t="s">
        <v>36</v>
      </c>
      <c r="D72" s="182">
        <f>ROUND('Lighting RD'!F71,2)</f>
        <v>0.15</v>
      </c>
      <c r="E72" s="100" t="s">
        <v>68</v>
      </c>
    </row>
    <row r="73" spans="1:5" x14ac:dyDescent="0.2">
      <c r="A73" s="122">
        <f t="shared" si="1"/>
        <v>65</v>
      </c>
      <c r="B73" s="125" t="s">
        <v>143</v>
      </c>
      <c r="C73" s="126" t="s">
        <v>37</v>
      </c>
      <c r="D73" s="182">
        <f>ROUND('Lighting RD'!F72,2)</f>
        <v>0.26</v>
      </c>
      <c r="E73" s="100" t="s">
        <v>68</v>
      </c>
    </row>
    <row r="74" spans="1:5" x14ac:dyDescent="0.2">
      <c r="A74" s="122">
        <f t="shared" ref="A74:A105" si="2">A73+1</f>
        <v>66</v>
      </c>
      <c r="B74" s="125" t="s">
        <v>143</v>
      </c>
      <c r="C74" s="126" t="s">
        <v>38</v>
      </c>
      <c r="D74" s="182">
        <f>ROUND('Lighting RD'!F73,2)</f>
        <v>0.26</v>
      </c>
      <c r="E74" s="100" t="s">
        <v>68</v>
      </c>
    </row>
    <row r="75" spans="1:5" x14ac:dyDescent="0.2">
      <c r="A75" s="122">
        <f t="shared" si="2"/>
        <v>67</v>
      </c>
      <c r="B75" s="125" t="s">
        <v>143</v>
      </c>
      <c r="C75" s="126" t="s">
        <v>39</v>
      </c>
      <c r="D75" s="182">
        <f>ROUND('Lighting RD'!F74,2)</f>
        <v>0.26</v>
      </c>
      <c r="E75" s="100" t="s">
        <v>68</v>
      </c>
    </row>
    <row r="76" spans="1:5" x14ac:dyDescent="0.2">
      <c r="A76" s="122">
        <f t="shared" si="2"/>
        <v>68</v>
      </c>
      <c r="B76" s="125" t="s">
        <v>143</v>
      </c>
      <c r="C76" s="126" t="s">
        <v>40</v>
      </c>
      <c r="D76" s="182">
        <f>ROUND('Lighting RD'!F75,2)</f>
        <v>0.34</v>
      </c>
      <c r="E76" s="100" t="s">
        <v>68</v>
      </c>
    </row>
    <row r="77" spans="1:5" x14ac:dyDescent="0.2">
      <c r="A77" s="122">
        <f t="shared" si="2"/>
        <v>69</v>
      </c>
      <c r="B77" s="125" t="s">
        <v>143</v>
      </c>
      <c r="C77" s="126" t="s">
        <v>41</v>
      </c>
      <c r="D77" s="182">
        <f>ROUND('Lighting RD'!F76,2)</f>
        <v>0.34</v>
      </c>
      <c r="E77" s="100" t="s">
        <v>68</v>
      </c>
    </row>
    <row r="78" spans="1:5" x14ac:dyDescent="0.2">
      <c r="A78" s="122">
        <f t="shared" si="2"/>
        <v>70</v>
      </c>
      <c r="B78" s="125"/>
      <c r="C78" s="126"/>
      <c r="D78" s="182"/>
      <c r="E78" s="100"/>
    </row>
    <row r="79" spans="1:5" x14ac:dyDescent="0.2">
      <c r="A79" s="122">
        <f t="shared" si="2"/>
        <v>71</v>
      </c>
      <c r="B79" s="125" t="s">
        <v>187</v>
      </c>
      <c r="C79" s="126" t="s">
        <v>135</v>
      </c>
      <c r="D79" s="131">
        <f>ROUND('Lighting RD'!F77,6)</f>
        <v>3.738E-3</v>
      </c>
      <c r="E79" s="100" t="s">
        <v>68</v>
      </c>
    </row>
    <row r="80" spans="1:5" x14ac:dyDescent="0.2">
      <c r="A80" s="122">
        <f t="shared" si="2"/>
        <v>72</v>
      </c>
      <c r="C80" s="126"/>
      <c r="D80" s="182"/>
      <c r="E80" s="128"/>
    </row>
    <row r="81" spans="1:5" ht="13.5" x14ac:dyDescent="0.35">
      <c r="A81" s="122">
        <f t="shared" si="2"/>
        <v>73</v>
      </c>
      <c r="B81" s="123" t="s">
        <v>123</v>
      </c>
      <c r="C81" s="124"/>
      <c r="D81" s="182"/>
      <c r="E81" s="128"/>
    </row>
    <row r="82" spans="1:5" x14ac:dyDescent="0.2">
      <c r="A82" s="122">
        <f t="shared" si="2"/>
        <v>74</v>
      </c>
      <c r="B82" s="125" t="s">
        <v>144</v>
      </c>
      <c r="C82" s="126">
        <v>50</v>
      </c>
      <c r="D82" s="182">
        <f>ROUND('Lighting RD'!F80,2)</f>
        <v>0.06</v>
      </c>
      <c r="E82" s="100" t="s">
        <v>70</v>
      </c>
    </row>
    <row r="83" spans="1:5" x14ac:dyDescent="0.2">
      <c r="A83" s="122">
        <f t="shared" si="2"/>
        <v>75</v>
      </c>
      <c r="B83" s="125" t="s">
        <v>144</v>
      </c>
      <c r="C83" s="126">
        <v>70</v>
      </c>
      <c r="D83" s="182">
        <f>ROUND('Lighting RD'!F81,2)</f>
        <v>0.1</v>
      </c>
      <c r="E83" s="100" t="s">
        <v>70</v>
      </c>
    </row>
    <row r="84" spans="1:5" x14ac:dyDescent="0.2">
      <c r="A84" s="122">
        <f t="shared" si="2"/>
        <v>76</v>
      </c>
      <c r="B84" s="125" t="s">
        <v>144</v>
      </c>
      <c r="C84" s="126">
        <v>100</v>
      </c>
      <c r="D84" s="182">
        <f>ROUND('Lighting RD'!F82,2)</f>
        <v>0.15</v>
      </c>
      <c r="E84" s="100" t="s">
        <v>70</v>
      </c>
    </row>
    <row r="85" spans="1:5" x14ac:dyDescent="0.2">
      <c r="A85" s="122">
        <f t="shared" si="2"/>
        <v>77</v>
      </c>
      <c r="B85" s="125" t="s">
        <v>144</v>
      </c>
      <c r="C85" s="126">
        <v>150</v>
      </c>
      <c r="D85" s="182">
        <f>ROUND('Lighting RD'!F83,2)</f>
        <v>0.15</v>
      </c>
      <c r="E85" s="100" t="s">
        <v>70</v>
      </c>
    </row>
    <row r="86" spans="1:5" x14ac:dyDescent="0.2">
      <c r="A86" s="122">
        <f t="shared" si="2"/>
        <v>78</v>
      </c>
      <c r="B86" s="125" t="s">
        <v>144</v>
      </c>
      <c r="C86" s="126">
        <v>200</v>
      </c>
      <c r="D86" s="182">
        <f>ROUND('Lighting RD'!F84,2)</f>
        <v>0.26</v>
      </c>
      <c r="E86" s="100" t="s">
        <v>70</v>
      </c>
    </row>
    <row r="87" spans="1:5" x14ac:dyDescent="0.2">
      <c r="A87" s="122">
        <f t="shared" si="2"/>
        <v>79</v>
      </c>
      <c r="B87" s="125" t="s">
        <v>144</v>
      </c>
      <c r="C87" s="126">
        <v>250</v>
      </c>
      <c r="D87" s="182">
        <f>ROUND('Lighting RD'!F85,2)</f>
        <v>0.34</v>
      </c>
      <c r="E87" s="100" t="s">
        <v>70</v>
      </c>
    </row>
    <row r="88" spans="1:5" x14ac:dyDescent="0.2">
      <c r="A88" s="122">
        <f t="shared" si="2"/>
        <v>80</v>
      </c>
      <c r="B88" s="125" t="s">
        <v>144</v>
      </c>
      <c r="C88" s="126">
        <v>310</v>
      </c>
      <c r="D88" s="182">
        <f>ROUND('Lighting RD'!F86,2)</f>
        <v>0.34</v>
      </c>
      <c r="E88" s="100" t="s">
        <v>70</v>
      </c>
    </row>
    <row r="89" spans="1:5" x14ac:dyDescent="0.2">
      <c r="A89" s="122">
        <f t="shared" si="2"/>
        <v>81</v>
      </c>
      <c r="B89" s="125" t="s">
        <v>144</v>
      </c>
      <c r="C89" s="126">
        <v>400</v>
      </c>
      <c r="D89" s="182">
        <f>ROUND('Lighting RD'!F87,2)</f>
        <v>0.54</v>
      </c>
      <c r="E89" s="100" t="s">
        <v>70</v>
      </c>
    </row>
    <row r="90" spans="1:5" x14ac:dyDescent="0.2">
      <c r="A90" s="122">
        <f t="shared" si="2"/>
        <v>82</v>
      </c>
      <c r="B90" s="125" t="s">
        <v>144</v>
      </c>
      <c r="C90" s="126">
        <v>1000</v>
      </c>
      <c r="D90" s="182">
        <f>ROUND('Lighting RD'!F88,2)</f>
        <v>1.34</v>
      </c>
      <c r="E90" s="100" t="s">
        <v>70</v>
      </c>
    </row>
    <row r="91" spans="1:5" x14ac:dyDescent="0.2">
      <c r="A91" s="122">
        <f t="shared" si="2"/>
        <v>83</v>
      </c>
      <c r="B91" s="132"/>
      <c r="C91" s="126"/>
      <c r="D91" s="182"/>
      <c r="E91" s="128"/>
    </row>
    <row r="92" spans="1:5" x14ac:dyDescent="0.2">
      <c r="A92" s="122">
        <f t="shared" si="2"/>
        <v>84</v>
      </c>
      <c r="B92" s="125" t="s">
        <v>145</v>
      </c>
      <c r="C92" s="130" t="s">
        <v>77</v>
      </c>
      <c r="D92" s="182">
        <f>ROUND('Lighting RD'!F90,2)</f>
        <v>0.03</v>
      </c>
      <c r="E92" s="128"/>
    </row>
    <row r="93" spans="1:5" x14ac:dyDescent="0.2">
      <c r="A93" s="122">
        <f t="shared" si="2"/>
        <v>85</v>
      </c>
      <c r="B93" s="125" t="s">
        <v>145</v>
      </c>
      <c r="C93" s="130" t="s">
        <v>78</v>
      </c>
      <c r="D93" s="182">
        <f>ROUND('Lighting RD'!F91,2)</f>
        <v>0.06</v>
      </c>
      <c r="E93" s="100" t="s">
        <v>68</v>
      </c>
    </row>
    <row r="94" spans="1:5" x14ac:dyDescent="0.2">
      <c r="A94" s="122">
        <f t="shared" si="2"/>
        <v>86</v>
      </c>
      <c r="B94" s="125" t="s">
        <v>145</v>
      </c>
      <c r="C94" s="126" t="s">
        <v>34</v>
      </c>
      <c r="D94" s="182">
        <f>ROUND('Lighting RD'!F92,2)</f>
        <v>0.1</v>
      </c>
      <c r="E94" s="100" t="s">
        <v>68</v>
      </c>
    </row>
    <row r="95" spans="1:5" x14ac:dyDescent="0.2">
      <c r="A95" s="122">
        <f t="shared" si="2"/>
        <v>87</v>
      </c>
      <c r="B95" s="125" t="s">
        <v>145</v>
      </c>
      <c r="C95" s="126" t="s">
        <v>35</v>
      </c>
      <c r="D95" s="182">
        <f>ROUND('Lighting RD'!F93,2)</f>
        <v>0.15</v>
      </c>
      <c r="E95" s="100" t="s">
        <v>68</v>
      </c>
    </row>
    <row r="96" spans="1:5" x14ac:dyDescent="0.2">
      <c r="A96" s="122">
        <f t="shared" si="2"/>
        <v>88</v>
      </c>
      <c r="B96" s="125" t="s">
        <v>145</v>
      </c>
      <c r="C96" s="126" t="s">
        <v>36</v>
      </c>
      <c r="D96" s="182">
        <f>ROUND('Lighting RD'!F94,2)</f>
        <v>0.15</v>
      </c>
      <c r="E96" s="100" t="s">
        <v>68</v>
      </c>
    </row>
    <row r="97" spans="1:5" x14ac:dyDescent="0.2">
      <c r="A97" s="122">
        <f t="shared" si="2"/>
        <v>89</v>
      </c>
      <c r="B97" s="125" t="s">
        <v>145</v>
      </c>
      <c r="C97" s="126" t="s">
        <v>37</v>
      </c>
      <c r="D97" s="182">
        <f>ROUND('Lighting RD'!F95,2)</f>
        <v>0.26</v>
      </c>
      <c r="E97" s="100" t="s">
        <v>68</v>
      </c>
    </row>
    <row r="98" spans="1:5" x14ac:dyDescent="0.2">
      <c r="A98" s="122">
        <f t="shared" si="2"/>
        <v>90</v>
      </c>
      <c r="B98" s="125" t="s">
        <v>145</v>
      </c>
      <c r="C98" s="126" t="s">
        <v>38</v>
      </c>
      <c r="D98" s="182">
        <f>ROUND('Lighting RD'!F96,2)</f>
        <v>0.26</v>
      </c>
      <c r="E98" s="100" t="s">
        <v>68</v>
      </c>
    </row>
    <row r="99" spans="1:5" x14ac:dyDescent="0.2">
      <c r="A99" s="122">
        <f t="shared" si="2"/>
        <v>91</v>
      </c>
      <c r="B99" s="125" t="s">
        <v>145</v>
      </c>
      <c r="C99" s="126" t="s">
        <v>39</v>
      </c>
      <c r="D99" s="182">
        <f>ROUND('Lighting RD'!F97,2)</f>
        <v>0.26</v>
      </c>
      <c r="E99" s="100" t="s">
        <v>68</v>
      </c>
    </row>
    <row r="100" spans="1:5" x14ac:dyDescent="0.2">
      <c r="A100" s="122">
        <f t="shared" si="2"/>
        <v>92</v>
      </c>
      <c r="B100" s="125" t="s">
        <v>145</v>
      </c>
      <c r="C100" s="126" t="s">
        <v>40</v>
      </c>
      <c r="D100" s="182">
        <f>ROUND('Lighting RD'!F98,2)</f>
        <v>0.34</v>
      </c>
      <c r="E100" s="100" t="s">
        <v>68</v>
      </c>
    </row>
    <row r="101" spans="1:5" x14ac:dyDescent="0.2">
      <c r="A101" s="122">
        <f t="shared" si="2"/>
        <v>93</v>
      </c>
      <c r="B101" s="125" t="s">
        <v>145</v>
      </c>
      <c r="C101" s="126" t="s">
        <v>41</v>
      </c>
      <c r="D101" s="182">
        <f>ROUND('Lighting RD'!F99,2)</f>
        <v>0.34</v>
      </c>
      <c r="E101" s="100" t="s">
        <v>68</v>
      </c>
    </row>
    <row r="102" spans="1:5" x14ac:dyDescent="0.2">
      <c r="A102" s="122">
        <f t="shared" si="2"/>
        <v>94</v>
      </c>
      <c r="B102" s="132"/>
      <c r="C102" s="126"/>
      <c r="D102" s="182"/>
      <c r="E102" s="128"/>
    </row>
    <row r="103" spans="1:5" ht="13.5" x14ac:dyDescent="0.35">
      <c r="A103" s="122">
        <f t="shared" si="2"/>
        <v>95</v>
      </c>
      <c r="B103" s="123" t="s">
        <v>186</v>
      </c>
      <c r="C103" s="126"/>
      <c r="D103" s="182"/>
      <c r="E103" s="128"/>
    </row>
    <row r="104" spans="1:5" x14ac:dyDescent="0.2">
      <c r="A104" s="122">
        <f t="shared" si="2"/>
        <v>96</v>
      </c>
      <c r="B104" s="125" t="s">
        <v>146</v>
      </c>
      <c r="C104" s="126">
        <v>70</v>
      </c>
      <c r="D104" s="182">
        <f>ROUND('Lighting RD'!F102,2)</f>
        <v>0.2</v>
      </c>
      <c r="E104" s="100" t="s">
        <v>71</v>
      </c>
    </row>
    <row r="105" spans="1:5" x14ac:dyDescent="0.2">
      <c r="A105" s="122">
        <f t="shared" si="2"/>
        <v>97</v>
      </c>
      <c r="B105" s="125" t="s">
        <v>146</v>
      </c>
      <c r="C105" s="126">
        <v>100</v>
      </c>
      <c r="D105" s="182">
        <f>ROUND('Lighting RD'!F103,2)</f>
        <v>0.24</v>
      </c>
      <c r="E105" s="100" t="s">
        <v>71</v>
      </c>
    </row>
    <row r="106" spans="1:5" x14ac:dyDescent="0.2">
      <c r="A106" s="122">
        <f t="shared" ref="A106:A137" si="3">A105+1</f>
        <v>98</v>
      </c>
      <c r="B106" s="125" t="s">
        <v>146</v>
      </c>
      <c r="C106" s="126">
        <v>150</v>
      </c>
      <c r="D106" s="182">
        <f>ROUND('Lighting RD'!F104,2)</f>
        <v>0.24</v>
      </c>
      <c r="E106" s="100" t="s">
        <v>71</v>
      </c>
    </row>
    <row r="107" spans="1:5" x14ac:dyDescent="0.2">
      <c r="A107" s="122">
        <f t="shared" si="3"/>
        <v>99</v>
      </c>
      <c r="B107" s="125" t="s">
        <v>146</v>
      </c>
      <c r="C107" s="126">
        <v>200</v>
      </c>
      <c r="D107" s="182">
        <f>ROUND('Lighting RD'!F105,2)</f>
        <v>0.36</v>
      </c>
      <c r="E107" s="100" t="s">
        <v>71</v>
      </c>
    </row>
    <row r="108" spans="1:5" x14ac:dyDescent="0.2">
      <c r="A108" s="122">
        <f t="shared" si="3"/>
        <v>100</v>
      </c>
      <c r="B108" s="125" t="s">
        <v>146</v>
      </c>
      <c r="C108" s="126">
        <v>250</v>
      </c>
      <c r="D108" s="182">
        <f>ROUND('Lighting RD'!F106,2)</f>
        <v>0.44</v>
      </c>
      <c r="E108" s="100" t="s">
        <v>71</v>
      </c>
    </row>
    <row r="109" spans="1:5" x14ac:dyDescent="0.2">
      <c r="A109" s="122">
        <f t="shared" si="3"/>
        <v>101</v>
      </c>
      <c r="B109" s="125" t="s">
        <v>146</v>
      </c>
      <c r="C109" s="126">
        <v>400</v>
      </c>
      <c r="D109" s="182">
        <f>ROUND('Lighting RD'!F107,2)</f>
        <v>0.63</v>
      </c>
      <c r="E109" s="100" t="s">
        <v>71</v>
      </c>
    </row>
    <row r="110" spans="1:5" x14ac:dyDescent="0.2">
      <c r="A110" s="122">
        <f t="shared" si="3"/>
        <v>102</v>
      </c>
      <c r="B110" s="132"/>
      <c r="C110" s="126"/>
      <c r="D110" s="182"/>
      <c r="E110" s="128"/>
    </row>
    <row r="111" spans="1:5" x14ac:dyDescent="0.2">
      <c r="A111" s="122">
        <f t="shared" si="3"/>
        <v>103</v>
      </c>
      <c r="B111" s="125" t="s">
        <v>147</v>
      </c>
      <c r="C111" s="126">
        <v>250</v>
      </c>
      <c r="D111" s="182">
        <f>ROUND('Lighting RD'!F109,2)</f>
        <v>0.44</v>
      </c>
      <c r="E111" s="100" t="s">
        <v>71</v>
      </c>
    </row>
    <row r="112" spans="1:5" x14ac:dyDescent="0.2">
      <c r="A112" s="122">
        <f t="shared" si="3"/>
        <v>104</v>
      </c>
      <c r="B112" s="132"/>
      <c r="C112" s="126"/>
      <c r="D112" s="182"/>
      <c r="E112" s="128"/>
    </row>
    <row r="113" spans="1:5" x14ac:dyDescent="0.2">
      <c r="A113" s="122">
        <f t="shared" si="3"/>
        <v>105</v>
      </c>
      <c r="B113" s="125" t="s">
        <v>148</v>
      </c>
      <c r="C113" s="124" t="s">
        <v>76</v>
      </c>
      <c r="D113" s="182">
        <f>ROUND('Lighting RD'!F111,2)</f>
        <v>0.12</v>
      </c>
      <c r="E113" s="100" t="s">
        <v>71</v>
      </c>
    </row>
    <row r="114" spans="1:5" x14ac:dyDescent="0.2">
      <c r="A114" s="122">
        <f t="shared" si="3"/>
        <v>106</v>
      </c>
      <c r="B114" s="125" t="s">
        <v>148</v>
      </c>
      <c r="C114" s="130" t="s">
        <v>78</v>
      </c>
      <c r="D114" s="182">
        <f>ROUND('Lighting RD'!F112,2)</f>
        <v>0.15</v>
      </c>
      <c r="E114" s="100" t="s">
        <v>71</v>
      </c>
    </row>
    <row r="115" spans="1:5" x14ac:dyDescent="0.2">
      <c r="A115" s="122">
        <f t="shared" si="3"/>
        <v>107</v>
      </c>
      <c r="B115" s="125" t="s">
        <v>148</v>
      </c>
      <c r="C115" s="126" t="s">
        <v>34</v>
      </c>
      <c r="D115" s="182">
        <f>ROUND('Lighting RD'!F113,2)</f>
        <v>0.2</v>
      </c>
      <c r="E115" s="100" t="s">
        <v>71</v>
      </c>
    </row>
    <row r="116" spans="1:5" x14ac:dyDescent="0.2">
      <c r="A116" s="122">
        <f t="shared" si="3"/>
        <v>108</v>
      </c>
      <c r="B116" s="125" t="s">
        <v>148</v>
      </c>
      <c r="C116" s="126" t="s">
        <v>35</v>
      </c>
      <c r="D116" s="182">
        <f>ROUND('Lighting RD'!F114,2)</f>
        <v>0.24</v>
      </c>
      <c r="E116" s="100" t="s">
        <v>71</v>
      </c>
    </row>
    <row r="117" spans="1:5" x14ac:dyDescent="0.2">
      <c r="A117" s="122">
        <f t="shared" si="3"/>
        <v>109</v>
      </c>
      <c r="B117" s="125" t="s">
        <v>148</v>
      </c>
      <c r="C117" s="126" t="s">
        <v>36</v>
      </c>
      <c r="D117" s="182">
        <f>ROUND('Lighting RD'!F115,2)</f>
        <v>0.24</v>
      </c>
      <c r="E117" s="100" t="s">
        <v>71</v>
      </c>
    </row>
    <row r="118" spans="1:5" x14ac:dyDescent="0.2">
      <c r="A118" s="122">
        <f t="shared" si="3"/>
        <v>110</v>
      </c>
      <c r="B118" s="125" t="s">
        <v>148</v>
      </c>
      <c r="C118" s="126" t="s">
        <v>37</v>
      </c>
      <c r="D118" s="182">
        <f>ROUND('Lighting RD'!F116,2)</f>
        <v>0.36</v>
      </c>
      <c r="E118" s="100" t="s">
        <v>71</v>
      </c>
    </row>
    <row r="119" spans="1:5" x14ac:dyDescent="0.2">
      <c r="A119" s="122">
        <f t="shared" si="3"/>
        <v>111</v>
      </c>
      <c r="B119" s="125" t="s">
        <v>148</v>
      </c>
      <c r="C119" s="126" t="s">
        <v>38</v>
      </c>
      <c r="D119" s="182">
        <f>ROUND('Lighting RD'!F117,2)</f>
        <v>0.36</v>
      </c>
      <c r="E119" s="100" t="s">
        <v>71</v>
      </c>
    </row>
    <row r="120" spans="1:5" x14ac:dyDescent="0.2">
      <c r="A120" s="122">
        <f t="shared" si="3"/>
        <v>112</v>
      </c>
      <c r="B120" s="125" t="s">
        <v>148</v>
      </c>
      <c r="C120" s="126" t="s">
        <v>39</v>
      </c>
      <c r="D120" s="182">
        <f>ROUND('Lighting RD'!F118,2)</f>
        <v>0.36</v>
      </c>
      <c r="E120" s="100" t="s">
        <v>71</v>
      </c>
    </row>
    <row r="121" spans="1:5" x14ac:dyDescent="0.2">
      <c r="A121" s="122">
        <f t="shared" si="3"/>
        <v>113</v>
      </c>
      <c r="B121" s="125" t="s">
        <v>148</v>
      </c>
      <c r="C121" s="126" t="s">
        <v>40</v>
      </c>
      <c r="D121" s="182">
        <f>ROUND('Lighting RD'!F119,2)</f>
        <v>0.44</v>
      </c>
      <c r="E121" s="100" t="s">
        <v>71</v>
      </c>
    </row>
    <row r="122" spans="1:5" x14ac:dyDescent="0.2">
      <c r="A122" s="122">
        <f t="shared" si="3"/>
        <v>114</v>
      </c>
      <c r="B122" s="125" t="s">
        <v>148</v>
      </c>
      <c r="C122" s="126" t="s">
        <v>41</v>
      </c>
      <c r="D122" s="182">
        <f>ROUND('Lighting RD'!F120,2)</f>
        <v>0.44</v>
      </c>
      <c r="E122" s="100" t="s">
        <v>71</v>
      </c>
    </row>
    <row r="123" spans="1:5" x14ac:dyDescent="0.2">
      <c r="A123" s="122">
        <f t="shared" si="3"/>
        <v>115</v>
      </c>
      <c r="B123" s="132"/>
      <c r="C123" s="126"/>
      <c r="D123" s="182"/>
      <c r="E123" s="128"/>
    </row>
    <row r="124" spans="1:5" ht="13.5" x14ac:dyDescent="0.35">
      <c r="A124" s="122">
        <f t="shared" si="3"/>
        <v>116</v>
      </c>
      <c r="B124" s="123" t="s">
        <v>57</v>
      </c>
      <c r="C124" s="126"/>
      <c r="D124" s="182"/>
      <c r="E124" s="128"/>
    </row>
    <row r="125" spans="1:5" x14ac:dyDescent="0.2">
      <c r="A125" s="122">
        <f t="shared" si="3"/>
        <v>117</v>
      </c>
      <c r="B125" s="125" t="s">
        <v>58</v>
      </c>
      <c r="C125" s="126" t="s">
        <v>188</v>
      </c>
      <c r="D125" s="133">
        <f>ROUND('Lighting RD'!F123,5)</f>
        <v>9.6000000000000002E-4</v>
      </c>
      <c r="E125" s="100" t="s">
        <v>71</v>
      </c>
    </row>
    <row r="126" spans="1:5" x14ac:dyDescent="0.2">
      <c r="A126" s="122">
        <f t="shared" si="3"/>
        <v>118</v>
      </c>
      <c r="B126" s="132"/>
      <c r="C126" s="126"/>
      <c r="D126" s="182"/>
      <c r="E126" s="128"/>
    </row>
    <row r="127" spans="1:5" ht="13.5" x14ac:dyDescent="0.35">
      <c r="A127" s="122">
        <f t="shared" si="3"/>
        <v>119</v>
      </c>
      <c r="B127" s="123" t="s">
        <v>47</v>
      </c>
      <c r="C127" s="126"/>
      <c r="D127" s="182"/>
      <c r="E127" s="128"/>
    </row>
    <row r="128" spans="1:5" x14ac:dyDescent="0.2">
      <c r="A128" s="122">
        <f t="shared" si="3"/>
        <v>120</v>
      </c>
      <c r="B128" s="125" t="s">
        <v>150</v>
      </c>
      <c r="C128" s="126">
        <v>70</v>
      </c>
      <c r="D128" s="182">
        <f>ROUND('Lighting RD'!F126,2)</f>
        <v>0.2</v>
      </c>
      <c r="E128" s="100" t="s">
        <v>72</v>
      </c>
    </row>
    <row r="129" spans="1:5" x14ac:dyDescent="0.2">
      <c r="A129" s="122">
        <f t="shared" si="3"/>
        <v>121</v>
      </c>
      <c r="B129" s="125" t="s">
        <v>150</v>
      </c>
      <c r="C129" s="126">
        <v>100</v>
      </c>
      <c r="D129" s="182">
        <f>ROUND('Lighting RD'!F127,2)</f>
        <v>0.24</v>
      </c>
      <c r="E129" s="100" t="s">
        <v>72</v>
      </c>
    </row>
    <row r="130" spans="1:5" x14ac:dyDescent="0.2">
      <c r="A130" s="122">
        <f t="shared" si="3"/>
        <v>122</v>
      </c>
      <c r="B130" s="125" t="s">
        <v>150</v>
      </c>
      <c r="C130" s="126">
        <v>150</v>
      </c>
      <c r="D130" s="182">
        <f>ROUND('Lighting RD'!F128,2)</f>
        <v>0.24</v>
      </c>
      <c r="E130" s="100" t="s">
        <v>72</v>
      </c>
    </row>
    <row r="131" spans="1:5" x14ac:dyDescent="0.2">
      <c r="A131" s="122">
        <f t="shared" si="3"/>
        <v>123</v>
      </c>
      <c r="B131" s="125" t="s">
        <v>150</v>
      </c>
      <c r="C131" s="126">
        <v>200</v>
      </c>
      <c r="D131" s="182">
        <f>ROUND('Lighting RD'!F129,2)</f>
        <v>0.36</v>
      </c>
      <c r="E131" s="100" t="s">
        <v>72</v>
      </c>
    </row>
    <row r="132" spans="1:5" x14ac:dyDescent="0.2">
      <c r="A132" s="122">
        <f t="shared" si="3"/>
        <v>124</v>
      </c>
      <c r="B132" s="125" t="s">
        <v>150</v>
      </c>
      <c r="C132" s="126">
        <v>250</v>
      </c>
      <c r="D132" s="182">
        <f>ROUND('Lighting RD'!F130,2)</f>
        <v>0.44</v>
      </c>
      <c r="E132" s="100" t="s">
        <v>72</v>
      </c>
    </row>
    <row r="133" spans="1:5" x14ac:dyDescent="0.2">
      <c r="A133" s="122">
        <f t="shared" si="3"/>
        <v>125</v>
      </c>
      <c r="B133" s="125" t="s">
        <v>150</v>
      </c>
      <c r="C133" s="126">
        <v>400</v>
      </c>
      <c r="D133" s="182">
        <f>ROUND('Lighting RD'!F131,2)</f>
        <v>0.63</v>
      </c>
      <c r="E133" s="100" t="s">
        <v>72</v>
      </c>
    </row>
    <row r="134" spans="1:5" x14ac:dyDescent="0.2">
      <c r="A134" s="122">
        <f t="shared" si="3"/>
        <v>126</v>
      </c>
      <c r="B134" s="132"/>
      <c r="C134" s="126"/>
      <c r="D134" s="182"/>
      <c r="E134" s="128"/>
    </row>
    <row r="135" spans="1:5" x14ac:dyDescent="0.2">
      <c r="A135" s="122">
        <f t="shared" si="3"/>
        <v>127</v>
      </c>
      <c r="B135" s="125" t="s">
        <v>152</v>
      </c>
      <c r="C135" s="126">
        <v>100</v>
      </c>
      <c r="D135" s="182">
        <f>ROUND('Lighting RD'!F133,2)</f>
        <v>0.24</v>
      </c>
      <c r="E135" s="100" t="s">
        <v>72</v>
      </c>
    </row>
    <row r="136" spans="1:5" x14ac:dyDescent="0.2">
      <c r="A136" s="122">
        <f t="shared" si="3"/>
        <v>128</v>
      </c>
      <c r="B136" s="125" t="s">
        <v>152</v>
      </c>
      <c r="C136" s="126">
        <v>150</v>
      </c>
      <c r="D136" s="182">
        <f>ROUND('Lighting RD'!F134,2)</f>
        <v>0.24</v>
      </c>
      <c r="E136" s="100" t="s">
        <v>72</v>
      </c>
    </row>
    <row r="137" spans="1:5" x14ac:dyDescent="0.2">
      <c r="A137" s="122">
        <f t="shared" si="3"/>
        <v>129</v>
      </c>
      <c r="B137" s="125" t="s">
        <v>152</v>
      </c>
      <c r="C137" s="126">
        <v>200</v>
      </c>
      <c r="D137" s="182">
        <f>ROUND('Lighting RD'!F135,2)</f>
        <v>0.36</v>
      </c>
      <c r="E137" s="100" t="s">
        <v>72</v>
      </c>
    </row>
    <row r="138" spans="1:5" x14ac:dyDescent="0.2">
      <c r="A138" s="122">
        <f t="shared" ref="A138:A177" si="4">A137+1</f>
        <v>130</v>
      </c>
      <c r="B138" s="125" t="s">
        <v>152</v>
      </c>
      <c r="C138" s="126">
        <v>250</v>
      </c>
      <c r="D138" s="182">
        <f>ROUND('Lighting RD'!F136,2)</f>
        <v>0.44</v>
      </c>
      <c r="E138" s="100" t="s">
        <v>72</v>
      </c>
    </row>
    <row r="139" spans="1:5" x14ac:dyDescent="0.2">
      <c r="A139" s="122">
        <f t="shared" si="4"/>
        <v>131</v>
      </c>
      <c r="B139" s="125" t="s">
        <v>152</v>
      </c>
      <c r="C139" s="126">
        <v>400</v>
      </c>
      <c r="D139" s="182">
        <f>ROUND('Lighting RD'!F137,2)</f>
        <v>0.63</v>
      </c>
      <c r="E139" s="100" t="s">
        <v>72</v>
      </c>
    </row>
    <row r="140" spans="1:5" x14ac:dyDescent="0.2">
      <c r="A140" s="122">
        <f t="shared" si="4"/>
        <v>132</v>
      </c>
      <c r="B140" s="132"/>
      <c r="C140" s="126"/>
      <c r="D140" s="182"/>
      <c r="E140" s="128"/>
    </row>
    <row r="141" spans="1:5" x14ac:dyDescent="0.2">
      <c r="A141" s="122">
        <f t="shared" si="4"/>
        <v>133</v>
      </c>
      <c r="B141" s="125" t="s">
        <v>151</v>
      </c>
      <c r="C141" s="126">
        <v>175</v>
      </c>
      <c r="D141" s="182">
        <f>ROUND('Lighting RD'!F139,2)</f>
        <v>0.36</v>
      </c>
      <c r="E141" s="100" t="s">
        <v>72</v>
      </c>
    </row>
    <row r="142" spans="1:5" x14ac:dyDescent="0.2">
      <c r="A142" s="122">
        <f t="shared" si="4"/>
        <v>134</v>
      </c>
      <c r="B142" s="125" t="s">
        <v>151</v>
      </c>
      <c r="C142" s="126">
        <v>250</v>
      </c>
      <c r="D142" s="182">
        <f>ROUND('Lighting RD'!F140,2)</f>
        <v>0.44</v>
      </c>
      <c r="E142" s="100" t="s">
        <v>72</v>
      </c>
    </row>
    <row r="143" spans="1:5" x14ac:dyDescent="0.2">
      <c r="A143" s="122">
        <f t="shared" si="4"/>
        <v>135</v>
      </c>
      <c r="B143" s="125" t="s">
        <v>151</v>
      </c>
      <c r="C143" s="126">
        <v>400</v>
      </c>
      <c r="D143" s="182">
        <f>ROUND('Lighting RD'!F141,2)</f>
        <v>0.63</v>
      </c>
      <c r="E143" s="100" t="s">
        <v>72</v>
      </c>
    </row>
    <row r="144" spans="1:5" x14ac:dyDescent="0.2">
      <c r="A144" s="122">
        <f t="shared" si="4"/>
        <v>136</v>
      </c>
      <c r="B144" s="125" t="s">
        <v>151</v>
      </c>
      <c r="C144" s="126">
        <v>1000</v>
      </c>
      <c r="D144" s="182">
        <f>ROUND('Lighting RD'!F142,2)</f>
        <v>1.46</v>
      </c>
      <c r="E144" s="100" t="s">
        <v>72</v>
      </c>
    </row>
    <row r="145" spans="1:5" x14ac:dyDescent="0.2">
      <c r="A145" s="122">
        <f t="shared" si="4"/>
        <v>137</v>
      </c>
      <c r="B145" s="132"/>
      <c r="C145" s="126"/>
      <c r="D145" s="182"/>
      <c r="E145" s="128"/>
    </row>
    <row r="146" spans="1:5" x14ac:dyDescent="0.2">
      <c r="A146" s="122">
        <f t="shared" si="4"/>
        <v>138</v>
      </c>
      <c r="B146" s="125" t="s">
        <v>153</v>
      </c>
      <c r="C146" s="126">
        <v>250</v>
      </c>
      <c r="D146" s="182">
        <f>ROUND('Lighting RD'!F144,2)</f>
        <v>0.44</v>
      </c>
      <c r="E146" s="100" t="s">
        <v>72</v>
      </c>
    </row>
    <row r="147" spans="1:5" x14ac:dyDescent="0.2">
      <c r="A147" s="122">
        <f t="shared" si="4"/>
        <v>139</v>
      </c>
      <c r="B147" s="125" t="s">
        <v>153</v>
      </c>
      <c r="C147" s="126">
        <v>400</v>
      </c>
      <c r="D147" s="182">
        <f>ROUND('Lighting RD'!F145,2)</f>
        <v>0.63</v>
      </c>
      <c r="E147" s="100" t="s">
        <v>72</v>
      </c>
    </row>
    <row r="148" spans="1:5" x14ac:dyDescent="0.2">
      <c r="A148" s="122">
        <f t="shared" si="4"/>
        <v>140</v>
      </c>
      <c r="B148" s="132"/>
      <c r="C148" s="126"/>
      <c r="D148" s="182"/>
      <c r="E148" s="128"/>
    </row>
    <row r="149" spans="1:5" x14ac:dyDescent="0.2">
      <c r="A149" s="122">
        <f t="shared" si="4"/>
        <v>141</v>
      </c>
      <c r="B149" s="125" t="s">
        <v>149</v>
      </c>
      <c r="C149" s="124" t="s">
        <v>76</v>
      </c>
      <c r="D149" s="182">
        <f>ROUND('Lighting RD'!F147,2)</f>
        <v>0.12</v>
      </c>
      <c r="E149" s="100" t="s">
        <v>73</v>
      </c>
    </row>
    <row r="150" spans="1:5" x14ac:dyDescent="0.2">
      <c r="A150" s="122">
        <f t="shared" si="4"/>
        <v>142</v>
      </c>
      <c r="B150" s="125" t="s">
        <v>149</v>
      </c>
      <c r="C150" s="130" t="s">
        <v>64</v>
      </c>
      <c r="D150" s="182">
        <f>ROUND('Lighting RD'!F148,2)</f>
        <v>0.15</v>
      </c>
      <c r="E150" s="100" t="s">
        <v>73</v>
      </c>
    </row>
    <row r="151" spans="1:5" x14ac:dyDescent="0.2">
      <c r="A151" s="122">
        <f t="shared" si="4"/>
        <v>143</v>
      </c>
      <c r="B151" s="125" t="s">
        <v>149</v>
      </c>
      <c r="C151" s="126" t="s">
        <v>34</v>
      </c>
      <c r="D151" s="182">
        <f>ROUND('Lighting RD'!F149,2)</f>
        <v>0.2</v>
      </c>
      <c r="E151" s="100" t="s">
        <v>73</v>
      </c>
    </row>
    <row r="152" spans="1:5" x14ac:dyDescent="0.2">
      <c r="A152" s="122">
        <f t="shared" si="4"/>
        <v>144</v>
      </c>
      <c r="B152" s="125" t="s">
        <v>149</v>
      </c>
      <c r="C152" s="126" t="s">
        <v>35</v>
      </c>
      <c r="D152" s="182">
        <f>ROUND('Lighting RD'!F150,2)</f>
        <v>0.24</v>
      </c>
      <c r="E152" s="100" t="s">
        <v>73</v>
      </c>
    </row>
    <row r="153" spans="1:5" x14ac:dyDescent="0.2">
      <c r="A153" s="122">
        <f t="shared" si="4"/>
        <v>145</v>
      </c>
      <c r="B153" s="125" t="s">
        <v>149</v>
      </c>
      <c r="C153" s="126" t="s">
        <v>36</v>
      </c>
      <c r="D153" s="182">
        <f>ROUND('Lighting RD'!F151,2)</f>
        <v>0.24</v>
      </c>
      <c r="E153" s="100" t="s">
        <v>73</v>
      </c>
    </row>
    <row r="154" spans="1:5" x14ac:dyDescent="0.2">
      <c r="A154" s="122">
        <f t="shared" si="4"/>
        <v>146</v>
      </c>
      <c r="B154" s="125" t="s">
        <v>149</v>
      </c>
      <c r="C154" s="126" t="s">
        <v>37</v>
      </c>
      <c r="D154" s="182">
        <f>ROUND('Lighting RD'!F152,2)</f>
        <v>0.36</v>
      </c>
      <c r="E154" s="100" t="s">
        <v>73</v>
      </c>
    </row>
    <row r="155" spans="1:5" x14ac:dyDescent="0.2">
      <c r="A155" s="122">
        <f t="shared" si="4"/>
        <v>147</v>
      </c>
      <c r="B155" s="125" t="s">
        <v>149</v>
      </c>
      <c r="C155" s="126" t="s">
        <v>38</v>
      </c>
      <c r="D155" s="182">
        <f>ROUND('Lighting RD'!F153,2)</f>
        <v>0.36</v>
      </c>
      <c r="E155" s="100" t="s">
        <v>73</v>
      </c>
    </row>
    <row r="156" spans="1:5" x14ac:dyDescent="0.2">
      <c r="A156" s="122">
        <f t="shared" si="4"/>
        <v>148</v>
      </c>
      <c r="B156" s="125" t="s">
        <v>149</v>
      </c>
      <c r="C156" s="126" t="s">
        <v>39</v>
      </c>
      <c r="D156" s="182">
        <f>ROUND('Lighting RD'!F154,2)</f>
        <v>0.36</v>
      </c>
      <c r="E156" s="100" t="s">
        <v>73</v>
      </c>
    </row>
    <row r="157" spans="1:5" x14ac:dyDescent="0.2">
      <c r="A157" s="122">
        <f t="shared" si="4"/>
        <v>149</v>
      </c>
      <c r="B157" s="125" t="s">
        <v>149</v>
      </c>
      <c r="C157" s="126" t="s">
        <v>40</v>
      </c>
      <c r="D157" s="182">
        <f>ROUND('Lighting RD'!F155,2)</f>
        <v>0.44</v>
      </c>
      <c r="E157" s="100" t="s">
        <v>73</v>
      </c>
    </row>
    <row r="158" spans="1:5" x14ac:dyDescent="0.2">
      <c r="A158" s="122">
        <f t="shared" si="4"/>
        <v>150</v>
      </c>
      <c r="B158" s="125" t="s">
        <v>149</v>
      </c>
      <c r="C158" s="126" t="s">
        <v>41</v>
      </c>
      <c r="D158" s="182">
        <f>ROUND('Lighting RD'!F156,2)</f>
        <v>0.44</v>
      </c>
      <c r="E158" s="100" t="s">
        <v>73</v>
      </c>
    </row>
    <row r="159" spans="1:5" x14ac:dyDescent="0.2">
      <c r="A159" s="122">
        <f t="shared" si="4"/>
        <v>151</v>
      </c>
      <c r="B159" s="125" t="s">
        <v>149</v>
      </c>
      <c r="C159" s="126" t="s">
        <v>51</v>
      </c>
      <c r="D159" s="182">
        <f>ROUND('Lighting RD'!F157,2)</f>
        <v>0.63</v>
      </c>
      <c r="E159" s="100" t="s">
        <v>73</v>
      </c>
    </row>
    <row r="160" spans="1:5" x14ac:dyDescent="0.2">
      <c r="A160" s="122">
        <f t="shared" si="4"/>
        <v>152</v>
      </c>
      <c r="B160" s="125" t="s">
        <v>149</v>
      </c>
      <c r="C160" s="126" t="s">
        <v>52</v>
      </c>
      <c r="D160" s="182">
        <f>ROUND('Lighting RD'!F158,2)</f>
        <v>0.63</v>
      </c>
      <c r="E160" s="100" t="s">
        <v>73</v>
      </c>
    </row>
    <row r="161" spans="1:5" x14ac:dyDescent="0.2">
      <c r="A161" s="122">
        <f t="shared" si="4"/>
        <v>153</v>
      </c>
      <c r="B161" s="125" t="s">
        <v>149</v>
      </c>
      <c r="C161" s="126" t="s">
        <v>53</v>
      </c>
      <c r="D161" s="182">
        <f>ROUND('Lighting RD'!F159,2)</f>
        <v>0.63</v>
      </c>
      <c r="E161" s="100" t="s">
        <v>73</v>
      </c>
    </row>
    <row r="162" spans="1:5" x14ac:dyDescent="0.2">
      <c r="A162" s="122">
        <f t="shared" si="4"/>
        <v>154</v>
      </c>
      <c r="B162" s="125" t="s">
        <v>149</v>
      </c>
      <c r="C162" s="126" t="s">
        <v>54</v>
      </c>
      <c r="D162" s="182">
        <f>ROUND('Lighting RD'!F160,2)</f>
        <v>1.46</v>
      </c>
      <c r="E162" s="100" t="s">
        <v>73</v>
      </c>
    </row>
    <row r="163" spans="1:5" x14ac:dyDescent="0.2">
      <c r="A163" s="122">
        <f t="shared" si="4"/>
        <v>155</v>
      </c>
      <c r="B163" s="125" t="s">
        <v>149</v>
      </c>
      <c r="C163" s="126" t="s">
        <v>55</v>
      </c>
      <c r="D163" s="182">
        <f>ROUND('Lighting RD'!F161,2)</f>
        <v>1.46</v>
      </c>
      <c r="E163" s="100" t="s">
        <v>73</v>
      </c>
    </row>
    <row r="164" spans="1:5" x14ac:dyDescent="0.2">
      <c r="A164" s="122">
        <f t="shared" si="4"/>
        <v>156</v>
      </c>
      <c r="B164" s="125" t="s">
        <v>149</v>
      </c>
      <c r="C164" s="126" t="s">
        <v>56</v>
      </c>
      <c r="D164" s="182">
        <f>ROUND('Lighting RD'!F162,2)</f>
        <v>1.46</v>
      </c>
      <c r="E164" s="100" t="s">
        <v>73</v>
      </c>
    </row>
    <row r="165" spans="1:5" ht="12" thickBot="1" x14ac:dyDescent="0.25">
      <c r="A165" s="122">
        <f t="shared" si="4"/>
        <v>157</v>
      </c>
    </row>
    <row r="166" spans="1:5" ht="12" thickBot="1" x14ac:dyDescent="0.25">
      <c r="A166" s="122">
        <f t="shared" si="4"/>
        <v>158</v>
      </c>
      <c r="C166" s="272" t="s">
        <v>247</v>
      </c>
      <c r="D166" s="273"/>
      <c r="E166" s="274"/>
    </row>
    <row r="167" spans="1:5" x14ac:dyDescent="0.2">
      <c r="A167" s="122">
        <f t="shared" si="4"/>
        <v>159</v>
      </c>
      <c r="B167" s="6" t="s">
        <v>260</v>
      </c>
    </row>
    <row r="168" spans="1:5" ht="15" customHeight="1" x14ac:dyDescent="0.2">
      <c r="A168" s="122">
        <f t="shared" si="4"/>
        <v>160</v>
      </c>
      <c r="B168" s="6"/>
      <c r="C168" s="248" t="s">
        <v>258</v>
      </c>
      <c r="D168" s="248" t="s">
        <v>259</v>
      </c>
    </row>
    <row r="169" spans="1:5" ht="45" x14ac:dyDescent="0.2">
      <c r="A169" s="122">
        <f t="shared" si="4"/>
        <v>161</v>
      </c>
      <c r="B169" s="136" t="s">
        <v>174</v>
      </c>
      <c r="C169" s="121" t="s">
        <v>244</v>
      </c>
      <c r="D169" s="119" t="s">
        <v>243</v>
      </c>
      <c r="E169" s="119" t="s">
        <v>65</v>
      </c>
    </row>
    <row r="170" spans="1:5" x14ac:dyDescent="0.2">
      <c r="A170" s="122">
        <f t="shared" si="4"/>
        <v>162</v>
      </c>
      <c r="B170" s="124" t="s">
        <v>76</v>
      </c>
      <c r="C170" s="247">
        <f>ROUND('Lighting RD'!O11,2)</f>
        <v>0.03</v>
      </c>
      <c r="D170" s="82">
        <f>ROUND('Lighting RD'!N11,6)</f>
        <v>3.738E-3</v>
      </c>
      <c r="E170" s="100" t="s">
        <v>73</v>
      </c>
    </row>
    <row r="171" spans="1:5" x14ac:dyDescent="0.2">
      <c r="A171" s="122">
        <f t="shared" si="4"/>
        <v>163</v>
      </c>
      <c r="B171" s="124" t="s">
        <v>251</v>
      </c>
      <c r="C171" s="247">
        <f>ROUND('Lighting RD'!O12,2)</f>
        <v>0.06</v>
      </c>
      <c r="D171" s="82">
        <f>ROUND('Lighting RD'!N12,6)</f>
        <v>3.738E-3</v>
      </c>
      <c r="E171" s="100" t="s">
        <v>73</v>
      </c>
    </row>
    <row r="172" spans="1:5" x14ac:dyDescent="0.2">
      <c r="A172" s="122">
        <f t="shared" si="4"/>
        <v>164</v>
      </c>
      <c r="B172" s="124" t="s">
        <v>252</v>
      </c>
      <c r="C172" s="247">
        <f>ROUND('Lighting RD'!O13,2)</f>
        <v>0.1</v>
      </c>
      <c r="D172" s="82">
        <f>ROUND('Lighting RD'!N13,6)</f>
        <v>3.738E-3</v>
      </c>
      <c r="E172" s="100" t="s">
        <v>73</v>
      </c>
    </row>
    <row r="173" spans="1:5" x14ac:dyDescent="0.2">
      <c r="A173" s="122">
        <f t="shared" si="4"/>
        <v>165</v>
      </c>
      <c r="B173" s="124" t="s">
        <v>253</v>
      </c>
      <c r="C173" s="247">
        <f>ROUND('Lighting RD'!O14,2)</f>
        <v>0.15</v>
      </c>
      <c r="D173" s="82">
        <f>ROUND('Lighting RD'!N14,6)</f>
        <v>3.738E-3</v>
      </c>
      <c r="E173" s="100" t="s">
        <v>73</v>
      </c>
    </row>
    <row r="174" spans="1:5" x14ac:dyDescent="0.2">
      <c r="A174" s="122">
        <f t="shared" si="4"/>
        <v>166</v>
      </c>
      <c r="B174" s="124" t="s">
        <v>254</v>
      </c>
      <c r="C174" s="247">
        <f>ROUND('Lighting RD'!O15,2)</f>
        <v>0.26</v>
      </c>
      <c r="D174" s="82">
        <f>ROUND('Lighting RD'!N15,6)</f>
        <v>3.738E-3</v>
      </c>
      <c r="E174" s="100" t="s">
        <v>73</v>
      </c>
    </row>
    <row r="175" spans="1:5" x14ac:dyDescent="0.2">
      <c r="A175" s="122">
        <f t="shared" si="4"/>
        <v>167</v>
      </c>
      <c r="B175" s="124" t="s">
        <v>255</v>
      </c>
      <c r="C175" s="247">
        <f>ROUND('Lighting RD'!O16,2)</f>
        <v>0.34</v>
      </c>
      <c r="D175" s="82">
        <f>ROUND('Lighting RD'!N16,6)</f>
        <v>3.738E-3</v>
      </c>
      <c r="E175" s="100" t="s">
        <v>73</v>
      </c>
    </row>
    <row r="176" spans="1:5" x14ac:dyDescent="0.2">
      <c r="A176" s="122">
        <f t="shared" si="4"/>
        <v>168</v>
      </c>
      <c r="B176" s="124" t="s">
        <v>256</v>
      </c>
      <c r="C176" s="247">
        <f>ROUND('Lighting RD'!O17,2)</f>
        <v>0.54</v>
      </c>
      <c r="D176" s="82">
        <f>ROUND('Lighting RD'!N17,6)</f>
        <v>3.738E-3</v>
      </c>
      <c r="E176" s="100" t="s">
        <v>73</v>
      </c>
    </row>
    <row r="177" spans="1:5" x14ac:dyDescent="0.2">
      <c r="A177" s="122">
        <f t="shared" si="4"/>
        <v>169</v>
      </c>
      <c r="B177" s="124" t="s">
        <v>257</v>
      </c>
      <c r="C177" s="247">
        <f>ROUND('Lighting RD'!O18,2)</f>
        <v>1.35</v>
      </c>
      <c r="D177" s="82">
        <f>ROUND('Lighting RD'!N18,6)</f>
        <v>3.738E-3</v>
      </c>
      <c r="E177" s="100" t="s">
        <v>73</v>
      </c>
    </row>
    <row r="178" spans="1:5" x14ac:dyDescent="0.2">
      <c r="A178" s="122"/>
    </row>
    <row r="179" spans="1:5" x14ac:dyDescent="0.2">
      <c r="A179" s="122"/>
    </row>
  </sheetData>
  <mergeCells count="2">
    <mergeCell ref="C7:E7"/>
    <mergeCell ref="C166:E166"/>
  </mergeCells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79998168889431442"/>
    <pageSetUpPr fitToPage="1"/>
  </sheetPr>
  <dimension ref="A1:P199"/>
  <sheetViews>
    <sheetView zoomScaleNormal="100" zoomScaleSheetLayoutView="100" workbookViewId="0">
      <pane ySplit="8" topLeftCell="A9" activePane="bottomLeft" state="frozen"/>
      <selection activeCell="J42" sqref="J42"/>
      <selection pane="bottomLeft" activeCell="J42" sqref="J42"/>
    </sheetView>
  </sheetViews>
  <sheetFormatPr defaultColWidth="9.140625" defaultRowHeight="11.25" x14ac:dyDescent="0.2"/>
  <cols>
    <col min="1" max="1" width="6.7109375" style="10" bestFit="1" customWidth="1"/>
    <col min="2" max="2" width="28.42578125" style="10" bestFit="1" customWidth="1"/>
    <col min="3" max="3" width="6.28515625" style="10" customWidth="1"/>
    <col min="4" max="4" width="7.7109375" style="8" customWidth="1"/>
    <col min="5" max="5" width="7.7109375" style="17" customWidth="1"/>
    <col min="6" max="6" width="8.28515625" style="17" customWidth="1"/>
    <col min="7" max="7" width="14" style="17" customWidth="1"/>
    <col min="8" max="8" width="4.28515625" style="17" customWidth="1"/>
    <col min="9" max="9" width="6" style="10" bestFit="1" customWidth="1"/>
    <col min="10" max="10" width="9.42578125" style="10" customWidth="1"/>
    <col min="11" max="11" width="7.5703125" style="17" customWidth="1"/>
    <col min="12" max="12" width="8.42578125" style="17" customWidth="1"/>
    <col min="13" max="13" width="16.7109375" style="17" customWidth="1"/>
    <col min="14" max="14" width="10.7109375" style="10" bestFit="1" customWidth="1"/>
    <col min="15" max="15" width="6.5703125" style="10" customWidth="1"/>
    <col min="16" max="16384" width="9.140625" style="10"/>
  </cols>
  <sheetData>
    <row r="1" spans="1:16" s="5" customFormat="1" x14ac:dyDescent="0.2">
      <c r="A1" s="134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5" customFormat="1" x14ac:dyDescent="0.2">
      <c r="A2" s="134" t="s">
        <v>114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s="5" customFormat="1" x14ac:dyDescent="0.2">
      <c r="A3" s="34" t="str">
        <f>Inputs!B2&amp;" Forecasted Rate-Year Ended "&amp;TEXT(Inputs!B4,"mmmm d, yyyy")</f>
        <v>F2024 Forecasted Rate-Year Ended April 30, 2026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35"/>
    </row>
    <row r="4" spans="1:16" s="5" customFormat="1" x14ac:dyDescent="0.2">
      <c r="A4" s="34" t="str">
        <f>"Proposed Rate Effective "&amp;TEXT(Inputs!B1,"mmmm d, yyyy")</f>
        <v>Proposed Rate Effective May 1, 2025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35"/>
    </row>
    <row r="5" spans="1:16" s="5" customFormat="1" x14ac:dyDescent="0.2">
      <c r="A5" s="134" t="s">
        <v>170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s="5" customFormat="1" x14ac:dyDescent="0.2">
      <c r="A6" s="20" t="s">
        <v>100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35"/>
    </row>
    <row r="7" spans="1:16" s="6" customFormat="1" ht="45" x14ac:dyDescent="0.2">
      <c r="A7" s="119" t="s">
        <v>23</v>
      </c>
      <c r="B7" s="119" t="s">
        <v>12</v>
      </c>
      <c r="C7" s="136" t="s">
        <v>14</v>
      </c>
      <c r="D7" s="43"/>
      <c r="E7" s="43"/>
      <c r="F7" s="43"/>
      <c r="G7" s="137" t="str">
        <f>Inputs!B2&amp;" Forecasted Rate-Year Energy (kWh)"</f>
        <v>F2024 Forecasted Rate-Year Energy (kWh)</v>
      </c>
      <c r="H7" s="138" t="s">
        <v>263</v>
      </c>
      <c r="I7" s="43"/>
      <c r="J7" s="165" t="s">
        <v>155</v>
      </c>
      <c r="K7" s="139" t="s">
        <v>97</v>
      </c>
      <c r="L7" s="139"/>
      <c r="M7" s="137" t="s">
        <v>98</v>
      </c>
      <c r="N7" s="138" t="s">
        <v>99</v>
      </c>
      <c r="O7" s="138"/>
      <c r="P7" s="135"/>
    </row>
    <row r="8" spans="1:16" s="13" customFormat="1" x14ac:dyDescent="0.2">
      <c r="A8" s="89"/>
      <c r="B8" s="89"/>
      <c r="C8" s="44" t="s">
        <v>100</v>
      </c>
      <c r="D8" s="44"/>
      <c r="E8" s="44"/>
      <c r="F8" s="44"/>
      <c r="G8" s="21" t="s">
        <v>18</v>
      </c>
      <c r="H8" s="44" t="s">
        <v>19</v>
      </c>
      <c r="I8" s="44"/>
      <c r="J8" s="89" t="s">
        <v>20</v>
      </c>
      <c r="K8" s="64" t="s">
        <v>21</v>
      </c>
      <c r="L8" s="64"/>
      <c r="M8" s="21" t="s">
        <v>167</v>
      </c>
      <c r="N8" s="89" t="s">
        <v>168</v>
      </c>
      <c r="O8" s="89" t="s">
        <v>169</v>
      </c>
      <c r="P8" s="135"/>
    </row>
    <row r="9" spans="1:16" x14ac:dyDescent="0.2">
      <c r="A9" s="77">
        <v>1</v>
      </c>
      <c r="C9" s="193" t="s">
        <v>100</v>
      </c>
      <c r="D9" s="45"/>
      <c r="E9" s="193"/>
      <c r="F9" s="193"/>
      <c r="H9" s="59" t="s">
        <v>100</v>
      </c>
      <c r="I9" s="59"/>
      <c r="K9" s="60" t="s">
        <v>100</v>
      </c>
      <c r="L9" s="60"/>
      <c r="P9" s="135"/>
    </row>
    <row r="10" spans="1:16" x14ac:dyDescent="0.2">
      <c r="A10" s="122">
        <f t="shared" ref="A10:A44" si="0">A9+1</f>
        <v>2</v>
      </c>
      <c r="B10" s="36" t="s">
        <v>0</v>
      </c>
      <c r="C10" s="193" t="s">
        <v>157</v>
      </c>
      <c r="D10" s="45"/>
      <c r="E10" s="193"/>
      <c r="F10" s="193"/>
      <c r="G10" s="140">
        <f>'Rate Spread &amp; Design'!F10</f>
        <v>11360099583.257719</v>
      </c>
      <c r="H10" s="249">
        <v>6.0949999999999997E-3</v>
      </c>
      <c r="I10" s="249"/>
      <c r="J10" s="141">
        <f>ROUND(+'Rate Spread &amp; Design'!$G$10,6)</f>
        <v>7.8079999999999998E-3</v>
      </c>
      <c r="K10" s="142">
        <v>1835083757.6961253</v>
      </c>
      <c r="L10" s="142"/>
      <c r="M10" s="143">
        <f>K10+G10*(J10-H10)</f>
        <v>1854543608.2822456</v>
      </c>
      <c r="N10" s="143">
        <f>+M10-K10</f>
        <v>19459850.586120367</v>
      </c>
      <c r="O10" s="144">
        <f>IF(K10=0,"n/a",+N10/K10)</f>
        <v>1.0604339177712214E-2</v>
      </c>
      <c r="P10" s="135"/>
    </row>
    <row r="11" spans="1:16" x14ac:dyDescent="0.2">
      <c r="A11" s="122">
        <f t="shared" si="0"/>
        <v>3</v>
      </c>
      <c r="B11" s="18"/>
      <c r="C11" s="193" t="s">
        <v>100</v>
      </c>
      <c r="D11" s="45"/>
      <c r="E11" s="193"/>
      <c r="F11" s="193"/>
      <c r="G11" s="145"/>
      <c r="H11" s="69" t="s">
        <v>100</v>
      </c>
      <c r="I11" s="69"/>
      <c r="J11" s="131"/>
      <c r="K11" s="60" t="s">
        <v>100</v>
      </c>
      <c r="L11" s="60"/>
      <c r="M11" s="76"/>
      <c r="N11" s="76"/>
      <c r="O11" s="42"/>
      <c r="P11" s="135"/>
    </row>
    <row r="12" spans="1:16" x14ac:dyDescent="0.2">
      <c r="A12" s="122">
        <f t="shared" si="0"/>
        <v>4</v>
      </c>
      <c r="B12" s="91" t="s">
        <v>83</v>
      </c>
      <c r="C12" s="193" t="s">
        <v>100</v>
      </c>
      <c r="D12" s="45"/>
      <c r="E12" s="193"/>
      <c r="F12" s="193"/>
      <c r="G12" s="145"/>
      <c r="H12" s="69" t="s">
        <v>100</v>
      </c>
      <c r="I12" s="69"/>
      <c r="J12" s="131"/>
      <c r="K12" s="60" t="s">
        <v>100</v>
      </c>
      <c r="L12" s="60"/>
      <c r="M12" s="76"/>
      <c r="N12" s="76"/>
      <c r="O12" s="42"/>
      <c r="P12" s="135"/>
    </row>
    <row r="13" spans="1:16" x14ac:dyDescent="0.2">
      <c r="A13" s="122">
        <f t="shared" si="0"/>
        <v>5</v>
      </c>
      <c r="B13" s="3" t="s">
        <v>84</v>
      </c>
      <c r="C13" s="193" t="s">
        <v>107</v>
      </c>
      <c r="D13" s="45"/>
      <c r="E13" s="193"/>
      <c r="F13" s="193"/>
      <c r="G13" s="145">
        <f>'Rate Spread &amp; Design'!F12</f>
        <v>2693017787.7097392</v>
      </c>
      <c r="H13" s="69">
        <v>5.352E-3</v>
      </c>
      <c r="I13" s="69"/>
      <c r="J13" s="131">
        <f>ROUND(+'Rate Spread &amp; Design'!$G$12,6)</f>
        <v>7.2199999999999999E-3</v>
      </c>
      <c r="K13" s="146">
        <v>428680974.91747087</v>
      </c>
      <c r="L13" s="146"/>
      <c r="M13" s="76">
        <f>K13+G13*(J13-H13)</f>
        <v>433711532.14491266</v>
      </c>
      <c r="N13" s="76">
        <f>+M13-K13</f>
        <v>5030557.2274417877</v>
      </c>
      <c r="O13" s="42">
        <f>IF(K13=0,"n/a",+N13/K13)</f>
        <v>1.1734967310854568E-2</v>
      </c>
      <c r="P13" s="135"/>
    </row>
    <row r="14" spans="1:16" x14ac:dyDescent="0.2">
      <c r="A14" s="122">
        <f t="shared" si="0"/>
        <v>6</v>
      </c>
      <c r="B14" s="3" t="s">
        <v>85</v>
      </c>
      <c r="C14" s="193" t="s">
        <v>86</v>
      </c>
      <c r="D14" s="45"/>
      <c r="E14" s="193"/>
      <c r="F14" s="193"/>
      <c r="G14" s="145">
        <f>'Rate Spread &amp; Design'!F13</f>
        <v>2969093006.541297</v>
      </c>
      <c r="H14" s="69">
        <v>5.365E-3</v>
      </c>
      <c r="I14" s="69"/>
      <c r="J14" s="131">
        <f>ROUND(+'Rate Spread &amp; Design'!$G$13,6)</f>
        <v>7.2139999999999999E-3</v>
      </c>
      <c r="K14" s="146">
        <v>436045201.34652531</v>
      </c>
      <c r="L14" s="146"/>
      <c r="M14" s="76">
        <f>K14+G14*(J14-H14)</f>
        <v>441535054.31562018</v>
      </c>
      <c r="N14" s="76">
        <f>+M14-K14</f>
        <v>5489852.9690948725</v>
      </c>
      <c r="O14" s="42">
        <f>IF(K14=0,"n/a",+N14/K14)</f>
        <v>1.2590100641268344E-2</v>
      </c>
      <c r="P14" s="135"/>
    </row>
    <row r="15" spans="1:16" x14ac:dyDescent="0.2">
      <c r="A15" s="122">
        <f t="shared" si="0"/>
        <v>7</v>
      </c>
      <c r="B15" s="3" t="s">
        <v>87</v>
      </c>
      <c r="C15" s="193" t="s">
        <v>96</v>
      </c>
      <c r="D15" s="45"/>
      <c r="E15" s="193"/>
      <c r="F15" s="193"/>
      <c r="G15" s="145">
        <f>'Rate Spread &amp; Design'!F14</f>
        <v>2065352001.3623114</v>
      </c>
      <c r="H15" s="69">
        <v>4.6410000000000002E-3</v>
      </c>
      <c r="I15" s="69"/>
      <c r="J15" s="131">
        <f>ROUND(+'Rate Spread &amp; Design'!$G$14,6)</f>
        <v>5.9080000000000001E-3</v>
      </c>
      <c r="K15" s="146">
        <v>272120899.7216447</v>
      </c>
      <c r="L15" s="146"/>
      <c r="M15" s="76">
        <f>K15+G15*(J15-H15)</f>
        <v>274737700.70737076</v>
      </c>
      <c r="N15" s="76">
        <f>+M15-K15</f>
        <v>2616800.9857260585</v>
      </c>
      <c r="O15" s="42">
        <f>IF(K15=0,"n/a",+N15/K15)</f>
        <v>9.6163175573901576E-3</v>
      </c>
      <c r="P15" s="135"/>
    </row>
    <row r="16" spans="1:16" x14ac:dyDescent="0.2">
      <c r="A16" s="122">
        <f t="shared" si="0"/>
        <v>8</v>
      </c>
      <c r="B16" s="22" t="s">
        <v>88</v>
      </c>
      <c r="C16" s="20">
        <v>29</v>
      </c>
      <c r="D16" s="45"/>
      <c r="E16" s="193"/>
      <c r="F16" s="193"/>
      <c r="G16" s="145">
        <f>'Rate Spread &amp; Design'!F15</f>
        <v>14420837.616554612</v>
      </c>
      <c r="H16" s="69">
        <v>5.666E-3</v>
      </c>
      <c r="I16" s="69"/>
      <c r="J16" s="131">
        <f>ROUND(+'Rate Spread &amp; Design'!$G$15,6)</f>
        <v>6.3039999999999997E-3</v>
      </c>
      <c r="K16" s="146">
        <v>1846135.5797549628</v>
      </c>
      <c r="L16" s="146"/>
      <c r="M16" s="76">
        <f>K16+G16*(J16-H16)</f>
        <v>1855336.0741543246</v>
      </c>
      <c r="N16" s="76">
        <f>+M16-K16</f>
        <v>9200.4943993617781</v>
      </c>
      <c r="O16" s="42">
        <f>IF(K16=0,"n/a",+N16/K16)</f>
        <v>4.9836504427171911E-3</v>
      </c>
      <c r="P16" s="135"/>
    </row>
    <row r="17" spans="1:16" x14ac:dyDescent="0.2">
      <c r="A17" s="122">
        <f t="shared" si="0"/>
        <v>9</v>
      </c>
      <c r="B17" s="24" t="s">
        <v>24</v>
      </c>
      <c r="C17" s="193" t="s">
        <v>100</v>
      </c>
      <c r="D17" s="45"/>
      <c r="E17" s="193"/>
      <c r="F17" s="193"/>
      <c r="G17" s="147">
        <f>SUM(G13:G16)</f>
        <v>7741883633.2299013</v>
      </c>
      <c r="H17" s="148">
        <f>ROUND(SUMPRODUCT($G13:$G16,H13:H16)/$G17,6)</f>
        <v>5.1679999999999999E-3</v>
      </c>
      <c r="I17" s="149"/>
      <c r="J17" s="150">
        <f>ROUND(SUMPRODUCT($G13:$G16,J13:J16)/$G17,6)</f>
        <v>6.8659999999999997E-3</v>
      </c>
      <c r="K17" s="151">
        <f>SUM(K13:K16)</f>
        <v>1138693211.5653958</v>
      </c>
      <c r="L17" s="151"/>
      <c r="M17" s="143">
        <f>SUM(M13:M16)</f>
        <v>1151839623.242058</v>
      </c>
      <c r="N17" s="143">
        <f>SUM(N13:N16)</f>
        <v>13146411.67666208</v>
      </c>
      <c r="O17" s="144">
        <f>IF(K17=0,"n/a",+N17/K17)</f>
        <v>1.1545174365788405E-2</v>
      </c>
      <c r="P17" s="135"/>
    </row>
    <row r="18" spans="1:16" x14ac:dyDescent="0.2">
      <c r="A18" s="122">
        <f t="shared" si="0"/>
        <v>10</v>
      </c>
      <c r="B18" s="18"/>
      <c r="C18" s="193" t="s">
        <v>100</v>
      </c>
      <c r="D18" s="45"/>
      <c r="E18" s="193"/>
      <c r="F18" s="193"/>
      <c r="H18" s="70" t="s">
        <v>100</v>
      </c>
      <c r="I18" s="70"/>
      <c r="J18" s="180"/>
      <c r="K18" s="60" t="s">
        <v>100</v>
      </c>
      <c r="L18" s="60"/>
      <c r="M18" s="76"/>
      <c r="N18" s="76"/>
      <c r="O18" s="42"/>
      <c r="P18" s="135"/>
    </row>
    <row r="19" spans="1:16" x14ac:dyDescent="0.2">
      <c r="A19" s="122">
        <f t="shared" si="0"/>
        <v>11</v>
      </c>
      <c r="B19" s="91" t="s">
        <v>89</v>
      </c>
      <c r="C19" s="193" t="s">
        <v>100</v>
      </c>
      <c r="D19" s="45"/>
      <c r="E19" s="193"/>
      <c r="F19" s="193"/>
      <c r="H19" s="70" t="s">
        <v>100</v>
      </c>
      <c r="I19" s="70"/>
      <c r="J19" s="180"/>
      <c r="K19" s="60" t="s">
        <v>100</v>
      </c>
      <c r="L19" s="60"/>
      <c r="M19" s="76"/>
      <c r="N19" s="76"/>
      <c r="O19" s="42"/>
      <c r="P19" s="135"/>
    </row>
    <row r="20" spans="1:16" x14ac:dyDescent="0.2">
      <c r="A20" s="122">
        <f t="shared" si="0"/>
        <v>12</v>
      </c>
      <c r="B20" s="3" t="s">
        <v>90</v>
      </c>
      <c r="C20" s="193" t="s">
        <v>91</v>
      </c>
      <c r="D20" s="45"/>
      <c r="E20" s="193"/>
      <c r="F20" s="193"/>
      <c r="G20" s="145">
        <f>'Rate Spread &amp; Design'!F17</f>
        <v>1378600015.3562117</v>
      </c>
      <c r="H20" s="69">
        <v>4.5279999999999999E-3</v>
      </c>
      <c r="I20" s="69"/>
      <c r="J20" s="131">
        <f>ROUND(+'Rate Spread &amp; Design'!$G$17,6)</f>
        <v>6.1879999999999999E-3</v>
      </c>
      <c r="K20" s="146">
        <v>176500749.09050682</v>
      </c>
      <c r="L20" s="146"/>
      <c r="M20" s="76">
        <f>K20+G20*(J20-H20)</f>
        <v>178789225.11599812</v>
      </c>
      <c r="N20" s="76">
        <f>+M20-K20</f>
        <v>2288476.0254912972</v>
      </c>
      <c r="O20" s="42">
        <f>IF(K20=0,"n/a",+N20/K20)</f>
        <v>1.2965814804093565E-2</v>
      </c>
      <c r="P20" s="135"/>
    </row>
    <row r="21" spans="1:16" x14ac:dyDescent="0.2">
      <c r="A21" s="122">
        <f t="shared" si="0"/>
        <v>13</v>
      </c>
      <c r="B21" s="2" t="s">
        <v>88</v>
      </c>
      <c r="C21" s="20">
        <v>35</v>
      </c>
      <c r="D21" s="45"/>
      <c r="E21" s="20"/>
      <c r="F21" s="20"/>
      <c r="G21" s="145">
        <f>'Rate Spread &amp; Design'!F18</f>
        <v>5934926.6636967957</v>
      </c>
      <c r="H21" s="69">
        <v>3.4810000000000002E-3</v>
      </c>
      <c r="I21" s="69"/>
      <c r="J21" s="131">
        <f>ROUND(+'Rate Spread &amp; Design'!$G$18,6)</f>
        <v>4.0239999999999998E-3</v>
      </c>
      <c r="K21" s="146">
        <v>665038.13704966067</v>
      </c>
      <c r="L21" s="146"/>
      <c r="M21" s="76">
        <f>K21+G21*(J21-H21)</f>
        <v>668260.80222804798</v>
      </c>
      <c r="N21" s="76">
        <f>+M21-K21</f>
        <v>3222.6651783873094</v>
      </c>
      <c r="O21" s="42">
        <f>IF(K21=0,"n/a",+N21/K21)</f>
        <v>4.845835146664171E-3</v>
      </c>
      <c r="P21" s="135"/>
    </row>
    <row r="22" spans="1:16" x14ac:dyDescent="0.2">
      <c r="A22" s="122">
        <f t="shared" si="0"/>
        <v>14</v>
      </c>
      <c r="B22" s="22" t="s">
        <v>92</v>
      </c>
      <c r="C22" s="20">
        <v>43</v>
      </c>
      <c r="D22" s="45"/>
      <c r="E22" s="20"/>
      <c r="F22" s="20"/>
      <c r="G22" s="145">
        <f>'Rate Spread &amp; Design'!F19</f>
        <v>108844561.70565043</v>
      </c>
      <c r="H22" s="69">
        <v>1.0089999999999999E-3</v>
      </c>
      <c r="I22" s="69"/>
      <c r="J22" s="131">
        <f>ROUND(+'Rate Spread &amp; Design'!$G$19,6)</f>
        <v>9.2390000000000007E-3</v>
      </c>
      <c r="K22" s="146">
        <v>14465102.129580269</v>
      </c>
      <c r="L22" s="146"/>
      <c r="M22" s="76">
        <f>K22+G22*(J22-H22)</f>
        <v>15360892.872417772</v>
      </c>
      <c r="N22" s="76">
        <f>+M22-K22</f>
        <v>895790.74283750355</v>
      </c>
      <c r="O22" s="42">
        <f>IF(K22=0,"n/a",+N22/K22)</f>
        <v>6.1927716431788273E-2</v>
      </c>
      <c r="P22" s="135"/>
    </row>
    <row r="23" spans="1:16" x14ac:dyDescent="0.2">
      <c r="A23" s="122">
        <f t="shared" si="0"/>
        <v>15</v>
      </c>
      <c r="B23" s="23" t="s">
        <v>25</v>
      </c>
      <c r="C23" s="193" t="s">
        <v>100</v>
      </c>
      <c r="D23" s="45"/>
      <c r="E23" s="193"/>
      <c r="F23" s="193"/>
      <c r="G23" s="147">
        <f>SUM(G20:G22)</f>
        <v>1493379503.7255588</v>
      </c>
      <c r="H23" s="149">
        <f>ROUND(SUMPRODUCT($G20:$G22,H20:H22)/$G23,6)</f>
        <v>4.267E-3</v>
      </c>
      <c r="I23" s="149"/>
      <c r="J23" s="150">
        <f>ROUND(SUMPRODUCT($G20:$G22,J20:J22)/$G23,6)</f>
        <v>6.4019999999999997E-3</v>
      </c>
      <c r="K23" s="151">
        <f>SUM(K20:K22)</f>
        <v>191630889.35713676</v>
      </c>
      <c r="L23" s="151"/>
      <c r="M23" s="143">
        <f>SUM(M20:M22)</f>
        <v>194818378.79064393</v>
      </c>
      <c r="N23" s="143">
        <f>SUM(N20:N22)</f>
        <v>3187489.4335071882</v>
      </c>
      <c r="O23" s="144">
        <f>IF(K23=0,"n/a",+N23/K23)</f>
        <v>1.6633484529557024E-2</v>
      </c>
      <c r="P23" s="135"/>
    </row>
    <row r="24" spans="1:16" x14ac:dyDescent="0.2">
      <c r="A24" s="122">
        <f t="shared" si="0"/>
        <v>16</v>
      </c>
      <c r="C24" s="193" t="s">
        <v>100</v>
      </c>
      <c r="D24" s="45"/>
      <c r="E24" s="193"/>
      <c r="F24" s="193"/>
      <c r="G24" s="10"/>
      <c r="H24" s="59" t="s">
        <v>100</v>
      </c>
      <c r="I24" s="59"/>
      <c r="K24" s="60" t="s">
        <v>100</v>
      </c>
      <c r="L24" s="60"/>
      <c r="M24" s="10"/>
      <c r="P24" s="135"/>
    </row>
    <row r="25" spans="1:16" x14ac:dyDescent="0.2">
      <c r="A25" s="122">
        <f t="shared" si="0"/>
        <v>17</v>
      </c>
      <c r="B25" s="91" t="s">
        <v>13</v>
      </c>
      <c r="C25" s="193" t="s">
        <v>100</v>
      </c>
      <c r="D25" s="45"/>
      <c r="E25" s="193"/>
      <c r="F25" s="193"/>
      <c r="H25" s="70" t="s">
        <v>100</v>
      </c>
      <c r="I25" s="70"/>
      <c r="J25" s="180"/>
      <c r="K25" s="60" t="s">
        <v>100</v>
      </c>
      <c r="L25" s="60"/>
      <c r="M25" s="76"/>
      <c r="N25" s="76"/>
      <c r="O25" s="42"/>
      <c r="P25" s="135"/>
    </row>
    <row r="26" spans="1:16" x14ac:dyDescent="0.2">
      <c r="A26" s="122">
        <f t="shared" si="0"/>
        <v>18</v>
      </c>
      <c r="B26" s="3" t="s">
        <v>94</v>
      </c>
      <c r="C26" s="20">
        <v>46</v>
      </c>
      <c r="D26" s="45"/>
      <c r="E26" s="20"/>
      <c r="F26" s="20"/>
      <c r="G26" s="145">
        <f>'Rate Spread &amp; Design'!F21</f>
        <v>93572538.659561396</v>
      </c>
      <c r="H26" s="69">
        <v>1.1249999999999999E-3</v>
      </c>
      <c r="I26" s="69"/>
      <c r="J26" s="131">
        <f>ROUND(+'Rate Spread &amp; Design'!$G$21,6)</f>
        <v>5.4409999999999997E-3</v>
      </c>
      <c r="K26" s="146">
        <v>9256666.0931570865</v>
      </c>
      <c r="L26" s="146"/>
      <c r="M26" s="76">
        <f>K26+G26*(J26-H26)</f>
        <v>9660525.1700117532</v>
      </c>
      <c r="N26" s="76">
        <f>+M26-K26</f>
        <v>403859.07685466669</v>
      </c>
      <c r="O26" s="42">
        <f>IF(K26=0,"n/a",+N26/K26)</f>
        <v>4.3628999122396366E-2</v>
      </c>
      <c r="P26" s="135"/>
    </row>
    <row r="27" spans="1:16" x14ac:dyDescent="0.2">
      <c r="A27" s="122">
        <f t="shared" si="0"/>
        <v>19</v>
      </c>
      <c r="B27" s="25" t="s">
        <v>90</v>
      </c>
      <c r="C27" s="20">
        <v>49</v>
      </c>
      <c r="D27" s="45"/>
      <c r="E27" s="20"/>
      <c r="F27" s="20"/>
      <c r="G27" s="145">
        <f>'Rate Spread &amp; Design'!F22</f>
        <v>530773099.64765275</v>
      </c>
      <c r="H27" s="69">
        <v>4.2370000000000003E-3</v>
      </c>
      <c r="I27" s="69"/>
      <c r="J27" s="131">
        <f>ROUND(+'Rate Spread &amp; Design'!$G$22,6)</f>
        <v>5.8539999999999998E-3</v>
      </c>
      <c r="K27" s="146">
        <v>54705130.663201883</v>
      </c>
      <c r="L27" s="146"/>
      <c r="M27" s="76">
        <f>K27+G27*(J27-H27)</f>
        <v>55563390.76533214</v>
      </c>
      <c r="N27" s="76">
        <f>+M27-K27</f>
        <v>858260.10213025659</v>
      </c>
      <c r="O27" s="42">
        <f>IF(K27=0,"n/a",+N27/K27)</f>
        <v>1.5688841096353993E-2</v>
      </c>
      <c r="P27" s="135"/>
    </row>
    <row r="28" spans="1:16" x14ac:dyDescent="0.2">
      <c r="A28" s="122">
        <f t="shared" si="0"/>
        <v>20</v>
      </c>
      <c r="B28" s="24" t="s">
        <v>22</v>
      </c>
      <c r="C28" s="20" t="s">
        <v>100</v>
      </c>
      <c r="D28" s="45"/>
      <c r="E28" s="20"/>
      <c r="F28" s="20"/>
      <c r="G28" s="147">
        <f>SUM(G26:G27)</f>
        <v>624345638.30721414</v>
      </c>
      <c r="H28" s="148">
        <f>ROUND(SUMPRODUCT($G26:$G27,H26:H27)/$G28,6)</f>
        <v>3.771E-3</v>
      </c>
      <c r="I28" s="149"/>
      <c r="J28" s="150">
        <f>ROUND(SUMPRODUCT($G26:$G27,J26:J27)/$G28,6)</f>
        <v>5.7920000000000003E-3</v>
      </c>
      <c r="K28" s="151">
        <f>SUM(K26:K27)</f>
        <v>63961796.756358966</v>
      </c>
      <c r="L28" s="151"/>
      <c r="M28" s="147">
        <f>SUM(M26:M27)</f>
        <v>65223915.935343891</v>
      </c>
      <c r="N28" s="143">
        <f>SUM(N26:N27)</f>
        <v>1262119.1789849233</v>
      </c>
      <c r="O28" s="144">
        <f>IF(K28=0,"n/a",+N28/K28)</f>
        <v>1.9732390942558155E-2</v>
      </c>
      <c r="P28" s="135"/>
    </row>
    <row r="29" spans="1:16" x14ac:dyDescent="0.2">
      <c r="A29" s="122">
        <f t="shared" si="0"/>
        <v>21</v>
      </c>
      <c r="B29" s="18"/>
      <c r="C29" s="193" t="s">
        <v>100</v>
      </c>
      <c r="D29" s="45"/>
      <c r="E29" s="193"/>
      <c r="F29" s="193"/>
      <c r="G29" s="10"/>
      <c r="H29" s="59" t="s">
        <v>100</v>
      </c>
      <c r="I29" s="59"/>
      <c r="K29" s="60" t="s">
        <v>100</v>
      </c>
      <c r="L29" s="60"/>
      <c r="M29" s="10"/>
      <c r="P29" s="135"/>
    </row>
    <row r="30" spans="1:16" x14ac:dyDescent="0.2">
      <c r="A30" s="122">
        <f t="shared" si="0"/>
        <v>22</v>
      </c>
      <c r="B30" s="23" t="s">
        <v>95</v>
      </c>
      <c r="C30" s="20" t="s">
        <v>101</v>
      </c>
      <c r="D30" s="45"/>
      <c r="E30" s="20"/>
      <c r="F30" s="20"/>
      <c r="G30" s="140">
        <f>'Rate Spread &amp; Design'!$F$34</f>
        <v>1953924436.0460784</v>
      </c>
      <c r="H30" s="249">
        <v>1.351E-3</v>
      </c>
      <c r="I30" s="249"/>
      <c r="J30" s="141">
        <f>ROUND('Rate Spread &amp; Design'!$G$34,6)</f>
        <v>1.351E-3</v>
      </c>
      <c r="K30" s="142">
        <v>17415674.448766891</v>
      </c>
      <c r="L30" s="142"/>
      <c r="M30" s="143">
        <f>K30+G30*(J30-H30)</f>
        <v>17415674.448766891</v>
      </c>
      <c r="N30" s="143">
        <f>+M30-K30</f>
        <v>0</v>
      </c>
      <c r="O30" s="144">
        <f>IF(K30=0,"n/a",+N30/K30)</f>
        <v>0</v>
      </c>
      <c r="P30" s="135"/>
    </row>
    <row r="31" spans="1:16" x14ac:dyDescent="0.2">
      <c r="A31" s="122">
        <f t="shared" si="0"/>
        <v>23</v>
      </c>
      <c r="B31" s="18"/>
      <c r="C31" s="193" t="s">
        <v>100</v>
      </c>
      <c r="D31" s="45"/>
      <c r="E31" s="193"/>
      <c r="F31" s="193"/>
      <c r="G31" s="145"/>
      <c r="H31" s="69" t="s">
        <v>100</v>
      </c>
      <c r="I31" s="69"/>
      <c r="J31" s="131"/>
      <c r="K31" s="60" t="s">
        <v>100</v>
      </c>
      <c r="L31" s="60"/>
      <c r="M31" s="76"/>
      <c r="N31" s="76"/>
      <c r="O31" s="42"/>
      <c r="P31" s="135"/>
    </row>
    <row r="32" spans="1:16" x14ac:dyDescent="0.2">
      <c r="A32" s="122">
        <f t="shared" si="0"/>
        <v>24</v>
      </c>
      <c r="B32" s="24" t="s">
        <v>62</v>
      </c>
      <c r="C32" s="20" t="s">
        <v>63</v>
      </c>
      <c r="D32" s="45"/>
      <c r="E32" s="20"/>
      <c r="F32" s="20"/>
      <c r="G32" s="140">
        <f>'Rate Spread &amp; Design'!$F$24</f>
        <v>319873933.30400002</v>
      </c>
      <c r="H32" s="249">
        <v>5.0289999999999996E-3</v>
      </c>
      <c r="I32" s="249"/>
      <c r="J32" s="141">
        <f>ROUND(+'Rate Spread &amp; Design'!$G$24,6)</f>
        <v>6.757E-3</v>
      </c>
      <c r="K32" s="142">
        <v>10118600.190831607</v>
      </c>
      <c r="L32" s="142"/>
      <c r="M32" s="143">
        <f>K32+G32*(J32-H32)</f>
        <v>10671342.347580919</v>
      </c>
      <c r="N32" s="143">
        <f>+M32-K32</f>
        <v>552742.15674931183</v>
      </c>
      <c r="O32" s="144">
        <f>IF(K32=0,"n/a",+N32/K32)</f>
        <v>5.4626346166947837E-2</v>
      </c>
      <c r="P32" s="135"/>
    </row>
    <row r="33" spans="1:16" x14ac:dyDescent="0.2">
      <c r="A33" s="122">
        <f t="shared" si="0"/>
        <v>25</v>
      </c>
      <c r="C33" s="193" t="s">
        <v>100</v>
      </c>
      <c r="D33" s="45"/>
      <c r="E33" s="193"/>
      <c r="F33" s="193"/>
      <c r="G33" s="145"/>
      <c r="H33" s="69" t="s">
        <v>100</v>
      </c>
      <c r="I33" s="69"/>
      <c r="J33" s="131"/>
      <c r="K33" s="60" t="s">
        <v>100</v>
      </c>
      <c r="L33" s="60"/>
      <c r="M33" s="76"/>
      <c r="N33" s="76"/>
      <c r="O33" s="42"/>
      <c r="P33" s="135"/>
    </row>
    <row r="34" spans="1:16" x14ac:dyDescent="0.2">
      <c r="A34" s="122">
        <f t="shared" si="0"/>
        <v>26</v>
      </c>
      <c r="B34" s="91" t="s">
        <v>184</v>
      </c>
      <c r="C34" s="20" t="s">
        <v>102</v>
      </c>
      <c r="D34" s="45"/>
      <c r="E34" s="20"/>
      <c r="F34" s="20"/>
      <c r="G34" s="140">
        <f>'Rate Spread &amp; Design'!$F$26</f>
        <v>64341676.6170213</v>
      </c>
      <c r="H34" s="249">
        <v>2.6700000000000001E-3</v>
      </c>
      <c r="I34" s="249"/>
      <c r="J34" s="141">
        <f>ROUND(+'Rate Spread &amp; Design'!$G$26,6)</f>
        <v>3.738E-3</v>
      </c>
      <c r="K34" s="142">
        <v>24186029.742802352</v>
      </c>
      <c r="L34" s="142"/>
      <c r="M34" s="143">
        <f>K34+G34*(J34-H34)</f>
        <v>24254746.653429329</v>
      </c>
      <c r="N34" s="143">
        <f>+M34-K34</f>
        <v>68716.910626977682</v>
      </c>
      <c r="O34" s="144">
        <f>IF(K34=0,"n/a",+N34/K34)</f>
        <v>2.8411819284819787E-3</v>
      </c>
      <c r="P34" s="135"/>
    </row>
    <row r="35" spans="1:16" x14ac:dyDescent="0.2">
      <c r="A35" s="122">
        <f t="shared" si="0"/>
        <v>27</v>
      </c>
      <c r="B35" s="91"/>
      <c r="C35" s="276"/>
      <c r="D35" s="276"/>
      <c r="E35" s="276"/>
      <c r="F35" s="276"/>
      <c r="G35" s="145"/>
      <c r="H35" s="279"/>
      <c r="I35" s="279"/>
      <c r="J35" s="131"/>
      <c r="K35" s="278"/>
      <c r="L35" s="278"/>
      <c r="M35" s="76"/>
      <c r="N35" s="76"/>
      <c r="O35" s="42"/>
      <c r="P35" s="135"/>
    </row>
    <row r="36" spans="1:16" x14ac:dyDescent="0.2">
      <c r="A36" s="122">
        <f t="shared" si="0"/>
        <v>28</v>
      </c>
      <c r="B36" s="91" t="s">
        <v>229</v>
      </c>
      <c r="C36" s="277" t="s">
        <v>230</v>
      </c>
      <c r="D36" s="276"/>
      <c r="E36" s="276"/>
      <c r="F36" s="276"/>
      <c r="G36" s="147">
        <v>0</v>
      </c>
      <c r="H36" s="149">
        <v>0</v>
      </c>
      <c r="I36" s="149"/>
      <c r="J36" s="141">
        <f>ROUND(+'Rate Spread &amp; Design'!$G$28,6)</f>
        <v>6.8669999999999998E-3</v>
      </c>
      <c r="K36" s="268">
        <v>0</v>
      </c>
      <c r="L36" s="268"/>
      <c r="M36" s="143">
        <f>K36+G36*(J36-H36)</f>
        <v>0</v>
      </c>
      <c r="N36" s="143">
        <f>+M36-K36</f>
        <v>0</v>
      </c>
      <c r="O36" s="144" t="str">
        <f>IF(K36=0,"n/a",+N36/K36)</f>
        <v>n/a</v>
      </c>
      <c r="P36" s="135"/>
    </row>
    <row r="37" spans="1:16" x14ac:dyDescent="0.2">
      <c r="A37" s="122">
        <f t="shared" si="0"/>
        <v>29</v>
      </c>
      <c r="C37" s="193" t="s">
        <v>100</v>
      </c>
      <c r="D37" s="45"/>
      <c r="E37" s="193"/>
      <c r="F37" s="193"/>
      <c r="H37" s="70" t="s">
        <v>100</v>
      </c>
      <c r="I37" s="70"/>
      <c r="J37" s="180"/>
      <c r="K37" s="60" t="s">
        <v>100</v>
      </c>
      <c r="L37" s="60"/>
      <c r="M37" s="76"/>
      <c r="N37" s="76"/>
      <c r="O37" s="42"/>
      <c r="P37" s="135"/>
    </row>
    <row r="38" spans="1:16" ht="12" thickBot="1" x14ac:dyDescent="0.25">
      <c r="A38" s="122">
        <f t="shared" si="0"/>
        <v>30</v>
      </c>
      <c r="B38" s="62" t="s">
        <v>11</v>
      </c>
      <c r="C38" s="57" t="s">
        <v>100</v>
      </c>
      <c r="D38" s="58"/>
      <c r="E38" s="57"/>
      <c r="F38" s="57"/>
      <c r="G38" s="152">
        <f>SUM(G10,G17,G23,G28,G30,G34,G32)</f>
        <v>23557848404.487492</v>
      </c>
      <c r="H38" s="153">
        <f>ROUND(($G10*H10+$G17*H17+$G23*H23+$G28*H28+$G30*H30+$G32*H32+$G34*H34)/$G38,6)</f>
        <v>5.1960000000000001E-3</v>
      </c>
      <c r="I38" s="153"/>
      <c r="J38" s="154">
        <f>ROUND(($G10*J10+$G17*J17+$G23*J23+$G28*J28+$G30*J30+$G32*J32+$G34*J34)/$G38,6)</f>
        <v>6.7949999999999998E-3</v>
      </c>
      <c r="K38" s="155">
        <f>SUM(K10,K17,K23,K28,K30,K34,K32)</f>
        <v>3281089959.7574177</v>
      </c>
      <c r="L38" s="155"/>
      <c r="M38" s="156">
        <f>SUM(M10,M17,M23,M28,M30,M34,M32)</f>
        <v>3318767289.700068</v>
      </c>
      <c r="N38" s="156">
        <f>SUM(N10,N17,N23,N28,N30,N34,N32)</f>
        <v>37677329.942650855</v>
      </c>
      <c r="O38" s="157">
        <f>IF(K38=0,"n/a",+N38/K38)</f>
        <v>1.1483174921981252E-2</v>
      </c>
      <c r="P38" s="135"/>
    </row>
    <row r="39" spans="1:16" ht="12" thickTop="1" x14ac:dyDescent="0.2">
      <c r="A39" s="122">
        <f t="shared" si="0"/>
        <v>31</v>
      </c>
      <c r="C39" s="59" t="s">
        <v>100</v>
      </c>
      <c r="D39" s="59"/>
      <c r="E39" s="60"/>
      <c r="F39" s="60"/>
      <c r="G39" s="63">
        <v>0</v>
      </c>
      <c r="H39" s="71" t="s">
        <v>100</v>
      </c>
      <c r="I39" s="72"/>
      <c r="K39" s="63">
        <v>0</v>
      </c>
      <c r="L39" s="60"/>
      <c r="P39" s="135"/>
    </row>
    <row r="40" spans="1:16" x14ac:dyDescent="0.2">
      <c r="A40" s="122">
        <f t="shared" si="0"/>
        <v>32</v>
      </c>
      <c r="C40" s="59" t="s">
        <v>100</v>
      </c>
      <c r="D40" s="59"/>
      <c r="E40" s="60"/>
      <c r="F40" s="60"/>
      <c r="H40" s="60" t="s">
        <v>100</v>
      </c>
      <c r="I40" s="72"/>
      <c r="K40" s="60" t="s">
        <v>100</v>
      </c>
      <c r="L40" s="60"/>
      <c r="P40" s="135"/>
    </row>
    <row r="41" spans="1:16" ht="13.5" x14ac:dyDescent="0.2">
      <c r="A41" s="122">
        <f t="shared" si="0"/>
        <v>33</v>
      </c>
      <c r="B41" s="73" t="s">
        <v>173</v>
      </c>
      <c r="C41" s="49"/>
      <c r="D41" s="50"/>
      <c r="E41" s="51"/>
      <c r="F41" s="51"/>
      <c r="G41" s="61"/>
      <c r="H41" s="61"/>
      <c r="I41" s="50"/>
      <c r="J41" s="50"/>
      <c r="K41" s="51"/>
      <c r="L41" s="51"/>
      <c r="M41" s="51"/>
      <c r="N41" s="50"/>
      <c r="O41" s="50"/>
      <c r="P41" s="135"/>
    </row>
    <row r="42" spans="1:16" ht="13.5" x14ac:dyDescent="0.35">
      <c r="A42" s="122">
        <f t="shared" si="0"/>
        <v>34</v>
      </c>
      <c r="B42" s="32"/>
      <c r="C42" s="158" t="s">
        <v>172</v>
      </c>
      <c r="D42" s="158"/>
      <c r="E42" s="158"/>
      <c r="F42" s="158"/>
      <c r="G42" s="158"/>
      <c r="H42" s="159"/>
      <c r="I42" s="158" t="s">
        <v>116</v>
      </c>
      <c r="J42" s="160"/>
      <c r="K42" s="160"/>
      <c r="L42" s="160"/>
      <c r="M42" s="160"/>
      <c r="N42" s="47"/>
      <c r="O42" s="47"/>
      <c r="P42" s="135"/>
    </row>
    <row r="43" spans="1:16" ht="40.5" x14ac:dyDescent="0.35">
      <c r="A43" s="122">
        <f t="shared" si="0"/>
        <v>35</v>
      </c>
      <c r="C43" s="46" t="s">
        <v>154</v>
      </c>
      <c r="D43" s="46" t="s">
        <v>133</v>
      </c>
      <c r="E43" s="46" t="s">
        <v>134</v>
      </c>
      <c r="F43" s="46" t="s">
        <v>171</v>
      </c>
      <c r="G43" s="46" t="s">
        <v>172</v>
      </c>
      <c r="H43" s="46"/>
      <c r="I43" s="46" t="s">
        <v>154</v>
      </c>
      <c r="J43" s="46" t="s">
        <v>133</v>
      </c>
      <c r="K43" s="46" t="s">
        <v>134</v>
      </c>
      <c r="L43" s="46" t="s">
        <v>171</v>
      </c>
      <c r="M43" s="161" t="s">
        <v>116</v>
      </c>
      <c r="N43" s="161" t="s">
        <v>117</v>
      </c>
      <c r="O43" s="161" t="s">
        <v>118</v>
      </c>
      <c r="P43" s="135"/>
    </row>
    <row r="44" spans="1:16" x14ac:dyDescent="0.2">
      <c r="A44" s="122">
        <f t="shared" si="0"/>
        <v>36</v>
      </c>
      <c r="B44" s="48" t="s">
        <v>132</v>
      </c>
      <c r="C44" s="162">
        <v>7.49</v>
      </c>
      <c r="D44" s="162">
        <v>53.66</v>
      </c>
      <c r="E44" s="162">
        <v>21.77</v>
      </c>
      <c r="F44" s="162">
        <v>8.91</v>
      </c>
      <c r="G44" s="167">
        <f>SUM(C44:F44)</f>
        <v>91.83</v>
      </c>
      <c r="H44" s="167"/>
      <c r="I44" s="182">
        <f>C44</f>
        <v>7.49</v>
      </c>
      <c r="J44" s="182">
        <f>D44</f>
        <v>53.66</v>
      </c>
      <c r="K44" s="182">
        <f>E44</f>
        <v>21.77</v>
      </c>
      <c r="L44" s="167">
        <f>ROUND(F44+($J$10-$H$10)*800,2)</f>
        <v>10.28</v>
      </c>
      <c r="M44" s="167">
        <f>SUM(I44:L44)</f>
        <v>93.2</v>
      </c>
      <c r="N44" s="163">
        <f>M44-G44</f>
        <v>1.3700000000000045</v>
      </c>
      <c r="O44" s="164">
        <f>N44/G44</f>
        <v>1.4918871828378576E-2</v>
      </c>
      <c r="P44" s="135"/>
    </row>
    <row r="45" spans="1:16" x14ac:dyDescent="0.2">
      <c r="A45" s="122"/>
      <c r="E45" s="4"/>
      <c r="F45" s="4"/>
      <c r="G45" s="4"/>
      <c r="H45" s="4"/>
      <c r="I45" s="4"/>
      <c r="J45" s="4"/>
      <c r="M45" s="4"/>
      <c r="N45" s="4"/>
      <c r="O45" s="4"/>
      <c r="P45" s="135"/>
    </row>
    <row r="46" spans="1:16" x14ac:dyDescent="0.2">
      <c r="A46" s="122"/>
      <c r="B46" s="275" t="s">
        <v>261</v>
      </c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135"/>
    </row>
    <row r="47" spans="1:16" x14ac:dyDescent="0.2">
      <c r="A47" s="122"/>
      <c r="B47" s="275" t="s">
        <v>262</v>
      </c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135"/>
    </row>
    <row r="48" spans="1:16" x14ac:dyDescent="0.2">
      <c r="A48" s="122"/>
      <c r="D48" s="10"/>
      <c r="E48" s="10"/>
      <c r="F48" s="10"/>
      <c r="G48" s="10"/>
      <c r="H48" s="10"/>
      <c r="K48" s="10"/>
      <c r="L48" s="10"/>
      <c r="M48" s="10"/>
      <c r="P48" s="135"/>
    </row>
    <row r="49" spans="1:16" x14ac:dyDescent="0.2">
      <c r="A49" s="122"/>
      <c r="D49" s="10"/>
      <c r="E49" s="10"/>
      <c r="F49" s="10"/>
      <c r="G49" s="10"/>
      <c r="H49" s="10"/>
      <c r="K49" s="10"/>
      <c r="L49" s="10"/>
      <c r="M49" s="10"/>
      <c r="P49" s="135"/>
    </row>
    <row r="50" spans="1:16" x14ac:dyDescent="0.2">
      <c r="A50" s="122"/>
      <c r="D50" s="10"/>
      <c r="E50" s="10"/>
      <c r="F50" s="10"/>
      <c r="G50" s="10"/>
      <c r="H50" s="10"/>
      <c r="K50" s="10"/>
      <c r="L50" s="10"/>
      <c r="M50" s="10"/>
      <c r="P50" s="135"/>
    </row>
    <row r="51" spans="1:16" x14ac:dyDescent="0.2">
      <c r="A51" s="122"/>
      <c r="D51" s="10"/>
      <c r="E51" s="10"/>
      <c r="F51" s="10"/>
      <c r="G51" s="10"/>
      <c r="H51" s="10"/>
      <c r="K51" s="10"/>
      <c r="L51" s="10"/>
      <c r="M51" s="10"/>
      <c r="P51" s="135"/>
    </row>
    <row r="52" spans="1:16" x14ac:dyDescent="0.2">
      <c r="A52" s="122"/>
      <c r="D52" s="10"/>
      <c r="E52" s="10"/>
      <c r="F52" s="10"/>
      <c r="G52" s="10"/>
      <c r="H52" s="10"/>
      <c r="K52" s="10"/>
      <c r="L52" s="10"/>
      <c r="M52" s="10"/>
      <c r="P52" s="135"/>
    </row>
    <row r="53" spans="1:16" x14ac:dyDescent="0.2">
      <c r="A53" s="122"/>
      <c r="D53" s="10"/>
      <c r="E53" s="10"/>
      <c r="F53" s="10"/>
      <c r="G53" s="10"/>
      <c r="H53" s="10"/>
      <c r="K53" s="10"/>
      <c r="L53" s="10"/>
      <c r="M53" s="10"/>
      <c r="P53" s="135"/>
    </row>
    <row r="54" spans="1:16" x14ac:dyDescent="0.2">
      <c r="A54" s="122"/>
      <c r="D54" s="10"/>
      <c r="E54" s="10"/>
      <c r="F54" s="10"/>
      <c r="G54" s="10"/>
      <c r="H54" s="10"/>
      <c r="K54" s="10"/>
      <c r="L54" s="10"/>
      <c r="M54" s="10"/>
      <c r="P54" s="135"/>
    </row>
    <row r="55" spans="1:16" x14ac:dyDescent="0.2">
      <c r="A55" s="122"/>
      <c r="D55" s="10"/>
      <c r="E55" s="10"/>
      <c r="F55" s="10"/>
      <c r="G55" s="10"/>
      <c r="H55" s="10"/>
      <c r="K55" s="10"/>
      <c r="L55" s="10"/>
      <c r="M55" s="10"/>
      <c r="P55" s="135"/>
    </row>
    <row r="56" spans="1:16" x14ac:dyDescent="0.2">
      <c r="A56" s="122"/>
      <c r="D56" s="10"/>
      <c r="E56" s="10"/>
      <c r="F56" s="10"/>
      <c r="G56" s="10"/>
      <c r="H56" s="10"/>
      <c r="K56" s="10"/>
      <c r="L56" s="10"/>
      <c r="M56" s="10"/>
      <c r="P56" s="135"/>
    </row>
    <row r="57" spans="1:16" x14ac:dyDescent="0.2">
      <c r="A57" s="122"/>
      <c r="D57" s="10"/>
      <c r="E57" s="10"/>
      <c r="F57" s="10"/>
      <c r="G57" s="10"/>
      <c r="H57" s="10"/>
      <c r="K57" s="10"/>
      <c r="L57" s="10"/>
      <c r="M57" s="10"/>
      <c r="P57" s="135"/>
    </row>
    <row r="58" spans="1:16" x14ac:dyDescent="0.2">
      <c r="A58" s="122"/>
      <c r="D58" s="10"/>
      <c r="E58" s="10"/>
      <c r="F58" s="10"/>
      <c r="G58" s="10"/>
      <c r="H58" s="10"/>
      <c r="K58" s="10"/>
      <c r="L58" s="10"/>
      <c r="M58" s="10"/>
      <c r="P58" s="135"/>
    </row>
    <row r="59" spans="1:16" x14ac:dyDescent="0.2">
      <c r="A59" s="122"/>
      <c r="D59" s="10"/>
      <c r="E59" s="10"/>
      <c r="F59" s="10"/>
      <c r="G59" s="10"/>
      <c r="H59" s="10"/>
      <c r="K59" s="10"/>
      <c r="L59" s="10"/>
      <c r="M59" s="10"/>
      <c r="P59" s="135"/>
    </row>
    <row r="60" spans="1:16" x14ac:dyDescent="0.2">
      <c r="A60" s="122"/>
      <c r="D60" s="10"/>
      <c r="E60" s="10"/>
      <c r="F60" s="10"/>
      <c r="G60" s="10"/>
      <c r="H60" s="10"/>
      <c r="K60" s="10"/>
      <c r="L60" s="10"/>
      <c r="M60" s="10"/>
      <c r="P60" s="135"/>
    </row>
    <row r="61" spans="1:16" x14ac:dyDescent="0.2">
      <c r="A61" s="122"/>
      <c r="D61" s="10"/>
      <c r="E61" s="10"/>
      <c r="F61" s="10"/>
      <c r="G61" s="10"/>
      <c r="H61" s="10"/>
      <c r="K61" s="10"/>
      <c r="L61" s="10"/>
      <c r="M61" s="10"/>
      <c r="P61" s="135"/>
    </row>
    <row r="62" spans="1:16" x14ac:dyDescent="0.2">
      <c r="A62" s="122"/>
      <c r="D62" s="10"/>
      <c r="E62" s="10"/>
      <c r="F62" s="10"/>
      <c r="G62" s="10"/>
      <c r="H62" s="10"/>
      <c r="K62" s="10"/>
      <c r="L62" s="10"/>
      <c r="M62" s="10"/>
      <c r="P62" s="135"/>
    </row>
    <row r="63" spans="1:16" x14ac:dyDescent="0.2">
      <c r="A63" s="122"/>
      <c r="D63" s="10"/>
      <c r="E63" s="10"/>
      <c r="F63" s="10"/>
      <c r="G63" s="10"/>
      <c r="H63" s="10"/>
      <c r="K63" s="10"/>
      <c r="L63" s="10"/>
      <c r="M63" s="10"/>
      <c r="P63" s="135"/>
    </row>
    <row r="64" spans="1:16" x14ac:dyDescent="0.2">
      <c r="A64" s="122"/>
      <c r="D64" s="10"/>
      <c r="E64" s="10"/>
      <c r="F64" s="10"/>
      <c r="G64" s="10"/>
      <c r="H64" s="10"/>
      <c r="K64" s="10"/>
      <c r="L64" s="10"/>
      <c r="M64" s="10"/>
      <c r="P64" s="135"/>
    </row>
    <row r="65" spans="1:16" x14ac:dyDescent="0.2">
      <c r="A65" s="122"/>
      <c r="D65" s="10"/>
      <c r="E65" s="10"/>
      <c r="F65" s="10"/>
      <c r="G65" s="10"/>
      <c r="H65" s="10"/>
      <c r="K65" s="10"/>
      <c r="L65" s="10"/>
      <c r="M65" s="10"/>
      <c r="P65" s="135"/>
    </row>
    <row r="66" spans="1:16" x14ac:dyDescent="0.2">
      <c r="A66" s="122"/>
      <c r="D66" s="10"/>
      <c r="E66" s="10"/>
      <c r="F66" s="10"/>
      <c r="G66" s="10"/>
      <c r="H66" s="10"/>
      <c r="K66" s="10"/>
      <c r="L66" s="10"/>
      <c r="M66" s="10"/>
      <c r="P66" s="135"/>
    </row>
    <row r="67" spans="1:16" x14ac:dyDescent="0.2">
      <c r="A67" s="122"/>
      <c r="D67" s="10"/>
      <c r="E67" s="10"/>
      <c r="F67" s="10"/>
      <c r="G67" s="10"/>
      <c r="H67" s="10"/>
      <c r="K67" s="10"/>
      <c r="L67" s="10"/>
      <c r="M67" s="10"/>
      <c r="P67" s="135"/>
    </row>
    <row r="68" spans="1:16" x14ac:dyDescent="0.2">
      <c r="A68" s="122"/>
      <c r="D68" s="10"/>
      <c r="E68" s="10"/>
      <c r="F68" s="10"/>
      <c r="G68" s="10"/>
      <c r="H68" s="10"/>
      <c r="K68" s="10"/>
      <c r="L68" s="10"/>
      <c r="M68" s="10"/>
      <c r="P68" s="135"/>
    </row>
    <row r="69" spans="1:16" x14ac:dyDescent="0.2">
      <c r="A69" s="122"/>
      <c r="D69" s="10"/>
      <c r="E69" s="10"/>
      <c r="F69" s="10"/>
      <c r="G69" s="10"/>
      <c r="H69" s="10"/>
      <c r="K69" s="10"/>
      <c r="L69" s="10"/>
      <c r="M69" s="10"/>
      <c r="P69" s="135"/>
    </row>
    <row r="70" spans="1:16" x14ac:dyDescent="0.2">
      <c r="A70" s="122"/>
      <c r="D70" s="10"/>
      <c r="E70" s="10"/>
      <c r="F70" s="10"/>
      <c r="G70" s="10"/>
      <c r="H70" s="10"/>
      <c r="K70" s="10"/>
      <c r="L70" s="10"/>
      <c r="M70" s="10"/>
      <c r="P70" s="135"/>
    </row>
    <row r="71" spans="1:16" x14ac:dyDescent="0.2">
      <c r="A71" s="122"/>
      <c r="D71" s="10"/>
      <c r="E71" s="10"/>
      <c r="F71" s="10"/>
      <c r="G71" s="10"/>
      <c r="H71" s="10"/>
      <c r="K71" s="10"/>
      <c r="L71" s="10"/>
      <c r="M71" s="10"/>
      <c r="P71" s="135"/>
    </row>
    <row r="72" spans="1:16" x14ac:dyDescent="0.2">
      <c r="A72" s="122"/>
      <c r="D72" s="10"/>
      <c r="E72" s="10"/>
      <c r="F72" s="10"/>
      <c r="G72" s="10"/>
      <c r="H72" s="10"/>
      <c r="K72" s="10"/>
      <c r="L72" s="10"/>
      <c r="M72" s="10"/>
      <c r="P72" s="135"/>
    </row>
    <row r="73" spans="1:16" x14ac:dyDescent="0.2">
      <c r="A73" s="122"/>
      <c r="D73" s="10"/>
      <c r="E73" s="10"/>
      <c r="F73" s="10"/>
      <c r="G73" s="10"/>
      <c r="H73" s="10"/>
      <c r="K73" s="10"/>
      <c r="L73" s="10"/>
      <c r="M73" s="10"/>
      <c r="P73" s="135"/>
    </row>
    <row r="74" spans="1:16" x14ac:dyDescent="0.2">
      <c r="A74" s="122"/>
      <c r="D74" s="10"/>
      <c r="E74" s="10"/>
      <c r="F74" s="10"/>
      <c r="G74" s="10"/>
      <c r="H74" s="10"/>
      <c r="K74" s="10"/>
      <c r="L74" s="10"/>
      <c r="M74" s="10"/>
      <c r="P74" s="135"/>
    </row>
    <row r="75" spans="1:16" x14ac:dyDescent="0.2">
      <c r="A75" s="122"/>
      <c r="D75" s="10"/>
      <c r="E75" s="10"/>
      <c r="F75" s="10"/>
      <c r="G75" s="10"/>
      <c r="H75" s="10"/>
      <c r="K75" s="10"/>
      <c r="L75" s="10"/>
      <c r="M75" s="10"/>
      <c r="P75" s="135"/>
    </row>
    <row r="76" spans="1:16" x14ac:dyDescent="0.2">
      <c r="A76" s="122"/>
      <c r="D76" s="10"/>
      <c r="E76" s="10"/>
      <c r="F76" s="10"/>
      <c r="G76" s="10"/>
      <c r="H76" s="10"/>
      <c r="K76" s="10"/>
      <c r="L76" s="10"/>
      <c r="M76" s="10"/>
      <c r="P76" s="135"/>
    </row>
    <row r="77" spans="1:16" x14ac:dyDescent="0.2">
      <c r="A77" s="122"/>
      <c r="D77" s="10"/>
      <c r="E77" s="10"/>
      <c r="F77" s="10"/>
      <c r="G77" s="10"/>
      <c r="H77" s="10"/>
      <c r="K77" s="10"/>
      <c r="L77" s="10"/>
      <c r="M77" s="10"/>
      <c r="P77" s="135"/>
    </row>
    <row r="78" spans="1:16" x14ac:dyDescent="0.2">
      <c r="A78" s="122"/>
      <c r="D78" s="10"/>
      <c r="E78" s="10"/>
      <c r="F78" s="10"/>
      <c r="G78" s="10"/>
      <c r="H78" s="10"/>
      <c r="K78" s="10"/>
      <c r="L78" s="10"/>
      <c r="M78" s="10"/>
      <c r="P78" s="135"/>
    </row>
    <row r="79" spans="1:16" x14ac:dyDescent="0.2">
      <c r="A79" s="122"/>
      <c r="D79" s="10"/>
      <c r="E79" s="10"/>
      <c r="F79" s="10"/>
      <c r="G79" s="10"/>
      <c r="H79" s="10"/>
      <c r="K79" s="10"/>
      <c r="L79" s="10"/>
      <c r="M79" s="10"/>
      <c r="P79" s="135"/>
    </row>
    <row r="80" spans="1:16" x14ac:dyDescent="0.2">
      <c r="A80" s="122"/>
      <c r="D80" s="10"/>
      <c r="E80" s="10"/>
      <c r="F80" s="10"/>
      <c r="G80" s="10"/>
      <c r="H80" s="10"/>
      <c r="K80" s="10"/>
      <c r="L80" s="10"/>
      <c r="M80" s="10"/>
      <c r="P80" s="135"/>
    </row>
    <row r="81" spans="1:16" x14ac:dyDescent="0.2">
      <c r="A81" s="122"/>
      <c r="D81" s="10"/>
      <c r="E81" s="10"/>
      <c r="F81" s="10"/>
      <c r="G81" s="10"/>
      <c r="H81" s="10"/>
      <c r="K81" s="10"/>
      <c r="L81" s="10"/>
      <c r="M81" s="10"/>
      <c r="P81" s="135"/>
    </row>
    <row r="82" spans="1:16" x14ac:dyDescent="0.2">
      <c r="A82" s="122"/>
      <c r="D82" s="10"/>
      <c r="E82" s="10"/>
      <c r="F82" s="10"/>
      <c r="G82" s="10"/>
      <c r="H82" s="10"/>
      <c r="K82" s="10"/>
      <c r="L82" s="10"/>
      <c r="M82" s="10"/>
      <c r="P82" s="135"/>
    </row>
    <row r="83" spans="1:16" x14ac:dyDescent="0.2">
      <c r="A83" s="122"/>
      <c r="D83" s="10"/>
      <c r="E83" s="10"/>
      <c r="F83" s="10"/>
      <c r="G83" s="10"/>
      <c r="H83" s="10"/>
      <c r="K83" s="10"/>
      <c r="L83" s="10"/>
      <c r="M83" s="10"/>
      <c r="P83" s="135"/>
    </row>
    <row r="84" spans="1:16" x14ac:dyDescent="0.2">
      <c r="A84" s="122"/>
      <c r="D84" s="10"/>
      <c r="E84" s="10"/>
      <c r="F84" s="10"/>
      <c r="G84" s="10"/>
      <c r="H84" s="10"/>
      <c r="K84" s="10"/>
      <c r="L84" s="10"/>
      <c r="M84" s="10"/>
      <c r="P84" s="135"/>
    </row>
    <row r="85" spans="1:16" x14ac:dyDescent="0.2">
      <c r="A85" s="122"/>
      <c r="D85" s="10"/>
      <c r="E85" s="10"/>
      <c r="F85" s="10"/>
      <c r="G85" s="10"/>
      <c r="H85" s="10"/>
      <c r="K85" s="10"/>
      <c r="L85" s="10"/>
      <c r="M85" s="10"/>
      <c r="P85" s="135"/>
    </row>
    <row r="86" spans="1:16" x14ac:dyDescent="0.2">
      <c r="A86" s="122"/>
      <c r="D86" s="10"/>
      <c r="E86" s="10"/>
      <c r="F86" s="10"/>
      <c r="G86" s="10"/>
      <c r="H86" s="10"/>
      <c r="K86" s="10"/>
      <c r="L86" s="10"/>
      <c r="M86" s="10"/>
      <c r="P86" s="135"/>
    </row>
    <row r="87" spans="1:16" x14ac:dyDescent="0.2">
      <c r="A87" s="122"/>
      <c r="D87" s="10"/>
      <c r="E87" s="10"/>
      <c r="F87" s="10"/>
      <c r="G87" s="10"/>
      <c r="H87" s="10"/>
      <c r="K87" s="10"/>
      <c r="L87" s="10"/>
      <c r="M87" s="10"/>
      <c r="P87" s="135"/>
    </row>
    <row r="88" spans="1:16" x14ac:dyDescent="0.2">
      <c r="A88" s="122"/>
      <c r="D88" s="10"/>
      <c r="E88" s="10"/>
      <c r="F88" s="10"/>
      <c r="G88" s="10"/>
      <c r="H88" s="10"/>
      <c r="K88" s="10"/>
      <c r="L88" s="10"/>
      <c r="M88" s="10"/>
      <c r="P88" s="135"/>
    </row>
    <row r="89" spans="1:16" x14ac:dyDescent="0.2">
      <c r="A89" s="122"/>
      <c r="D89" s="10"/>
      <c r="E89" s="10"/>
      <c r="F89" s="10"/>
      <c r="G89" s="10"/>
      <c r="H89" s="10"/>
      <c r="K89" s="10"/>
      <c r="L89" s="10"/>
      <c r="M89" s="10"/>
      <c r="P89" s="135"/>
    </row>
    <row r="90" spans="1:16" x14ac:dyDescent="0.2">
      <c r="A90" s="122"/>
      <c r="D90" s="10"/>
      <c r="E90" s="10"/>
      <c r="F90" s="10"/>
      <c r="G90" s="10"/>
      <c r="H90" s="10"/>
      <c r="K90" s="10"/>
      <c r="L90" s="10"/>
      <c r="M90" s="10"/>
      <c r="P90" s="135"/>
    </row>
    <row r="91" spans="1:16" x14ac:dyDescent="0.2">
      <c r="A91" s="122"/>
      <c r="D91" s="10"/>
      <c r="E91" s="10"/>
      <c r="F91" s="10"/>
      <c r="G91" s="10"/>
      <c r="H91" s="10"/>
      <c r="K91" s="10"/>
      <c r="L91" s="10"/>
      <c r="M91" s="10"/>
      <c r="P91" s="135"/>
    </row>
    <row r="92" spans="1:16" x14ac:dyDescent="0.2">
      <c r="A92" s="122"/>
      <c r="D92" s="10"/>
      <c r="E92" s="10"/>
      <c r="F92" s="10"/>
      <c r="G92" s="10"/>
      <c r="H92" s="10"/>
      <c r="K92" s="10"/>
      <c r="L92" s="10"/>
      <c r="M92" s="10"/>
      <c r="P92" s="135"/>
    </row>
    <row r="93" spans="1:16" x14ac:dyDescent="0.2">
      <c r="A93" s="122"/>
      <c r="D93" s="10"/>
      <c r="E93" s="10"/>
      <c r="F93" s="10"/>
      <c r="G93" s="10"/>
      <c r="H93" s="10"/>
      <c r="K93" s="10"/>
      <c r="L93" s="10"/>
      <c r="M93" s="10"/>
      <c r="P93" s="135"/>
    </row>
    <row r="94" spans="1:16" x14ac:dyDescent="0.2">
      <c r="A94" s="122"/>
      <c r="D94" s="10"/>
      <c r="E94" s="10"/>
      <c r="F94" s="10"/>
      <c r="G94" s="10"/>
      <c r="H94" s="10"/>
      <c r="K94" s="10"/>
      <c r="L94" s="10"/>
      <c r="M94" s="10"/>
      <c r="P94" s="135"/>
    </row>
    <row r="95" spans="1:16" x14ac:dyDescent="0.2">
      <c r="A95" s="122"/>
      <c r="D95" s="10"/>
      <c r="E95" s="10"/>
      <c r="F95" s="10"/>
      <c r="G95" s="10"/>
      <c r="H95" s="10"/>
      <c r="K95" s="10"/>
      <c r="L95" s="10"/>
      <c r="M95" s="10"/>
      <c r="P95" s="135"/>
    </row>
    <row r="96" spans="1:16" x14ac:dyDescent="0.2">
      <c r="A96" s="122"/>
      <c r="D96" s="10"/>
      <c r="E96" s="10"/>
      <c r="F96" s="10"/>
      <c r="G96" s="10"/>
      <c r="H96" s="10"/>
      <c r="K96" s="10"/>
      <c r="L96" s="10"/>
      <c r="M96" s="10"/>
      <c r="P96" s="135"/>
    </row>
    <row r="97" spans="1:16" x14ac:dyDescent="0.2">
      <c r="A97" s="122"/>
      <c r="D97" s="10"/>
      <c r="E97" s="10"/>
      <c r="F97" s="10"/>
      <c r="G97" s="10"/>
      <c r="H97" s="10"/>
      <c r="K97" s="10"/>
      <c r="L97" s="10"/>
      <c r="M97" s="10"/>
      <c r="P97" s="135"/>
    </row>
    <row r="98" spans="1:16" x14ac:dyDescent="0.2">
      <c r="A98" s="122"/>
      <c r="D98" s="10"/>
      <c r="E98" s="10"/>
      <c r="F98" s="10"/>
      <c r="G98" s="10"/>
      <c r="H98" s="10"/>
      <c r="K98" s="10"/>
      <c r="L98" s="10"/>
      <c r="M98" s="10"/>
      <c r="P98" s="135"/>
    </row>
    <row r="99" spans="1:16" x14ac:dyDescent="0.2">
      <c r="A99" s="122"/>
      <c r="D99" s="10"/>
      <c r="E99" s="10"/>
      <c r="F99" s="10"/>
      <c r="G99" s="10"/>
      <c r="H99" s="10"/>
      <c r="K99" s="10"/>
      <c r="L99" s="10"/>
      <c r="M99" s="10"/>
      <c r="P99" s="135"/>
    </row>
    <row r="100" spans="1:16" x14ac:dyDescent="0.2">
      <c r="A100" s="122"/>
      <c r="D100" s="10"/>
      <c r="E100" s="10"/>
      <c r="F100" s="10"/>
      <c r="G100" s="10"/>
      <c r="H100" s="10"/>
      <c r="K100" s="10"/>
      <c r="L100" s="10"/>
      <c r="M100" s="10"/>
      <c r="P100" s="135"/>
    </row>
    <row r="101" spans="1:16" x14ac:dyDescent="0.2">
      <c r="A101" s="122"/>
      <c r="D101" s="10"/>
      <c r="E101" s="10"/>
      <c r="F101" s="10"/>
      <c r="G101" s="10"/>
      <c r="H101" s="10"/>
      <c r="K101" s="10"/>
      <c r="L101" s="10"/>
      <c r="M101" s="10"/>
      <c r="P101" s="135"/>
    </row>
    <row r="102" spans="1:16" x14ac:dyDescent="0.2">
      <c r="A102" s="122"/>
      <c r="D102" s="10"/>
      <c r="E102" s="10"/>
      <c r="F102" s="10"/>
      <c r="G102" s="10"/>
      <c r="H102" s="10"/>
      <c r="K102" s="10"/>
      <c r="L102" s="10"/>
      <c r="M102" s="10"/>
      <c r="P102" s="135"/>
    </row>
    <row r="103" spans="1:16" x14ac:dyDescent="0.2">
      <c r="A103" s="122"/>
      <c r="D103" s="10"/>
      <c r="E103" s="10"/>
      <c r="F103" s="10"/>
      <c r="G103" s="10"/>
      <c r="H103" s="10"/>
      <c r="K103" s="10"/>
      <c r="L103" s="10"/>
      <c r="M103" s="10"/>
      <c r="P103" s="135"/>
    </row>
    <row r="104" spans="1:16" x14ac:dyDescent="0.2">
      <c r="A104" s="122"/>
      <c r="D104" s="10"/>
      <c r="E104" s="10"/>
      <c r="F104" s="10"/>
      <c r="G104" s="10"/>
      <c r="H104" s="10"/>
      <c r="K104" s="10"/>
      <c r="L104" s="10"/>
      <c r="M104" s="10"/>
      <c r="P104" s="135"/>
    </row>
    <row r="105" spans="1:16" x14ac:dyDescent="0.2">
      <c r="A105" s="122"/>
      <c r="D105" s="10"/>
      <c r="E105" s="10"/>
      <c r="F105" s="10"/>
      <c r="G105" s="10"/>
      <c r="H105" s="10"/>
      <c r="K105" s="10"/>
      <c r="L105" s="10"/>
      <c r="M105" s="10"/>
      <c r="P105" s="135"/>
    </row>
    <row r="106" spans="1:16" x14ac:dyDescent="0.2">
      <c r="A106" s="122"/>
      <c r="D106" s="10"/>
      <c r="E106" s="10"/>
      <c r="F106" s="10"/>
      <c r="G106" s="10"/>
      <c r="H106" s="10"/>
      <c r="K106" s="10"/>
      <c r="L106" s="10"/>
      <c r="M106" s="10"/>
      <c r="P106" s="135"/>
    </row>
    <row r="107" spans="1:16" x14ac:dyDescent="0.2">
      <c r="A107" s="122"/>
      <c r="D107" s="10"/>
      <c r="E107" s="10"/>
      <c r="F107" s="10"/>
      <c r="G107" s="10"/>
      <c r="H107" s="10"/>
      <c r="K107" s="10"/>
      <c r="L107" s="10"/>
      <c r="M107" s="10"/>
      <c r="P107" s="135"/>
    </row>
    <row r="108" spans="1:16" x14ac:dyDescent="0.2">
      <c r="A108" s="122"/>
      <c r="D108" s="10"/>
      <c r="E108" s="10"/>
      <c r="F108" s="10"/>
      <c r="G108" s="10"/>
      <c r="H108" s="10"/>
      <c r="K108" s="10"/>
      <c r="L108" s="10"/>
      <c r="M108" s="10"/>
      <c r="P108" s="135"/>
    </row>
    <row r="109" spans="1:16" x14ac:dyDescent="0.2">
      <c r="A109" s="122"/>
      <c r="D109" s="10"/>
      <c r="E109" s="10"/>
      <c r="F109" s="10"/>
      <c r="G109" s="10"/>
      <c r="H109" s="10"/>
      <c r="K109" s="10"/>
      <c r="L109" s="10"/>
      <c r="M109" s="10"/>
      <c r="P109" s="135"/>
    </row>
    <row r="110" spans="1:16" x14ac:dyDescent="0.2">
      <c r="A110" s="122"/>
      <c r="D110" s="10"/>
      <c r="E110" s="10"/>
      <c r="F110" s="10"/>
      <c r="G110" s="10"/>
      <c r="H110" s="10"/>
      <c r="K110" s="10"/>
      <c r="L110" s="10"/>
      <c r="M110" s="10"/>
      <c r="P110" s="135"/>
    </row>
    <row r="111" spans="1:16" x14ac:dyDescent="0.2">
      <c r="A111" s="122"/>
      <c r="D111" s="10"/>
      <c r="E111" s="10"/>
      <c r="F111" s="10"/>
      <c r="G111" s="10"/>
      <c r="H111" s="10"/>
      <c r="K111" s="10"/>
      <c r="L111" s="10"/>
      <c r="M111" s="10"/>
      <c r="P111" s="135"/>
    </row>
    <row r="112" spans="1:16" x14ac:dyDescent="0.2">
      <c r="A112" s="122"/>
      <c r="D112" s="10"/>
      <c r="E112" s="10"/>
      <c r="F112" s="10"/>
      <c r="G112" s="10"/>
      <c r="H112" s="10"/>
      <c r="K112" s="10"/>
      <c r="L112" s="10"/>
      <c r="M112" s="10"/>
      <c r="P112" s="135"/>
    </row>
    <row r="113" spans="1:16" x14ac:dyDescent="0.2">
      <c r="A113" s="122"/>
      <c r="D113" s="10"/>
      <c r="E113" s="10"/>
      <c r="F113" s="10"/>
      <c r="G113" s="10"/>
      <c r="H113" s="10"/>
      <c r="K113" s="10"/>
      <c r="L113" s="10"/>
      <c r="M113" s="10"/>
      <c r="P113" s="135"/>
    </row>
    <row r="114" spans="1:16" x14ac:dyDescent="0.2">
      <c r="A114" s="122"/>
      <c r="D114" s="10"/>
      <c r="E114" s="10"/>
      <c r="F114" s="10"/>
      <c r="G114" s="10"/>
      <c r="H114" s="10"/>
      <c r="K114" s="10"/>
      <c r="L114" s="10"/>
      <c r="M114" s="10"/>
      <c r="P114" s="135"/>
    </row>
    <row r="115" spans="1:16" x14ac:dyDescent="0.2">
      <c r="A115" s="122"/>
      <c r="D115" s="10"/>
      <c r="E115" s="10"/>
      <c r="F115" s="10"/>
      <c r="G115" s="10"/>
      <c r="H115" s="10"/>
      <c r="K115" s="10"/>
      <c r="L115" s="10"/>
      <c r="M115" s="10"/>
      <c r="P115" s="135"/>
    </row>
    <row r="116" spans="1:16" x14ac:dyDescent="0.2">
      <c r="A116" s="122"/>
      <c r="D116" s="10"/>
      <c r="E116" s="10"/>
      <c r="F116" s="10"/>
      <c r="G116" s="10"/>
      <c r="H116" s="10"/>
      <c r="K116" s="10"/>
      <c r="L116" s="10"/>
      <c r="M116" s="10"/>
      <c r="P116" s="135"/>
    </row>
    <row r="117" spans="1:16" x14ac:dyDescent="0.2">
      <c r="A117" s="122"/>
      <c r="D117" s="10"/>
      <c r="E117" s="10"/>
      <c r="F117" s="10"/>
      <c r="G117" s="10"/>
      <c r="H117" s="10"/>
      <c r="K117" s="10"/>
      <c r="L117" s="10"/>
      <c r="M117" s="10"/>
      <c r="P117" s="135"/>
    </row>
    <row r="118" spans="1:16" x14ac:dyDescent="0.2">
      <c r="A118" s="122"/>
      <c r="D118" s="10"/>
      <c r="E118" s="10"/>
      <c r="F118" s="10"/>
      <c r="G118" s="10"/>
      <c r="H118" s="10"/>
      <c r="K118" s="10"/>
      <c r="L118" s="10"/>
      <c r="M118" s="10"/>
      <c r="P118" s="135"/>
    </row>
    <row r="119" spans="1:16" x14ac:dyDescent="0.2">
      <c r="A119" s="122"/>
      <c r="D119" s="10"/>
      <c r="E119" s="10"/>
      <c r="F119" s="10"/>
      <c r="G119" s="10"/>
      <c r="H119" s="10"/>
      <c r="K119" s="10"/>
      <c r="L119" s="10"/>
      <c r="M119" s="10"/>
      <c r="P119" s="135"/>
    </row>
    <row r="120" spans="1:16" x14ac:dyDescent="0.2">
      <c r="A120" s="122"/>
      <c r="D120" s="10"/>
      <c r="E120" s="10"/>
      <c r="F120" s="10"/>
      <c r="G120" s="10"/>
      <c r="H120" s="10"/>
      <c r="K120" s="10"/>
      <c r="L120" s="10"/>
      <c r="M120" s="10"/>
      <c r="P120" s="135"/>
    </row>
    <row r="121" spans="1:16" x14ac:dyDescent="0.2">
      <c r="A121" s="122"/>
      <c r="D121" s="10"/>
      <c r="E121" s="10"/>
      <c r="F121" s="10"/>
      <c r="G121" s="10"/>
      <c r="H121" s="10"/>
      <c r="K121" s="10"/>
      <c r="L121" s="10"/>
      <c r="M121" s="10"/>
      <c r="P121" s="135"/>
    </row>
    <row r="122" spans="1:16" x14ac:dyDescent="0.2">
      <c r="A122" s="122"/>
      <c r="D122" s="10"/>
      <c r="E122" s="10"/>
      <c r="F122" s="10"/>
      <c r="G122" s="10"/>
      <c r="H122" s="10"/>
      <c r="K122" s="10"/>
      <c r="L122" s="10"/>
      <c r="M122" s="10"/>
      <c r="P122" s="135"/>
    </row>
    <row r="123" spans="1:16" x14ac:dyDescent="0.2">
      <c r="A123" s="122"/>
      <c r="D123" s="10"/>
      <c r="E123" s="10"/>
      <c r="F123" s="10"/>
      <c r="G123" s="10"/>
      <c r="H123" s="10"/>
      <c r="K123" s="10"/>
      <c r="L123" s="10"/>
      <c r="M123" s="10"/>
      <c r="P123" s="135"/>
    </row>
    <row r="124" spans="1:16" x14ac:dyDescent="0.2">
      <c r="A124" s="122"/>
      <c r="D124" s="10"/>
      <c r="E124" s="10"/>
      <c r="F124" s="10"/>
      <c r="G124" s="10"/>
      <c r="H124" s="10"/>
      <c r="K124" s="10"/>
      <c r="L124" s="10"/>
      <c r="M124" s="10"/>
      <c r="P124" s="135"/>
    </row>
    <row r="125" spans="1:16" x14ac:dyDescent="0.2">
      <c r="A125" s="122"/>
      <c r="D125" s="10"/>
      <c r="E125" s="10"/>
      <c r="F125" s="10"/>
      <c r="G125" s="10"/>
      <c r="H125" s="10"/>
      <c r="K125" s="10"/>
      <c r="L125" s="10"/>
      <c r="M125" s="10"/>
      <c r="P125" s="135"/>
    </row>
    <row r="126" spans="1:16" x14ac:dyDescent="0.2">
      <c r="A126" s="122"/>
      <c r="D126" s="10"/>
      <c r="E126" s="10"/>
      <c r="F126" s="10"/>
      <c r="G126" s="10"/>
      <c r="H126" s="10"/>
      <c r="K126" s="10"/>
      <c r="L126" s="10"/>
      <c r="M126" s="10"/>
      <c r="P126" s="135"/>
    </row>
    <row r="127" spans="1:16" x14ac:dyDescent="0.2">
      <c r="A127" s="122"/>
      <c r="D127" s="10"/>
      <c r="E127" s="10"/>
      <c r="F127" s="10"/>
      <c r="G127" s="10"/>
      <c r="H127" s="10"/>
      <c r="K127" s="10"/>
      <c r="L127" s="10"/>
      <c r="M127" s="10"/>
      <c r="P127" s="135"/>
    </row>
    <row r="128" spans="1:16" x14ac:dyDescent="0.2">
      <c r="A128" s="122"/>
      <c r="D128" s="10"/>
      <c r="E128" s="10"/>
      <c r="F128" s="10"/>
      <c r="G128" s="10"/>
      <c r="H128" s="10"/>
      <c r="K128" s="10"/>
      <c r="L128" s="10"/>
      <c r="M128" s="10"/>
      <c r="P128" s="135"/>
    </row>
    <row r="129" spans="1:16" x14ac:dyDescent="0.2">
      <c r="A129" s="122"/>
      <c r="D129" s="10"/>
      <c r="E129" s="10"/>
      <c r="F129" s="10"/>
      <c r="G129" s="10"/>
      <c r="H129" s="10"/>
      <c r="K129" s="10"/>
      <c r="L129" s="10"/>
      <c r="M129" s="10"/>
      <c r="P129" s="135"/>
    </row>
    <row r="130" spans="1:16" x14ac:dyDescent="0.2">
      <c r="A130" s="122"/>
      <c r="D130" s="10"/>
      <c r="E130" s="10"/>
      <c r="F130" s="10"/>
      <c r="G130" s="10"/>
      <c r="H130" s="10"/>
      <c r="K130" s="10"/>
      <c r="L130" s="10"/>
      <c r="M130" s="10"/>
      <c r="P130" s="135"/>
    </row>
    <row r="131" spans="1:16" x14ac:dyDescent="0.2">
      <c r="A131" s="122"/>
      <c r="D131" s="10"/>
      <c r="E131" s="10"/>
      <c r="F131" s="10"/>
      <c r="G131" s="10"/>
      <c r="H131" s="10"/>
      <c r="K131" s="10"/>
      <c r="L131" s="10"/>
      <c r="M131" s="10"/>
      <c r="P131" s="135"/>
    </row>
    <row r="132" spans="1:16" x14ac:dyDescent="0.2">
      <c r="A132" s="122"/>
      <c r="D132" s="10"/>
      <c r="E132" s="10"/>
      <c r="F132" s="10"/>
      <c r="G132" s="10"/>
      <c r="H132" s="10"/>
      <c r="K132" s="10"/>
      <c r="L132" s="10"/>
      <c r="M132" s="10"/>
      <c r="P132" s="135"/>
    </row>
    <row r="133" spans="1:16" x14ac:dyDescent="0.2">
      <c r="A133" s="122"/>
      <c r="D133" s="10"/>
      <c r="E133" s="10"/>
      <c r="F133" s="10"/>
      <c r="G133" s="10"/>
      <c r="H133" s="10"/>
      <c r="K133" s="10"/>
      <c r="L133" s="10"/>
      <c r="M133" s="10"/>
      <c r="P133" s="135"/>
    </row>
    <row r="134" spans="1:16" x14ac:dyDescent="0.2">
      <c r="A134" s="122"/>
      <c r="D134" s="10"/>
      <c r="E134" s="10"/>
      <c r="F134" s="10"/>
      <c r="G134" s="10"/>
      <c r="H134" s="10"/>
      <c r="K134" s="10"/>
      <c r="L134" s="10"/>
      <c r="M134" s="10"/>
      <c r="P134" s="135"/>
    </row>
    <row r="135" spans="1:16" x14ac:dyDescent="0.2">
      <c r="A135" s="122"/>
      <c r="D135" s="10"/>
      <c r="E135" s="10"/>
      <c r="F135" s="10"/>
      <c r="G135" s="10"/>
      <c r="H135" s="10"/>
      <c r="K135" s="10"/>
      <c r="L135" s="10"/>
      <c r="M135" s="10"/>
      <c r="P135" s="135"/>
    </row>
    <row r="136" spans="1:16" x14ac:dyDescent="0.2">
      <c r="A136" s="122"/>
      <c r="D136" s="10"/>
      <c r="E136" s="10"/>
      <c r="F136" s="10"/>
      <c r="G136" s="10"/>
      <c r="H136" s="10"/>
      <c r="K136" s="10"/>
      <c r="L136" s="10"/>
      <c r="M136" s="10"/>
      <c r="P136" s="135"/>
    </row>
    <row r="137" spans="1:16" x14ac:dyDescent="0.2">
      <c r="A137" s="122"/>
      <c r="D137" s="10"/>
      <c r="E137" s="10"/>
      <c r="F137" s="10"/>
      <c r="G137" s="10"/>
      <c r="H137" s="10"/>
      <c r="K137" s="10"/>
      <c r="L137" s="10"/>
      <c r="M137" s="10"/>
      <c r="P137" s="135"/>
    </row>
    <row r="138" spans="1:16" x14ac:dyDescent="0.2">
      <c r="A138" s="122"/>
      <c r="D138" s="10"/>
      <c r="E138" s="10"/>
      <c r="F138" s="10"/>
      <c r="G138" s="10"/>
      <c r="H138" s="10"/>
      <c r="K138" s="10"/>
      <c r="L138" s="10"/>
      <c r="M138" s="10"/>
      <c r="P138" s="135"/>
    </row>
    <row r="139" spans="1:16" x14ac:dyDescent="0.2">
      <c r="A139" s="122"/>
      <c r="D139" s="10"/>
      <c r="E139" s="10"/>
      <c r="F139" s="10"/>
      <c r="G139" s="10"/>
      <c r="H139" s="10"/>
      <c r="K139" s="10"/>
      <c r="L139" s="10"/>
      <c r="M139" s="10"/>
      <c r="P139" s="135"/>
    </row>
    <row r="140" spans="1:16" x14ac:dyDescent="0.2">
      <c r="A140" s="122"/>
      <c r="D140" s="10"/>
      <c r="E140" s="10"/>
      <c r="F140" s="10"/>
      <c r="G140" s="10"/>
      <c r="H140" s="10"/>
      <c r="K140" s="10"/>
      <c r="L140" s="10"/>
      <c r="M140" s="10"/>
      <c r="P140" s="135"/>
    </row>
    <row r="141" spans="1:16" x14ac:dyDescent="0.2">
      <c r="A141" s="122"/>
      <c r="D141" s="10"/>
      <c r="E141" s="10"/>
      <c r="F141" s="10"/>
      <c r="G141" s="10"/>
      <c r="H141" s="10"/>
      <c r="K141" s="10"/>
      <c r="L141" s="10"/>
      <c r="M141" s="10"/>
      <c r="P141" s="135"/>
    </row>
    <row r="142" spans="1:16" x14ac:dyDescent="0.2">
      <c r="A142" s="122"/>
      <c r="D142" s="10"/>
      <c r="E142" s="10"/>
      <c r="F142" s="10"/>
      <c r="G142" s="10"/>
      <c r="H142" s="10"/>
      <c r="K142" s="10"/>
      <c r="L142" s="10"/>
      <c r="M142" s="10"/>
      <c r="P142" s="135"/>
    </row>
    <row r="143" spans="1:16" x14ac:dyDescent="0.2">
      <c r="A143" s="122"/>
      <c r="D143" s="10"/>
      <c r="E143" s="10"/>
      <c r="F143" s="10"/>
      <c r="G143" s="10"/>
      <c r="H143" s="10"/>
      <c r="K143" s="10"/>
      <c r="L143" s="10"/>
      <c r="M143" s="10"/>
      <c r="P143" s="135"/>
    </row>
    <row r="144" spans="1:16" x14ac:dyDescent="0.2">
      <c r="A144" s="122"/>
      <c r="D144" s="10"/>
      <c r="E144" s="10"/>
      <c r="F144" s="10"/>
      <c r="G144" s="10"/>
      <c r="H144" s="10"/>
      <c r="K144" s="10"/>
      <c r="L144" s="10"/>
      <c r="M144" s="10"/>
      <c r="P144" s="135"/>
    </row>
    <row r="145" spans="1:16" x14ac:dyDescent="0.2">
      <c r="A145" s="122"/>
      <c r="D145" s="10"/>
      <c r="E145" s="10"/>
      <c r="F145" s="10"/>
      <c r="G145" s="10"/>
      <c r="H145" s="10"/>
      <c r="K145" s="10"/>
      <c r="L145" s="10"/>
      <c r="M145" s="10"/>
      <c r="P145" s="135"/>
    </row>
    <row r="146" spans="1:16" x14ac:dyDescent="0.2">
      <c r="A146" s="122"/>
      <c r="D146" s="10"/>
      <c r="E146" s="10"/>
      <c r="F146" s="10"/>
      <c r="G146" s="10"/>
      <c r="H146" s="10"/>
      <c r="K146" s="10"/>
      <c r="L146" s="10"/>
      <c r="M146" s="10"/>
      <c r="P146" s="135"/>
    </row>
    <row r="147" spans="1:16" x14ac:dyDescent="0.2">
      <c r="A147" s="122"/>
      <c r="D147" s="10"/>
      <c r="E147" s="10"/>
      <c r="F147" s="10"/>
      <c r="G147" s="10"/>
      <c r="H147" s="10"/>
      <c r="K147" s="10"/>
      <c r="L147" s="10"/>
      <c r="M147" s="10"/>
      <c r="P147" s="135"/>
    </row>
    <row r="148" spans="1:16" x14ac:dyDescent="0.2">
      <c r="A148" s="122"/>
      <c r="D148" s="10"/>
      <c r="E148" s="10"/>
      <c r="F148" s="10"/>
      <c r="G148" s="10"/>
      <c r="H148" s="10"/>
      <c r="K148" s="10"/>
      <c r="L148" s="10"/>
      <c r="M148" s="10"/>
      <c r="P148" s="135"/>
    </row>
    <row r="149" spans="1:16" x14ac:dyDescent="0.2">
      <c r="A149" s="122"/>
      <c r="D149" s="10"/>
      <c r="E149" s="10"/>
      <c r="F149" s="10"/>
      <c r="G149" s="10"/>
      <c r="H149" s="10"/>
      <c r="K149" s="10"/>
      <c r="L149" s="10"/>
      <c r="M149" s="10"/>
      <c r="P149" s="135"/>
    </row>
    <row r="150" spans="1:16" x14ac:dyDescent="0.2">
      <c r="A150" s="122"/>
      <c r="D150" s="10"/>
      <c r="E150" s="10"/>
      <c r="F150" s="10"/>
      <c r="G150" s="10"/>
      <c r="H150" s="10"/>
      <c r="K150" s="10"/>
      <c r="L150" s="10"/>
      <c r="M150" s="10"/>
      <c r="P150" s="135"/>
    </row>
    <row r="151" spans="1:16" x14ac:dyDescent="0.2">
      <c r="A151" s="122"/>
      <c r="D151" s="10"/>
      <c r="E151" s="10"/>
      <c r="F151" s="10"/>
      <c r="G151" s="10"/>
      <c r="H151" s="10"/>
      <c r="K151" s="10"/>
      <c r="L151" s="10"/>
      <c r="M151" s="10"/>
      <c r="P151" s="135"/>
    </row>
    <row r="152" spans="1:16" x14ac:dyDescent="0.2">
      <c r="A152" s="122"/>
      <c r="D152" s="10"/>
      <c r="E152" s="10"/>
      <c r="F152" s="10"/>
      <c r="G152" s="10"/>
      <c r="H152" s="10"/>
      <c r="K152" s="10"/>
      <c r="L152" s="10"/>
      <c r="M152" s="10"/>
      <c r="P152" s="135"/>
    </row>
    <row r="153" spans="1:16" x14ac:dyDescent="0.2">
      <c r="A153" s="122"/>
      <c r="D153" s="10"/>
      <c r="E153" s="10"/>
      <c r="F153" s="10"/>
      <c r="G153" s="10"/>
      <c r="H153" s="10"/>
      <c r="K153" s="10"/>
      <c r="L153" s="10"/>
      <c r="M153" s="10"/>
      <c r="P153" s="135"/>
    </row>
    <row r="154" spans="1:16" x14ac:dyDescent="0.2">
      <c r="A154" s="122"/>
      <c r="D154" s="10"/>
      <c r="E154" s="10"/>
      <c r="F154" s="10"/>
      <c r="G154" s="10"/>
      <c r="H154" s="10"/>
      <c r="K154" s="10"/>
      <c r="L154" s="10"/>
      <c r="M154" s="10"/>
      <c r="P154" s="135"/>
    </row>
    <row r="155" spans="1:16" x14ac:dyDescent="0.2">
      <c r="A155" s="122"/>
      <c r="D155" s="10"/>
      <c r="E155" s="10"/>
      <c r="F155" s="10"/>
      <c r="G155" s="10"/>
      <c r="H155" s="10"/>
      <c r="K155" s="10"/>
      <c r="L155" s="10"/>
      <c r="M155" s="10"/>
      <c r="P155" s="135"/>
    </row>
    <row r="156" spans="1:16" x14ac:dyDescent="0.2">
      <c r="A156" s="122"/>
      <c r="D156" s="10"/>
      <c r="E156" s="10"/>
      <c r="F156" s="10"/>
      <c r="G156" s="10"/>
      <c r="H156" s="10"/>
      <c r="K156" s="10"/>
      <c r="L156" s="10"/>
      <c r="M156" s="10"/>
      <c r="P156" s="135"/>
    </row>
    <row r="157" spans="1:16" x14ac:dyDescent="0.2">
      <c r="A157" s="122"/>
      <c r="D157" s="10"/>
      <c r="E157" s="10"/>
      <c r="F157" s="10"/>
      <c r="G157" s="10"/>
      <c r="H157" s="10"/>
      <c r="K157" s="10"/>
      <c r="L157" s="10"/>
      <c r="M157" s="10"/>
      <c r="P157" s="135"/>
    </row>
    <row r="158" spans="1:16" x14ac:dyDescent="0.2">
      <c r="A158" s="122"/>
      <c r="D158" s="10"/>
      <c r="E158" s="10"/>
      <c r="F158" s="10"/>
      <c r="G158" s="10"/>
      <c r="H158" s="10"/>
      <c r="K158" s="10"/>
      <c r="L158" s="10"/>
      <c r="M158" s="10"/>
      <c r="P158" s="135"/>
    </row>
    <row r="159" spans="1:16" x14ac:dyDescent="0.2">
      <c r="A159" s="122"/>
      <c r="D159" s="10"/>
      <c r="E159" s="10"/>
      <c r="F159" s="10"/>
      <c r="G159" s="10"/>
      <c r="H159" s="10"/>
      <c r="K159" s="10"/>
      <c r="L159" s="10"/>
      <c r="M159" s="10"/>
      <c r="P159" s="135"/>
    </row>
    <row r="160" spans="1:16" x14ac:dyDescent="0.2">
      <c r="A160" s="122"/>
      <c r="D160" s="10"/>
      <c r="E160" s="10"/>
      <c r="F160" s="10"/>
      <c r="G160" s="10"/>
      <c r="H160" s="10"/>
      <c r="K160" s="10"/>
      <c r="L160" s="10"/>
      <c r="M160" s="10"/>
      <c r="P160" s="135"/>
    </row>
    <row r="161" spans="1:16" x14ac:dyDescent="0.2">
      <c r="A161" s="122"/>
      <c r="D161" s="10"/>
      <c r="E161" s="10"/>
      <c r="F161" s="10"/>
      <c r="G161" s="10"/>
      <c r="H161" s="10"/>
      <c r="K161" s="10"/>
      <c r="L161" s="10"/>
      <c r="M161" s="10"/>
      <c r="P161" s="135"/>
    </row>
    <row r="162" spans="1:16" x14ac:dyDescent="0.2">
      <c r="A162" s="122"/>
      <c r="D162" s="10"/>
      <c r="E162" s="10"/>
      <c r="F162" s="10"/>
      <c r="G162" s="10"/>
      <c r="H162" s="10"/>
      <c r="K162" s="10"/>
      <c r="L162" s="10"/>
      <c r="M162" s="10"/>
      <c r="P162" s="135"/>
    </row>
    <row r="163" spans="1:16" x14ac:dyDescent="0.2">
      <c r="A163" s="122"/>
      <c r="D163" s="10"/>
      <c r="E163" s="10"/>
      <c r="F163" s="10"/>
      <c r="G163" s="10"/>
      <c r="H163" s="10"/>
      <c r="K163" s="10"/>
      <c r="L163" s="10"/>
      <c r="M163" s="10"/>
      <c r="P163" s="135"/>
    </row>
    <row r="164" spans="1:16" x14ac:dyDescent="0.2">
      <c r="A164" s="122"/>
      <c r="D164" s="10"/>
      <c r="E164" s="10"/>
      <c r="F164" s="10"/>
      <c r="G164" s="10"/>
      <c r="H164" s="10"/>
      <c r="K164" s="10"/>
      <c r="L164" s="10"/>
      <c r="M164" s="10"/>
      <c r="P164" s="135"/>
    </row>
    <row r="165" spans="1:16" x14ac:dyDescent="0.2">
      <c r="A165" s="122"/>
      <c r="D165" s="10"/>
      <c r="E165" s="10"/>
      <c r="F165" s="10"/>
      <c r="G165" s="10"/>
      <c r="H165" s="10"/>
      <c r="K165" s="10"/>
      <c r="L165" s="10"/>
      <c r="M165" s="10"/>
      <c r="P165" s="135"/>
    </row>
    <row r="166" spans="1:16" x14ac:dyDescent="0.2">
      <c r="A166" s="122"/>
      <c r="D166" s="10"/>
      <c r="E166" s="10"/>
      <c r="F166" s="10"/>
      <c r="G166" s="10"/>
      <c r="H166" s="10"/>
      <c r="K166" s="10"/>
      <c r="L166" s="10"/>
      <c r="M166" s="10"/>
      <c r="P166" s="135"/>
    </row>
    <row r="167" spans="1:16" x14ac:dyDescent="0.2">
      <c r="A167" s="122"/>
      <c r="D167" s="10"/>
      <c r="E167" s="10"/>
      <c r="F167" s="10"/>
      <c r="G167" s="10"/>
      <c r="H167" s="10"/>
      <c r="K167" s="10"/>
      <c r="L167" s="10"/>
      <c r="M167" s="10"/>
      <c r="P167" s="135"/>
    </row>
    <row r="168" spans="1:16" x14ac:dyDescent="0.2">
      <c r="A168" s="122"/>
      <c r="D168" s="10"/>
      <c r="E168" s="10"/>
      <c r="F168" s="10"/>
      <c r="G168" s="10"/>
      <c r="H168" s="10"/>
      <c r="K168" s="10"/>
      <c r="L168" s="10"/>
      <c r="M168" s="10"/>
      <c r="P168" s="135"/>
    </row>
    <row r="169" spans="1:16" x14ac:dyDescent="0.2">
      <c r="A169" s="122"/>
      <c r="D169" s="10"/>
      <c r="E169" s="10"/>
      <c r="F169" s="10"/>
      <c r="G169" s="10"/>
      <c r="H169" s="10"/>
      <c r="K169" s="10"/>
      <c r="L169" s="10"/>
      <c r="M169" s="10"/>
      <c r="P169" s="135"/>
    </row>
    <row r="170" spans="1:16" x14ac:dyDescent="0.2">
      <c r="A170" s="122"/>
      <c r="D170" s="10"/>
      <c r="E170" s="10"/>
      <c r="F170" s="10"/>
      <c r="G170" s="10"/>
      <c r="H170" s="10"/>
      <c r="K170" s="10"/>
      <c r="L170" s="10"/>
      <c r="M170" s="10"/>
      <c r="P170" s="135"/>
    </row>
    <row r="171" spans="1:16" x14ac:dyDescent="0.2">
      <c r="A171" s="122"/>
      <c r="D171" s="10"/>
      <c r="E171" s="10"/>
      <c r="F171" s="10"/>
      <c r="G171" s="10"/>
      <c r="H171" s="10"/>
      <c r="K171" s="10"/>
      <c r="L171" s="10"/>
      <c r="M171" s="10"/>
      <c r="P171" s="135"/>
    </row>
    <row r="172" spans="1:16" x14ac:dyDescent="0.2">
      <c r="A172" s="122"/>
      <c r="D172" s="10"/>
      <c r="E172" s="10"/>
      <c r="F172" s="10"/>
      <c r="G172" s="10"/>
      <c r="H172" s="10"/>
      <c r="K172" s="10"/>
      <c r="L172" s="10"/>
      <c r="M172" s="10"/>
      <c r="P172" s="135"/>
    </row>
    <row r="173" spans="1:16" x14ac:dyDescent="0.2">
      <c r="A173" s="122"/>
      <c r="D173" s="10"/>
      <c r="E173" s="10"/>
      <c r="F173" s="10"/>
      <c r="G173" s="10"/>
      <c r="H173" s="10"/>
      <c r="K173" s="10"/>
      <c r="L173" s="10"/>
      <c r="M173" s="10"/>
      <c r="P173" s="135"/>
    </row>
    <row r="174" spans="1:16" x14ac:dyDescent="0.2">
      <c r="A174" s="122"/>
      <c r="D174" s="10"/>
      <c r="E174" s="10"/>
      <c r="F174" s="10"/>
      <c r="G174" s="10"/>
      <c r="H174" s="10"/>
      <c r="K174" s="10"/>
      <c r="L174" s="10"/>
      <c r="M174" s="10"/>
      <c r="P174" s="135"/>
    </row>
    <row r="175" spans="1:16" x14ac:dyDescent="0.2">
      <c r="A175" s="122"/>
      <c r="D175" s="10"/>
      <c r="E175" s="10"/>
      <c r="F175" s="10"/>
      <c r="G175" s="10"/>
      <c r="H175" s="10"/>
      <c r="K175" s="10"/>
      <c r="L175" s="10"/>
      <c r="M175" s="10"/>
      <c r="P175" s="135"/>
    </row>
    <row r="176" spans="1:16" x14ac:dyDescent="0.2">
      <c r="A176" s="122"/>
      <c r="D176" s="10"/>
      <c r="E176" s="10"/>
      <c r="F176" s="10"/>
      <c r="G176" s="10"/>
      <c r="H176" s="10"/>
      <c r="K176" s="10"/>
      <c r="L176" s="10"/>
      <c r="M176" s="10"/>
      <c r="P176" s="135"/>
    </row>
    <row r="177" spans="1:16" x14ac:dyDescent="0.2">
      <c r="A177" s="122"/>
      <c r="D177" s="10"/>
      <c r="E177" s="10"/>
      <c r="F177" s="10"/>
      <c r="G177" s="10"/>
      <c r="H177" s="10"/>
      <c r="K177" s="10"/>
      <c r="L177" s="10"/>
      <c r="M177" s="10"/>
      <c r="P177" s="135"/>
    </row>
    <row r="178" spans="1:16" x14ac:dyDescent="0.2">
      <c r="A178" s="122"/>
      <c r="D178" s="10"/>
      <c r="E178" s="10"/>
      <c r="F178" s="10"/>
      <c r="G178" s="10"/>
      <c r="H178" s="10"/>
      <c r="K178" s="10"/>
      <c r="L178" s="10"/>
      <c r="M178" s="10"/>
      <c r="P178" s="135"/>
    </row>
    <row r="179" spans="1:16" x14ac:dyDescent="0.2">
      <c r="A179" s="122"/>
      <c r="D179" s="10"/>
      <c r="E179" s="10"/>
      <c r="F179" s="10"/>
      <c r="G179" s="10"/>
      <c r="H179" s="10"/>
      <c r="K179" s="10"/>
      <c r="L179" s="10"/>
      <c r="M179" s="10"/>
      <c r="P179" s="135"/>
    </row>
    <row r="180" spans="1:16" x14ac:dyDescent="0.2">
      <c r="A180" s="122"/>
      <c r="D180" s="10"/>
      <c r="E180" s="10"/>
      <c r="F180" s="10"/>
      <c r="G180" s="10"/>
      <c r="H180" s="10"/>
      <c r="K180" s="10"/>
      <c r="L180" s="10"/>
      <c r="M180" s="10"/>
      <c r="P180" s="135"/>
    </row>
    <row r="181" spans="1:16" x14ac:dyDescent="0.2">
      <c r="A181" s="122"/>
      <c r="D181" s="10"/>
      <c r="E181" s="10"/>
      <c r="F181" s="10"/>
      <c r="G181" s="10"/>
      <c r="H181" s="10"/>
      <c r="K181" s="10"/>
      <c r="L181" s="10"/>
      <c r="M181" s="10"/>
      <c r="P181" s="135"/>
    </row>
    <row r="182" spans="1:16" x14ac:dyDescent="0.2">
      <c r="A182" s="122"/>
      <c r="D182" s="10"/>
      <c r="E182" s="10"/>
      <c r="F182" s="10"/>
      <c r="G182" s="10"/>
      <c r="H182" s="10"/>
      <c r="K182" s="10"/>
      <c r="L182" s="10"/>
      <c r="M182" s="10"/>
      <c r="P182" s="135"/>
    </row>
    <row r="183" spans="1:16" x14ac:dyDescent="0.2">
      <c r="A183" s="122"/>
      <c r="D183" s="10"/>
      <c r="E183" s="10"/>
      <c r="F183" s="10"/>
      <c r="G183" s="10"/>
      <c r="H183" s="10"/>
      <c r="K183" s="10"/>
      <c r="L183" s="10"/>
      <c r="M183" s="10"/>
      <c r="P183" s="135"/>
    </row>
    <row r="184" spans="1:16" x14ac:dyDescent="0.2">
      <c r="A184" s="122"/>
      <c r="D184" s="10"/>
      <c r="E184" s="10"/>
      <c r="F184" s="10"/>
      <c r="G184" s="10"/>
      <c r="H184" s="10"/>
      <c r="K184" s="10"/>
      <c r="L184" s="10"/>
      <c r="M184" s="10"/>
      <c r="P184" s="135"/>
    </row>
    <row r="185" spans="1:16" x14ac:dyDescent="0.2">
      <c r="A185" s="122"/>
      <c r="D185" s="10"/>
      <c r="E185" s="10"/>
      <c r="F185" s="10"/>
      <c r="G185" s="10"/>
      <c r="H185" s="10"/>
      <c r="K185" s="10"/>
      <c r="L185" s="10"/>
      <c r="M185" s="10"/>
      <c r="P185" s="135"/>
    </row>
    <row r="186" spans="1:16" x14ac:dyDescent="0.2">
      <c r="A186" s="122"/>
      <c r="D186" s="10"/>
      <c r="E186" s="10"/>
      <c r="F186" s="10"/>
      <c r="G186" s="10"/>
      <c r="H186" s="10"/>
      <c r="K186" s="10"/>
      <c r="L186" s="10"/>
      <c r="M186" s="10"/>
      <c r="P186" s="135"/>
    </row>
    <row r="187" spans="1:16" x14ac:dyDescent="0.2">
      <c r="A187" s="122"/>
      <c r="D187" s="10"/>
      <c r="E187" s="10"/>
      <c r="F187" s="10"/>
      <c r="G187" s="10"/>
      <c r="H187" s="10"/>
      <c r="K187" s="10"/>
      <c r="L187" s="10"/>
      <c r="M187" s="10"/>
      <c r="P187" s="135"/>
    </row>
    <row r="188" spans="1:16" x14ac:dyDescent="0.2">
      <c r="A188" s="122"/>
      <c r="D188" s="10"/>
      <c r="E188" s="10"/>
      <c r="F188" s="10"/>
      <c r="G188" s="10"/>
      <c r="H188" s="10"/>
      <c r="K188" s="10"/>
      <c r="L188" s="10"/>
      <c r="M188" s="10"/>
      <c r="P188" s="135"/>
    </row>
    <row r="189" spans="1:16" x14ac:dyDescent="0.2">
      <c r="A189" s="122"/>
      <c r="D189" s="10"/>
      <c r="E189" s="10"/>
      <c r="F189" s="10"/>
      <c r="G189" s="10"/>
      <c r="H189" s="10"/>
      <c r="K189" s="10"/>
      <c r="L189" s="10"/>
      <c r="M189" s="10"/>
      <c r="P189" s="135"/>
    </row>
    <row r="190" spans="1:16" x14ac:dyDescent="0.2">
      <c r="A190" s="122"/>
      <c r="D190" s="10"/>
      <c r="E190" s="10"/>
      <c r="F190" s="10"/>
      <c r="G190" s="10"/>
      <c r="H190" s="10"/>
      <c r="K190" s="10"/>
      <c r="L190" s="10"/>
      <c r="M190" s="10"/>
      <c r="P190" s="135"/>
    </row>
    <row r="191" spans="1:16" x14ac:dyDescent="0.2">
      <c r="A191" s="122"/>
      <c r="D191" s="10"/>
      <c r="E191" s="10"/>
      <c r="F191" s="10"/>
      <c r="G191" s="10"/>
      <c r="H191" s="10"/>
      <c r="K191" s="10"/>
      <c r="L191" s="10"/>
      <c r="M191" s="10"/>
      <c r="P191" s="135"/>
    </row>
    <row r="192" spans="1:16" x14ac:dyDescent="0.2">
      <c r="A192" s="122"/>
      <c r="D192" s="10"/>
      <c r="E192" s="10"/>
      <c r="F192" s="10"/>
      <c r="G192" s="10"/>
      <c r="H192" s="10"/>
      <c r="K192" s="10"/>
      <c r="L192" s="10"/>
      <c r="M192" s="10"/>
      <c r="P192" s="135"/>
    </row>
    <row r="193" spans="1:16" x14ac:dyDescent="0.2">
      <c r="A193" s="122"/>
      <c r="D193" s="10"/>
      <c r="E193" s="10"/>
      <c r="F193" s="10"/>
      <c r="G193" s="10"/>
      <c r="H193" s="10"/>
      <c r="K193" s="10"/>
      <c r="L193" s="10"/>
      <c r="M193" s="10"/>
      <c r="P193" s="135"/>
    </row>
    <row r="194" spans="1:16" x14ac:dyDescent="0.2">
      <c r="A194" s="122"/>
      <c r="D194" s="10"/>
      <c r="E194" s="10"/>
      <c r="F194" s="10"/>
      <c r="G194" s="10"/>
      <c r="H194" s="10"/>
      <c r="K194" s="10"/>
      <c r="L194" s="10"/>
      <c r="M194" s="10"/>
      <c r="P194" s="135"/>
    </row>
    <row r="195" spans="1:16" x14ac:dyDescent="0.2">
      <c r="A195" s="122"/>
      <c r="D195" s="10"/>
      <c r="E195" s="10"/>
      <c r="F195" s="10"/>
      <c r="G195" s="10"/>
      <c r="H195" s="10"/>
      <c r="K195" s="10"/>
      <c r="L195" s="10"/>
      <c r="M195" s="10"/>
      <c r="P195" s="135"/>
    </row>
    <row r="196" spans="1:16" x14ac:dyDescent="0.2">
      <c r="A196" s="122"/>
      <c r="D196" s="10"/>
      <c r="E196" s="10"/>
      <c r="F196" s="10"/>
      <c r="G196" s="10"/>
      <c r="H196" s="10"/>
      <c r="K196" s="10"/>
      <c r="L196" s="10"/>
      <c r="M196" s="10"/>
      <c r="P196" s="135"/>
    </row>
    <row r="197" spans="1:16" x14ac:dyDescent="0.2">
      <c r="A197" s="122"/>
      <c r="D197" s="10"/>
      <c r="E197" s="10"/>
      <c r="F197" s="10"/>
      <c r="G197" s="10"/>
      <c r="H197" s="10"/>
      <c r="K197" s="10"/>
      <c r="L197" s="10"/>
      <c r="M197" s="10"/>
      <c r="P197" s="135"/>
    </row>
    <row r="198" spans="1:16" x14ac:dyDescent="0.2">
      <c r="A198" s="122"/>
      <c r="D198" s="10"/>
      <c r="E198" s="10"/>
      <c r="F198" s="10"/>
      <c r="G198" s="10"/>
      <c r="H198" s="10"/>
      <c r="K198" s="10"/>
      <c r="L198" s="10"/>
      <c r="M198" s="10"/>
      <c r="P198" s="135"/>
    </row>
    <row r="199" spans="1:16" x14ac:dyDescent="0.2"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</row>
  </sheetData>
  <mergeCells count="6">
    <mergeCell ref="B47:O47"/>
    <mergeCell ref="B46:O46"/>
    <mergeCell ref="C35:F35"/>
    <mergeCell ref="C36:F36"/>
    <mergeCell ref="K35:L35"/>
    <mergeCell ref="H35:I35"/>
  </mergeCells>
  <phoneticPr fontId="1" type="noConversion"/>
  <printOptions horizontalCentered="1"/>
  <pageMargins left="0.7" right="0.7" top="0.75" bottom="0.75" header="0.3" footer="0.3"/>
  <pageSetup scale="8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79998168889431442"/>
  </sheetPr>
  <dimension ref="A1:O172"/>
  <sheetViews>
    <sheetView workbookViewId="0">
      <pane ySplit="8" topLeftCell="A30" activePane="bottomLeft" state="frozen"/>
      <selection activeCell="J42" sqref="J42"/>
      <selection pane="bottomLeft" activeCell="J42" sqref="J42"/>
    </sheetView>
  </sheetViews>
  <sheetFormatPr defaultColWidth="8.85546875" defaultRowHeight="11.25" x14ac:dyDescent="0.2"/>
  <cols>
    <col min="1" max="1" width="6.7109375" style="38" bestFit="1" customWidth="1"/>
    <col min="2" max="2" width="20.140625" style="135" customWidth="1"/>
    <col min="3" max="3" width="16.42578125" style="135" customWidth="1"/>
    <col min="4" max="4" width="16.7109375" style="135" customWidth="1"/>
    <col min="5" max="5" width="13.28515625" style="135" customWidth="1"/>
    <col min="6" max="6" width="11.42578125" style="10" customWidth="1"/>
    <col min="7" max="7" width="8.85546875" style="135" customWidth="1"/>
    <col min="8" max="8" width="12.28515625" style="135" customWidth="1"/>
    <col min="9" max="9" width="1.5703125" style="135" customWidth="1"/>
    <col min="10" max="12" width="8.85546875" style="135"/>
    <col min="13" max="13" width="10" style="135" customWidth="1"/>
    <col min="14" max="16384" width="8.85546875" style="135"/>
  </cols>
  <sheetData>
    <row r="1" spans="1:15" s="5" customFormat="1" x14ac:dyDescent="0.2">
      <c r="A1" s="33" t="s">
        <v>103</v>
      </c>
      <c r="B1" s="20"/>
      <c r="C1" s="20"/>
      <c r="D1" s="20"/>
      <c r="E1" s="20"/>
      <c r="F1" s="20"/>
      <c r="G1" s="20"/>
      <c r="H1" s="20"/>
    </row>
    <row r="2" spans="1:15" s="5" customFormat="1" x14ac:dyDescent="0.2">
      <c r="A2" s="33" t="s">
        <v>114</v>
      </c>
      <c r="B2" s="20"/>
      <c r="C2" s="20"/>
      <c r="D2" s="20"/>
      <c r="E2" s="20"/>
      <c r="F2" s="20"/>
      <c r="G2" s="20"/>
      <c r="H2" s="20"/>
    </row>
    <row r="3" spans="1:15" s="5" customFormat="1" x14ac:dyDescent="0.2">
      <c r="A3" s="34" t="str">
        <f>Inputs!B2&amp;" Forecasted Rate-Year Ended "&amp;TEXT(Inputs!B4,"mmmm d, yyyy")</f>
        <v>F2024 Forecasted Rate-Year Ended April 30, 2026</v>
      </c>
      <c r="B3" s="20"/>
      <c r="C3" s="20"/>
      <c r="D3" s="20"/>
      <c r="E3" s="20"/>
      <c r="F3" s="20"/>
      <c r="G3" s="20"/>
      <c r="H3" s="20"/>
    </row>
    <row r="4" spans="1:15" s="5" customFormat="1" x14ac:dyDescent="0.2">
      <c r="A4" s="34" t="str">
        <f>"Proposed Rate Effective "&amp;TEXT(Inputs!B1,"mmmm d, yyyy")</f>
        <v>Proposed Rate Effective May 1, 2025</v>
      </c>
      <c r="B4" s="20"/>
      <c r="C4" s="20"/>
      <c r="D4" s="20"/>
      <c r="E4" s="20"/>
      <c r="F4" s="20"/>
      <c r="G4" s="20"/>
      <c r="H4" s="20"/>
    </row>
    <row r="5" spans="1:15" s="5" customFormat="1" ht="12" thickBot="1" x14ac:dyDescent="0.25">
      <c r="A5" s="33" t="s">
        <v>111</v>
      </c>
      <c r="B5" s="20"/>
      <c r="C5" s="20"/>
      <c r="D5" s="20"/>
      <c r="E5" s="20"/>
      <c r="F5" s="20"/>
      <c r="G5" s="20"/>
      <c r="H5" s="20"/>
    </row>
    <row r="6" spans="1:15" s="91" customFormat="1" ht="13.5" thickBot="1" x14ac:dyDescent="0.25">
      <c r="A6" s="26"/>
      <c r="B6" s="36"/>
      <c r="C6" s="36"/>
      <c r="D6" s="36"/>
      <c r="E6" s="269" t="s">
        <v>246</v>
      </c>
      <c r="F6" s="270"/>
      <c r="G6" s="270"/>
      <c r="H6" s="271"/>
      <c r="J6" s="272" t="s">
        <v>247</v>
      </c>
      <c r="K6" s="273"/>
      <c r="L6" s="273"/>
      <c r="M6" s="273"/>
      <c r="N6" s="273"/>
      <c r="O6" s="274"/>
    </row>
    <row r="7" spans="1:15" s="26" customFormat="1" ht="45" x14ac:dyDescent="0.2">
      <c r="A7" s="119" t="s">
        <v>23</v>
      </c>
      <c r="B7" s="119" t="s">
        <v>14</v>
      </c>
      <c r="C7" s="119" t="s">
        <v>15</v>
      </c>
      <c r="D7" s="119" t="s">
        <v>28</v>
      </c>
      <c r="E7" s="165" t="s">
        <v>249</v>
      </c>
      <c r="F7" s="165" t="s">
        <v>125</v>
      </c>
      <c r="G7" s="165" t="s">
        <v>245</v>
      </c>
      <c r="H7" s="165" t="s">
        <v>126</v>
      </c>
      <c r="J7" s="261" t="s">
        <v>160</v>
      </c>
      <c r="K7" s="280" t="s">
        <v>231</v>
      </c>
      <c r="L7" s="280"/>
      <c r="M7" s="6" t="s">
        <v>242</v>
      </c>
      <c r="N7" s="6" t="s">
        <v>243</v>
      </c>
      <c r="O7" s="262" t="s">
        <v>244</v>
      </c>
    </row>
    <row r="8" spans="1:15" s="92" customFormat="1" x14ac:dyDescent="0.2">
      <c r="A8" s="40"/>
      <c r="B8" s="187" t="s">
        <v>18</v>
      </c>
      <c r="C8" s="187" t="s">
        <v>19</v>
      </c>
      <c r="D8" s="166" t="s">
        <v>20</v>
      </c>
      <c r="E8" s="166" t="s">
        <v>21</v>
      </c>
      <c r="F8" s="166" t="s">
        <v>130</v>
      </c>
      <c r="G8" s="166" t="s">
        <v>129</v>
      </c>
      <c r="H8" s="166" t="s">
        <v>194</v>
      </c>
      <c r="J8" s="236"/>
      <c r="K8" s="198"/>
      <c r="L8" s="198"/>
      <c r="M8" s="198"/>
      <c r="N8" s="198"/>
      <c r="O8" s="237"/>
    </row>
    <row r="9" spans="1:15" x14ac:dyDescent="0.2">
      <c r="A9" s="124">
        <v>1</v>
      </c>
      <c r="B9" s="8"/>
      <c r="C9" s="8"/>
      <c r="D9" s="9"/>
      <c r="F9" s="39"/>
      <c r="G9" s="35"/>
      <c r="H9" s="37"/>
      <c r="J9" s="238"/>
      <c r="K9" s="10"/>
      <c r="L9" s="10"/>
      <c r="M9" s="10"/>
      <c r="N9" s="10"/>
      <c r="O9" s="239"/>
    </row>
    <row r="10" spans="1:15" ht="33.75" customHeight="1" x14ac:dyDescent="0.35">
      <c r="A10" s="124">
        <f t="shared" ref="A10:A41" si="0">+A9+1</f>
        <v>2</v>
      </c>
      <c r="B10" s="31" t="s">
        <v>119</v>
      </c>
      <c r="C10" s="10"/>
      <c r="D10" s="10"/>
      <c r="E10" s="10"/>
      <c r="J10" s="263" t="s">
        <v>232</v>
      </c>
      <c r="K10" s="264"/>
      <c r="L10" s="264"/>
      <c r="M10" s="264"/>
      <c r="N10" s="227"/>
      <c r="O10" s="240"/>
    </row>
    <row r="11" spans="1:15" x14ac:dyDescent="0.2">
      <c r="A11" s="124">
        <f t="shared" si="0"/>
        <v>3</v>
      </c>
      <c r="B11" s="12" t="s">
        <v>29</v>
      </c>
      <c r="C11" s="11" t="s">
        <v>30</v>
      </c>
      <c r="D11" s="65">
        <v>22</v>
      </c>
      <c r="E11" s="182">
        <v>1.98</v>
      </c>
      <c r="F11" s="167">
        <f>E11*$H$168</f>
        <v>2.7712056433734283E-2</v>
      </c>
      <c r="G11" s="168">
        <v>708</v>
      </c>
      <c r="H11" s="169">
        <f>F11*G11</f>
        <v>19.620135955083871</v>
      </c>
      <c r="J11" s="265"/>
      <c r="K11" s="241">
        <v>0</v>
      </c>
      <c r="L11" s="241">
        <v>30</v>
      </c>
      <c r="M11" s="226">
        <v>7.4297601011292338</v>
      </c>
      <c r="N11" s="266">
        <f>'Rate Impacts'!$J$34</f>
        <v>3.738E-3</v>
      </c>
      <c r="O11" s="242">
        <f>M11*N11</f>
        <v>2.7772443258021078E-2</v>
      </c>
    </row>
    <row r="12" spans="1:15" x14ac:dyDescent="0.2">
      <c r="A12" s="124">
        <f t="shared" si="0"/>
        <v>4</v>
      </c>
      <c r="B12" s="13"/>
      <c r="C12" s="9"/>
      <c r="D12" s="65"/>
      <c r="E12" s="182"/>
      <c r="F12" s="167"/>
      <c r="G12" s="168"/>
      <c r="H12" s="170"/>
      <c r="J12" s="210"/>
      <c r="K12" s="241">
        <v>30.01</v>
      </c>
      <c r="L12" s="241">
        <v>60</v>
      </c>
      <c r="M12" s="226">
        <v>16.236746289282937</v>
      </c>
      <c r="N12" s="10">
        <f>N11</f>
        <v>3.738E-3</v>
      </c>
      <c r="O12" s="242">
        <f t="shared" ref="O12:O18" si="1">M12*N12</f>
        <v>6.0692957629339621E-2</v>
      </c>
    </row>
    <row r="13" spans="1:15" x14ac:dyDescent="0.2">
      <c r="A13" s="124">
        <f t="shared" si="0"/>
        <v>5</v>
      </c>
      <c r="B13" s="12" t="s">
        <v>60</v>
      </c>
      <c r="C13" s="14" t="s">
        <v>16</v>
      </c>
      <c r="D13" s="66">
        <v>100</v>
      </c>
      <c r="E13" s="182">
        <v>10.56</v>
      </c>
      <c r="F13" s="167">
        <f>E13*$H$168</f>
        <v>0.14779763431324952</v>
      </c>
      <c r="G13" s="168">
        <v>36</v>
      </c>
      <c r="H13" s="169">
        <f>F13*G13</f>
        <v>5.3207148352769824</v>
      </c>
      <c r="J13" s="210"/>
      <c r="K13" s="241">
        <v>60.01</v>
      </c>
      <c r="L13" s="241">
        <v>90</v>
      </c>
      <c r="M13" s="226">
        <v>26.186795286420214</v>
      </c>
      <c r="N13" s="10">
        <f t="shared" ref="N13:N18" si="2">N12</f>
        <v>3.738E-3</v>
      </c>
      <c r="O13" s="242">
        <f t="shared" si="1"/>
        <v>9.7886240780638761E-2</v>
      </c>
    </row>
    <row r="14" spans="1:15" x14ac:dyDescent="0.2">
      <c r="A14" s="124">
        <f t="shared" si="0"/>
        <v>6</v>
      </c>
      <c r="B14" s="12" t="str">
        <f>+B13</f>
        <v>50E</v>
      </c>
      <c r="C14" s="14" t="s">
        <v>16</v>
      </c>
      <c r="D14" s="66">
        <v>175</v>
      </c>
      <c r="E14" s="182">
        <v>18.5</v>
      </c>
      <c r="F14" s="167">
        <f>E14*$H$168</f>
        <v>0.25892577981014353</v>
      </c>
      <c r="G14" s="168">
        <v>241</v>
      </c>
      <c r="H14" s="169">
        <f>F14*G14</f>
        <v>62.401112934244594</v>
      </c>
      <c r="J14" s="210"/>
      <c r="K14" s="241">
        <v>90.01</v>
      </c>
      <c r="L14" s="241">
        <v>150</v>
      </c>
      <c r="M14" s="226">
        <v>39.674794170929992</v>
      </c>
      <c r="N14" s="10">
        <f t="shared" si="2"/>
        <v>3.738E-3</v>
      </c>
      <c r="O14" s="242">
        <f t="shared" si="1"/>
        <v>0.14830438061093631</v>
      </c>
    </row>
    <row r="15" spans="1:15" x14ac:dyDescent="0.2">
      <c r="A15" s="124">
        <f t="shared" si="0"/>
        <v>7</v>
      </c>
      <c r="B15" s="12" t="str">
        <f>+B14</f>
        <v>50E</v>
      </c>
      <c r="C15" s="14" t="s">
        <v>16</v>
      </c>
      <c r="D15" s="66">
        <v>400</v>
      </c>
      <c r="E15" s="182">
        <v>38.409999999999997</v>
      </c>
      <c r="F15" s="167">
        <f>E15*$H$168</f>
        <v>0.53758590283824936</v>
      </c>
      <c r="G15" s="168">
        <v>216</v>
      </c>
      <c r="H15" s="169">
        <f>F15*G15</f>
        <v>116.11855501306187</v>
      </c>
      <c r="J15" s="210"/>
      <c r="K15" s="241">
        <v>150.01</v>
      </c>
      <c r="L15" s="241">
        <v>240</v>
      </c>
      <c r="M15" s="226">
        <v>69.495762573691295</v>
      </c>
      <c r="N15" s="10">
        <f t="shared" si="2"/>
        <v>3.738E-3</v>
      </c>
      <c r="O15" s="242">
        <f t="shared" si="1"/>
        <v>0.25977516050045807</v>
      </c>
    </row>
    <row r="16" spans="1:15" x14ac:dyDescent="0.2">
      <c r="A16" s="124">
        <f t="shared" si="0"/>
        <v>8</v>
      </c>
      <c r="B16" s="12" t="str">
        <f>+B15</f>
        <v>50E</v>
      </c>
      <c r="C16" s="14" t="s">
        <v>16</v>
      </c>
      <c r="D16" s="66">
        <v>700</v>
      </c>
      <c r="E16" s="182">
        <v>96.03</v>
      </c>
      <c r="F16" s="167">
        <f>E16*$H$168</f>
        <v>1.3440347370361128</v>
      </c>
      <c r="G16" s="168">
        <v>0</v>
      </c>
      <c r="H16" s="169">
        <f>F16*G16</f>
        <v>0</v>
      </c>
      <c r="J16" s="210"/>
      <c r="K16" s="241">
        <v>240.01</v>
      </c>
      <c r="L16" s="241">
        <v>340</v>
      </c>
      <c r="M16" s="226">
        <v>92.063107873663981</v>
      </c>
      <c r="N16" s="10">
        <f t="shared" si="2"/>
        <v>3.738E-3</v>
      </c>
      <c r="O16" s="242">
        <f t="shared" si="1"/>
        <v>0.34413189723175597</v>
      </c>
    </row>
    <row r="17" spans="1:15" x14ac:dyDescent="0.2">
      <c r="A17" s="124">
        <f t="shared" si="0"/>
        <v>9</v>
      </c>
      <c r="B17" s="15"/>
      <c r="C17" s="16"/>
      <c r="D17" s="195"/>
      <c r="E17" s="182"/>
      <c r="F17" s="167"/>
      <c r="G17" s="168"/>
      <c r="H17" s="170"/>
      <c r="J17" s="210"/>
      <c r="K17" s="241">
        <v>340.01</v>
      </c>
      <c r="L17" s="241">
        <v>600</v>
      </c>
      <c r="M17" s="226">
        <v>144.31146442180207</v>
      </c>
      <c r="N17" s="10">
        <f t="shared" si="2"/>
        <v>3.738E-3</v>
      </c>
      <c r="O17" s="242">
        <f t="shared" si="1"/>
        <v>0.5394362540086961</v>
      </c>
    </row>
    <row r="18" spans="1:15" ht="14.25" thickBot="1" x14ac:dyDescent="0.4">
      <c r="A18" s="124">
        <f t="shared" si="0"/>
        <v>10</v>
      </c>
      <c r="B18" s="31" t="s">
        <v>31</v>
      </c>
      <c r="C18" s="16"/>
      <c r="D18" s="195"/>
      <c r="E18" s="182"/>
      <c r="F18" s="167"/>
      <c r="G18" s="168"/>
      <c r="H18" s="170"/>
      <c r="J18" s="207"/>
      <c r="K18" s="243">
        <v>600.01</v>
      </c>
      <c r="L18" s="243">
        <v>1000</v>
      </c>
      <c r="M18" s="244">
        <v>360.77866105450516</v>
      </c>
      <c r="N18" s="205">
        <f t="shared" si="2"/>
        <v>3.738E-3</v>
      </c>
      <c r="O18" s="245">
        <f t="shared" si="1"/>
        <v>1.3485906350217403</v>
      </c>
    </row>
    <row r="19" spans="1:15" x14ac:dyDescent="0.2">
      <c r="A19" s="124">
        <f t="shared" si="0"/>
        <v>11</v>
      </c>
      <c r="B19" s="12" t="s">
        <v>32</v>
      </c>
      <c r="C19" s="14" t="s">
        <v>33</v>
      </c>
      <c r="D19" s="195" t="s">
        <v>76</v>
      </c>
      <c r="E19" s="182">
        <v>1.98</v>
      </c>
      <c r="F19" s="167">
        <f t="shared" ref="F19:F28" si="3">E19*$H$168</f>
        <v>2.7712056433734283E-2</v>
      </c>
      <c r="G19" s="168">
        <v>3</v>
      </c>
      <c r="H19" s="169">
        <f t="shared" ref="H19:H29" si="4">F19*G19</f>
        <v>8.313616930120285E-2</v>
      </c>
    </row>
    <row r="20" spans="1:15" x14ac:dyDescent="0.2">
      <c r="A20" s="124">
        <f t="shared" si="0"/>
        <v>12</v>
      </c>
      <c r="B20" s="12" t="s">
        <v>32</v>
      </c>
      <c r="C20" s="14" t="s">
        <v>33</v>
      </c>
      <c r="D20" s="67" t="s">
        <v>64</v>
      </c>
      <c r="E20" s="182">
        <v>4.32</v>
      </c>
      <c r="F20" s="167">
        <f t="shared" si="3"/>
        <v>6.0462668582692981E-2</v>
      </c>
      <c r="G20" s="168">
        <v>62432</v>
      </c>
      <c r="H20" s="169">
        <f t="shared" si="4"/>
        <v>3774.8053249546883</v>
      </c>
    </row>
    <row r="21" spans="1:15" x14ac:dyDescent="0.2">
      <c r="A21" s="124">
        <f t="shared" si="0"/>
        <v>13</v>
      </c>
      <c r="B21" s="12" t="s">
        <v>32</v>
      </c>
      <c r="C21" s="14" t="s">
        <v>33</v>
      </c>
      <c r="D21" s="66" t="s">
        <v>34</v>
      </c>
      <c r="E21" s="182">
        <v>6.97</v>
      </c>
      <c r="F21" s="167">
        <f t="shared" si="3"/>
        <v>9.7552037041983813E-2</v>
      </c>
      <c r="G21" s="168">
        <v>35235</v>
      </c>
      <c r="H21" s="169">
        <f t="shared" si="4"/>
        <v>3437.2460251742996</v>
      </c>
    </row>
    <row r="22" spans="1:15" x14ac:dyDescent="0.2">
      <c r="A22" s="124">
        <f t="shared" si="0"/>
        <v>14</v>
      </c>
      <c r="B22" s="12" t="s">
        <v>32</v>
      </c>
      <c r="C22" s="14" t="s">
        <v>33</v>
      </c>
      <c r="D22" s="66" t="s">
        <v>35</v>
      </c>
      <c r="E22" s="182">
        <v>10.56</v>
      </c>
      <c r="F22" s="167">
        <f t="shared" si="3"/>
        <v>0.14779763431324952</v>
      </c>
      <c r="G22" s="168">
        <v>15281</v>
      </c>
      <c r="H22" s="169">
        <f t="shared" si="4"/>
        <v>2258.4956499407658</v>
      </c>
    </row>
    <row r="23" spans="1:15" x14ac:dyDescent="0.2">
      <c r="A23" s="124">
        <f t="shared" si="0"/>
        <v>15</v>
      </c>
      <c r="B23" s="12" t="s">
        <v>32</v>
      </c>
      <c r="C23" s="14" t="s">
        <v>33</v>
      </c>
      <c r="D23" s="66" t="s">
        <v>36</v>
      </c>
      <c r="E23" s="182">
        <v>10.56</v>
      </c>
      <c r="F23" s="167">
        <f t="shared" si="3"/>
        <v>0.14779763431324952</v>
      </c>
      <c r="G23" s="168">
        <v>6961</v>
      </c>
      <c r="H23" s="169">
        <f t="shared" si="4"/>
        <v>1028.81933245453</v>
      </c>
    </row>
    <row r="24" spans="1:15" x14ac:dyDescent="0.2">
      <c r="A24" s="124">
        <f t="shared" si="0"/>
        <v>16</v>
      </c>
      <c r="B24" s="12" t="s">
        <v>32</v>
      </c>
      <c r="C24" s="14" t="s">
        <v>33</v>
      </c>
      <c r="D24" s="66" t="s">
        <v>37</v>
      </c>
      <c r="E24" s="182">
        <v>18.5</v>
      </c>
      <c r="F24" s="167">
        <f t="shared" si="3"/>
        <v>0.25892577981014353</v>
      </c>
      <c r="G24" s="168">
        <v>908</v>
      </c>
      <c r="H24" s="169">
        <f t="shared" si="4"/>
        <v>235.10460806761031</v>
      </c>
    </row>
    <row r="25" spans="1:15" x14ac:dyDescent="0.2">
      <c r="A25" s="124">
        <f t="shared" si="0"/>
        <v>17</v>
      </c>
      <c r="B25" s="12" t="s">
        <v>32</v>
      </c>
      <c r="C25" s="14" t="s">
        <v>33</v>
      </c>
      <c r="D25" s="66" t="s">
        <v>38</v>
      </c>
      <c r="E25" s="182">
        <v>18.5</v>
      </c>
      <c r="F25" s="167">
        <f t="shared" si="3"/>
        <v>0.25892577981014353</v>
      </c>
      <c r="G25" s="168">
        <v>2412</v>
      </c>
      <c r="H25" s="169">
        <f t="shared" si="4"/>
        <v>624.52898090206622</v>
      </c>
    </row>
    <row r="26" spans="1:15" x14ac:dyDescent="0.2">
      <c r="A26" s="124">
        <f t="shared" si="0"/>
        <v>18</v>
      </c>
      <c r="B26" s="12" t="s">
        <v>32</v>
      </c>
      <c r="C26" s="14" t="s">
        <v>33</v>
      </c>
      <c r="D26" s="66" t="s">
        <v>39</v>
      </c>
      <c r="E26" s="182">
        <v>18.5</v>
      </c>
      <c r="F26" s="167">
        <f t="shared" si="3"/>
        <v>0.25892577981014353</v>
      </c>
      <c r="G26" s="168">
        <v>938</v>
      </c>
      <c r="H26" s="169">
        <f t="shared" si="4"/>
        <v>242.87238146191464</v>
      </c>
    </row>
    <row r="27" spans="1:15" x14ac:dyDescent="0.2">
      <c r="A27" s="124">
        <f t="shared" si="0"/>
        <v>19</v>
      </c>
      <c r="B27" s="12" t="s">
        <v>32</v>
      </c>
      <c r="C27" s="14" t="s">
        <v>33</v>
      </c>
      <c r="D27" s="66" t="s">
        <v>40</v>
      </c>
      <c r="E27" s="182">
        <v>24.5</v>
      </c>
      <c r="F27" s="167">
        <f t="shared" si="3"/>
        <v>0.34290170839721712</v>
      </c>
      <c r="G27" s="168">
        <v>96</v>
      </c>
      <c r="H27" s="169">
        <f t="shared" si="4"/>
        <v>32.91856400613284</v>
      </c>
    </row>
    <row r="28" spans="1:15" x14ac:dyDescent="0.2">
      <c r="A28" s="124">
        <f t="shared" si="0"/>
        <v>20</v>
      </c>
      <c r="B28" s="12" t="s">
        <v>32</v>
      </c>
      <c r="C28" s="14" t="s">
        <v>33</v>
      </c>
      <c r="D28" s="66" t="s">
        <v>41</v>
      </c>
      <c r="E28" s="182">
        <v>24.5</v>
      </c>
      <c r="F28" s="167">
        <f t="shared" si="3"/>
        <v>0.34290170839721712</v>
      </c>
      <c r="G28" s="168">
        <v>996</v>
      </c>
      <c r="H28" s="169">
        <f t="shared" si="4"/>
        <v>341.53010156362825</v>
      </c>
    </row>
    <row r="29" spans="1:15" x14ac:dyDescent="0.2">
      <c r="A29" s="124">
        <f t="shared" si="0"/>
        <v>21</v>
      </c>
      <c r="B29" s="12" t="s">
        <v>127</v>
      </c>
      <c r="C29" s="14" t="s">
        <v>74</v>
      </c>
      <c r="D29" s="188" t="s">
        <v>75</v>
      </c>
      <c r="E29" s="131"/>
      <c r="F29" s="266">
        <f>'Rate Impacts'!$J$34</f>
        <v>3.738E-3</v>
      </c>
      <c r="G29" s="168">
        <v>364552.40584913531</v>
      </c>
      <c r="H29" s="169">
        <f t="shared" si="4"/>
        <v>1362.6968930640678</v>
      </c>
    </row>
    <row r="30" spans="1:15" x14ac:dyDescent="0.2">
      <c r="A30" s="124">
        <f t="shared" si="0"/>
        <v>22</v>
      </c>
      <c r="B30" s="15"/>
      <c r="C30" s="10"/>
      <c r="D30" s="195"/>
      <c r="E30" s="182"/>
      <c r="F30" s="167"/>
      <c r="G30" s="168"/>
      <c r="H30" s="170"/>
    </row>
    <row r="31" spans="1:15" ht="13.5" x14ac:dyDescent="0.35">
      <c r="A31" s="124">
        <f t="shared" si="0"/>
        <v>23</v>
      </c>
      <c r="B31" s="31" t="s">
        <v>121</v>
      </c>
      <c r="C31" s="10"/>
      <c r="D31" s="195"/>
      <c r="E31" s="182"/>
      <c r="F31" s="167"/>
      <c r="G31" s="168"/>
      <c r="H31" s="170"/>
    </row>
    <row r="32" spans="1:15" x14ac:dyDescent="0.2">
      <c r="A32" s="124">
        <f t="shared" si="0"/>
        <v>24</v>
      </c>
      <c r="B32" s="12" t="s">
        <v>42</v>
      </c>
      <c r="C32" s="17" t="s">
        <v>17</v>
      </c>
      <c r="D32" s="66">
        <v>50</v>
      </c>
      <c r="E32" s="182">
        <v>4.32</v>
      </c>
      <c r="F32" s="167">
        <f t="shared" ref="F32:F39" si="5">E32*$H$168</f>
        <v>6.0462668582692981E-2</v>
      </c>
      <c r="G32" s="168">
        <v>0</v>
      </c>
      <c r="H32" s="169">
        <f t="shared" ref="H32:H39" si="6">F32*G32</f>
        <v>0</v>
      </c>
    </row>
    <row r="33" spans="1:8" x14ac:dyDescent="0.2">
      <c r="A33" s="124">
        <f t="shared" si="0"/>
        <v>25</v>
      </c>
      <c r="B33" s="12" t="str">
        <f t="shared" ref="B33:B39" si="7">+B32</f>
        <v xml:space="preserve">52E </v>
      </c>
      <c r="C33" s="17" t="s">
        <v>17</v>
      </c>
      <c r="D33" s="66">
        <v>70</v>
      </c>
      <c r="E33" s="182">
        <v>6.97</v>
      </c>
      <c r="F33" s="167">
        <f t="shared" si="5"/>
        <v>9.7552037041983813E-2</v>
      </c>
      <c r="G33" s="168">
        <v>7894</v>
      </c>
      <c r="H33" s="169">
        <f t="shared" si="6"/>
        <v>770.07578040942019</v>
      </c>
    </row>
    <row r="34" spans="1:8" x14ac:dyDescent="0.2">
      <c r="A34" s="124">
        <f t="shared" si="0"/>
        <v>26</v>
      </c>
      <c r="B34" s="12" t="str">
        <f t="shared" si="7"/>
        <v xml:space="preserve">52E </v>
      </c>
      <c r="C34" s="17" t="s">
        <v>17</v>
      </c>
      <c r="D34" s="66">
        <v>100</v>
      </c>
      <c r="E34" s="182">
        <v>10.56</v>
      </c>
      <c r="F34" s="167">
        <f t="shared" si="5"/>
        <v>0.14779763431324952</v>
      </c>
      <c r="G34" s="168">
        <v>114110</v>
      </c>
      <c r="H34" s="169">
        <f t="shared" si="6"/>
        <v>16865.188051484904</v>
      </c>
    </row>
    <row r="35" spans="1:8" x14ac:dyDescent="0.2">
      <c r="A35" s="124">
        <f t="shared" si="0"/>
        <v>27</v>
      </c>
      <c r="B35" s="12" t="str">
        <f t="shared" si="7"/>
        <v xml:space="preserve">52E </v>
      </c>
      <c r="C35" s="17" t="s">
        <v>17</v>
      </c>
      <c r="D35" s="66">
        <v>150</v>
      </c>
      <c r="E35" s="182">
        <v>10.56</v>
      </c>
      <c r="F35" s="167">
        <f t="shared" si="5"/>
        <v>0.14779763431324952</v>
      </c>
      <c r="G35" s="168">
        <v>53138</v>
      </c>
      <c r="H35" s="169">
        <f t="shared" si="6"/>
        <v>7853.6706921374534</v>
      </c>
    </row>
    <row r="36" spans="1:8" x14ac:dyDescent="0.2">
      <c r="A36" s="124">
        <f t="shared" si="0"/>
        <v>28</v>
      </c>
      <c r="B36" s="12" t="str">
        <f t="shared" si="7"/>
        <v xml:space="preserve">52E </v>
      </c>
      <c r="C36" s="17" t="s">
        <v>17</v>
      </c>
      <c r="D36" s="66">
        <v>200</v>
      </c>
      <c r="E36" s="182">
        <v>18.5</v>
      </c>
      <c r="F36" s="167">
        <f t="shared" si="5"/>
        <v>0.25892577981014353</v>
      </c>
      <c r="G36" s="168">
        <v>11171</v>
      </c>
      <c r="H36" s="169">
        <f t="shared" si="6"/>
        <v>2892.4598862591133</v>
      </c>
    </row>
    <row r="37" spans="1:8" x14ac:dyDescent="0.2">
      <c r="A37" s="124">
        <f t="shared" si="0"/>
        <v>29</v>
      </c>
      <c r="B37" s="12" t="str">
        <f t="shared" si="7"/>
        <v xml:space="preserve">52E </v>
      </c>
      <c r="C37" s="17" t="s">
        <v>17</v>
      </c>
      <c r="D37" s="66">
        <v>250</v>
      </c>
      <c r="E37" s="182">
        <v>24.5</v>
      </c>
      <c r="F37" s="167">
        <f t="shared" si="5"/>
        <v>0.34290170839721712</v>
      </c>
      <c r="G37" s="168">
        <v>16530</v>
      </c>
      <c r="H37" s="169">
        <f t="shared" si="6"/>
        <v>5668.1652398059987</v>
      </c>
    </row>
    <row r="38" spans="1:8" x14ac:dyDescent="0.2">
      <c r="A38" s="124">
        <f t="shared" si="0"/>
        <v>30</v>
      </c>
      <c r="B38" s="12" t="str">
        <f t="shared" si="7"/>
        <v xml:space="preserve">52E </v>
      </c>
      <c r="C38" s="17" t="s">
        <v>17</v>
      </c>
      <c r="D38" s="66">
        <v>310</v>
      </c>
      <c r="E38" s="182">
        <v>24.5</v>
      </c>
      <c r="F38" s="167">
        <f t="shared" si="5"/>
        <v>0.34290170839721712</v>
      </c>
      <c r="G38" s="168">
        <v>1721</v>
      </c>
      <c r="H38" s="169">
        <f t="shared" si="6"/>
        <v>590.13384015161068</v>
      </c>
    </row>
    <row r="39" spans="1:8" x14ac:dyDescent="0.2">
      <c r="A39" s="124">
        <f t="shared" si="0"/>
        <v>31</v>
      </c>
      <c r="B39" s="12" t="str">
        <f t="shared" si="7"/>
        <v xml:space="preserve">52E </v>
      </c>
      <c r="C39" s="17" t="s">
        <v>17</v>
      </c>
      <c r="D39" s="66">
        <v>400</v>
      </c>
      <c r="E39" s="182">
        <v>38.409999999999997</v>
      </c>
      <c r="F39" s="167">
        <f t="shared" si="5"/>
        <v>0.53758590283824936</v>
      </c>
      <c r="G39" s="168">
        <v>6966</v>
      </c>
      <c r="H39" s="169">
        <f t="shared" si="6"/>
        <v>3744.823399171245</v>
      </c>
    </row>
    <row r="40" spans="1:8" x14ac:dyDescent="0.2">
      <c r="A40" s="124">
        <f t="shared" si="0"/>
        <v>32</v>
      </c>
      <c r="B40" s="18"/>
      <c r="C40" s="17"/>
      <c r="D40" s="66"/>
      <c r="E40" s="182"/>
      <c r="F40" s="167"/>
      <c r="G40" s="168"/>
      <c r="H40" s="170"/>
    </row>
    <row r="41" spans="1:8" x14ac:dyDescent="0.2">
      <c r="A41" s="124">
        <f t="shared" si="0"/>
        <v>33</v>
      </c>
      <c r="B41" s="12" t="str">
        <f>+B36</f>
        <v xml:space="preserve">52E </v>
      </c>
      <c r="C41" s="17" t="s">
        <v>43</v>
      </c>
      <c r="D41" s="66">
        <v>70</v>
      </c>
      <c r="E41" s="182">
        <v>6.97</v>
      </c>
      <c r="F41" s="167">
        <f t="shared" ref="F41:F47" si="8">E41*$H$168</f>
        <v>9.7552037041983813E-2</v>
      </c>
      <c r="G41" s="168">
        <v>841</v>
      </c>
      <c r="H41" s="169">
        <f t="shared" ref="H41:H47" si="9">F41*G41</f>
        <v>82.041263152308389</v>
      </c>
    </row>
    <row r="42" spans="1:8" x14ac:dyDescent="0.2">
      <c r="A42" s="124">
        <f t="shared" ref="A42:A73" si="10">+A41+1</f>
        <v>34</v>
      </c>
      <c r="B42" s="12" t="str">
        <f>+B37</f>
        <v xml:space="preserve">52E </v>
      </c>
      <c r="C42" s="17" t="s">
        <v>43</v>
      </c>
      <c r="D42" s="66">
        <v>100</v>
      </c>
      <c r="E42" s="182">
        <v>10.56</v>
      </c>
      <c r="F42" s="167">
        <f t="shared" si="8"/>
        <v>0.14779763431324952</v>
      </c>
      <c r="G42" s="168">
        <v>46</v>
      </c>
      <c r="H42" s="169">
        <f t="shared" si="9"/>
        <v>6.7986911784094781</v>
      </c>
    </row>
    <row r="43" spans="1:8" x14ac:dyDescent="0.2">
      <c r="A43" s="124">
        <f t="shared" si="10"/>
        <v>35</v>
      </c>
      <c r="B43" s="12" t="str">
        <f>+B38</f>
        <v xml:space="preserve">52E </v>
      </c>
      <c r="C43" s="17" t="s">
        <v>43</v>
      </c>
      <c r="D43" s="66">
        <v>150</v>
      </c>
      <c r="E43" s="182">
        <v>10.56</v>
      </c>
      <c r="F43" s="167">
        <f t="shared" si="8"/>
        <v>0.14779763431324952</v>
      </c>
      <c r="G43" s="168">
        <v>2376</v>
      </c>
      <c r="H43" s="169">
        <f t="shared" si="9"/>
        <v>351.16717912828085</v>
      </c>
    </row>
    <row r="44" spans="1:8" x14ac:dyDescent="0.2">
      <c r="A44" s="124">
        <f t="shared" si="10"/>
        <v>36</v>
      </c>
      <c r="B44" s="12" t="str">
        <f>+B39</f>
        <v xml:space="preserve">52E </v>
      </c>
      <c r="C44" s="17" t="s">
        <v>43</v>
      </c>
      <c r="D44" s="66">
        <v>175</v>
      </c>
      <c r="E44" s="182">
        <v>18.5</v>
      </c>
      <c r="F44" s="167">
        <f t="shared" si="8"/>
        <v>0.25892577981014353</v>
      </c>
      <c r="G44" s="168">
        <v>2514</v>
      </c>
      <c r="H44" s="169">
        <f t="shared" si="9"/>
        <v>650.93941044270082</v>
      </c>
    </row>
    <row r="45" spans="1:8" x14ac:dyDescent="0.2">
      <c r="A45" s="124">
        <f t="shared" si="10"/>
        <v>37</v>
      </c>
      <c r="B45" s="12" t="str">
        <f t="shared" ref="B45:C47" si="11">+B44</f>
        <v xml:space="preserve">52E </v>
      </c>
      <c r="C45" s="17" t="str">
        <f t="shared" si="11"/>
        <v>Metal Halide</v>
      </c>
      <c r="D45" s="66">
        <v>250</v>
      </c>
      <c r="E45" s="182">
        <v>24.5</v>
      </c>
      <c r="F45" s="167">
        <f t="shared" si="8"/>
        <v>0.34290170839721712</v>
      </c>
      <c r="G45" s="168">
        <v>428</v>
      </c>
      <c r="H45" s="169">
        <f t="shared" si="9"/>
        <v>146.76193119400892</v>
      </c>
    </row>
    <row r="46" spans="1:8" x14ac:dyDescent="0.2">
      <c r="A46" s="124">
        <f t="shared" si="10"/>
        <v>38</v>
      </c>
      <c r="B46" s="12" t="str">
        <f t="shared" si="11"/>
        <v xml:space="preserve">52E </v>
      </c>
      <c r="C46" s="17" t="str">
        <f t="shared" si="11"/>
        <v>Metal Halide</v>
      </c>
      <c r="D46" s="66">
        <v>400</v>
      </c>
      <c r="E46" s="182">
        <v>38.409999999999997</v>
      </c>
      <c r="F46" s="167">
        <f t="shared" si="8"/>
        <v>0.53758590283824936</v>
      </c>
      <c r="G46" s="168">
        <v>684</v>
      </c>
      <c r="H46" s="169">
        <f t="shared" si="9"/>
        <v>367.70875754136256</v>
      </c>
    </row>
    <row r="47" spans="1:8" x14ac:dyDescent="0.2">
      <c r="A47" s="124">
        <f t="shared" si="10"/>
        <v>39</v>
      </c>
      <c r="B47" s="12" t="str">
        <f t="shared" si="11"/>
        <v xml:space="preserve">52E </v>
      </c>
      <c r="C47" s="17" t="str">
        <f t="shared" si="11"/>
        <v>Metal Halide</v>
      </c>
      <c r="D47" s="66">
        <v>1000</v>
      </c>
      <c r="E47" s="182">
        <v>96.03</v>
      </c>
      <c r="F47" s="167">
        <f t="shared" si="8"/>
        <v>1.3440347370361128</v>
      </c>
      <c r="G47" s="168">
        <v>216</v>
      </c>
      <c r="H47" s="169">
        <f t="shared" si="9"/>
        <v>290.31150319980037</v>
      </c>
    </row>
    <row r="48" spans="1:8" x14ac:dyDescent="0.2">
      <c r="A48" s="124">
        <f t="shared" si="10"/>
        <v>40</v>
      </c>
      <c r="B48" s="15"/>
      <c r="C48" s="10"/>
      <c r="D48" s="195"/>
      <c r="E48" s="182"/>
      <c r="F48" s="167"/>
      <c r="G48" s="168"/>
      <c r="H48" s="170"/>
    </row>
    <row r="49" spans="1:8" ht="13.5" x14ac:dyDescent="0.35">
      <c r="A49" s="124">
        <f t="shared" si="10"/>
        <v>41</v>
      </c>
      <c r="B49" s="31" t="s">
        <v>122</v>
      </c>
      <c r="C49" s="10"/>
      <c r="D49" s="195"/>
      <c r="E49" s="182"/>
      <c r="F49" s="167"/>
      <c r="G49" s="168"/>
      <c r="H49" s="170"/>
    </row>
    <row r="50" spans="1:8" x14ac:dyDescent="0.2">
      <c r="A50" s="124">
        <f t="shared" si="10"/>
        <v>42</v>
      </c>
      <c r="B50" s="12" t="s">
        <v>61</v>
      </c>
      <c r="C50" s="17" t="s">
        <v>17</v>
      </c>
      <c r="D50" s="66">
        <v>50</v>
      </c>
      <c r="E50" s="182">
        <v>4.32</v>
      </c>
      <c r="F50" s="167">
        <f t="shared" ref="F50:F58" si="12">E50*$H$168</f>
        <v>6.0462668582692981E-2</v>
      </c>
      <c r="G50" s="168">
        <v>0</v>
      </c>
      <c r="H50" s="169">
        <f t="shared" ref="H50:H58" si="13">F50*G50</f>
        <v>0</v>
      </c>
    </row>
    <row r="51" spans="1:8" x14ac:dyDescent="0.2">
      <c r="A51" s="124">
        <f t="shared" si="10"/>
        <v>43</v>
      </c>
      <c r="B51" s="12" t="str">
        <f t="shared" ref="B51:B58" si="14">+B50</f>
        <v>53E</v>
      </c>
      <c r="C51" s="17" t="s">
        <v>17</v>
      </c>
      <c r="D51" s="66">
        <v>70</v>
      </c>
      <c r="E51" s="182">
        <v>6.97</v>
      </c>
      <c r="F51" s="167">
        <f t="shared" si="12"/>
        <v>9.7552037041983813E-2</v>
      </c>
      <c r="G51" s="168">
        <v>45285</v>
      </c>
      <c r="H51" s="169">
        <f t="shared" si="13"/>
        <v>4417.6439974462373</v>
      </c>
    </row>
    <row r="52" spans="1:8" x14ac:dyDescent="0.2">
      <c r="A52" s="124">
        <f t="shared" si="10"/>
        <v>44</v>
      </c>
      <c r="B52" s="12" t="str">
        <f t="shared" si="14"/>
        <v>53E</v>
      </c>
      <c r="C52" s="17" t="s">
        <v>17</v>
      </c>
      <c r="D52" s="66">
        <v>100</v>
      </c>
      <c r="E52" s="182">
        <v>10.56</v>
      </c>
      <c r="F52" s="167">
        <f t="shared" si="12"/>
        <v>0.14779763431324952</v>
      </c>
      <c r="G52" s="168">
        <v>334953</v>
      </c>
      <c r="H52" s="169">
        <f t="shared" si="13"/>
        <v>49505.261006125867</v>
      </c>
    </row>
    <row r="53" spans="1:8" x14ac:dyDescent="0.2">
      <c r="A53" s="124">
        <f t="shared" si="10"/>
        <v>45</v>
      </c>
      <c r="B53" s="12" t="str">
        <f t="shared" si="14"/>
        <v>53E</v>
      </c>
      <c r="C53" s="17" t="s">
        <v>17</v>
      </c>
      <c r="D53" s="66">
        <v>150</v>
      </c>
      <c r="E53" s="182">
        <v>10.56</v>
      </c>
      <c r="F53" s="167">
        <f t="shared" si="12"/>
        <v>0.14779763431324952</v>
      </c>
      <c r="G53" s="168">
        <v>41014</v>
      </c>
      <c r="H53" s="169">
        <f t="shared" si="13"/>
        <v>6061.7721737236161</v>
      </c>
    </row>
    <row r="54" spans="1:8" x14ac:dyDescent="0.2">
      <c r="A54" s="124">
        <f t="shared" si="10"/>
        <v>46</v>
      </c>
      <c r="B54" s="12" t="str">
        <f t="shared" si="14"/>
        <v>53E</v>
      </c>
      <c r="C54" s="17" t="s">
        <v>17</v>
      </c>
      <c r="D54" s="66">
        <v>200</v>
      </c>
      <c r="E54" s="182">
        <v>18.5</v>
      </c>
      <c r="F54" s="167">
        <f t="shared" si="12"/>
        <v>0.25892577981014353</v>
      </c>
      <c r="G54" s="168">
        <v>54688</v>
      </c>
      <c r="H54" s="169">
        <f t="shared" si="13"/>
        <v>14160.13304625713</v>
      </c>
    </row>
    <row r="55" spans="1:8" x14ac:dyDescent="0.2">
      <c r="A55" s="124">
        <f t="shared" si="10"/>
        <v>47</v>
      </c>
      <c r="B55" s="12" t="str">
        <f t="shared" si="14"/>
        <v>53E</v>
      </c>
      <c r="C55" s="17" t="s">
        <v>17</v>
      </c>
      <c r="D55" s="66">
        <v>250</v>
      </c>
      <c r="E55" s="182">
        <v>24.5</v>
      </c>
      <c r="F55" s="167">
        <f t="shared" si="12"/>
        <v>0.34290170839721712</v>
      </c>
      <c r="G55" s="168">
        <v>21425</v>
      </c>
      <c r="H55" s="169">
        <f t="shared" si="13"/>
        <v>7346.6691024103766</v>
      </c>
    </row>
    <row r="56" spans="1:8" x14ac:dyDescent="0.2">
      <c r="A56" s="124">
        <f t="shared" si="10"/>
        <v>48</v>
      </c>
      <c r="B56" s="12" t="str">
        <f t="shared" si="14"/>
        <v>53E</v>
      </c>
      <c r="C56" s="17" t="s">
        <v>17</v>
      </c>
      <c r="D56" s="66">
        <v>310</v>
      </c>
      <c r="E56" s="182">
        <v>24.5</v>
      </c>
      <c r="F56" s="167">
        <f t="shared" si="12"/>
        <v>0.34290170839721712</v>
      </c>
      <c r="G56" s="168">
        <v>237</v>
      </c>
      <c r="H56" s="169">
        <f t="shared" si="13"/>
        <v>81.26770489014045</v>
      </c>
    </row>
    <row r="57" spans="1:8" x14ac:dyDescent="0.2">
      <c r="A57" s="124">
        <f t="shared" si="10"/>
        <v>49</v>
      </c>
      <c r="B57" s="12" t="str">
        <f t="shared" si="14"/>
        <v>53E</v>
      </c>
      <c r="C57" s="17" t="s">
        <v>17</v>
      </c>
      <c r="D57" s="66">
        <v>400</v>
      </c>
      <c r="E57" s="182">
        <v>38.409999999999997</v>
      </c>
      <c r="F57" s="167">
        <f t="shared" si="12"/>
        <v>0.53758590283824936</v>
      </c>
      <c r="G57" s="168">
        <v>14576</v>
      </c>
      <c r="H57" s="169">
        <f t="shared" si="13"/>
        <v>7835.852119770323</v>
      </c>
    </row>
    <row r="58" spans="1:8" x14ac:dyDescent="0.2">
      <c r="A58" s="124">
        <f t="shared" si="10"/>
        <v>50</v>
      </c>
      <c r="B58" s="12" t="str">
        <f t="shared" si="14"/>
        <v>53E</v>
      </c>
      <c r="C58" s="17" t="s">
        <v>17</v>
      </c>
      <c r="D58" s="66">
        <v>1000</v>
      </c>
      <c r="E58" s="182">
        <v>96.03</v>
      </c>
      <c r="F58" s="167">
        <f t="shared" si="12"/>
        <v>1.3440347370361128</v>
      </c>
      <c r="G58" s="168">
        <v>0</v>
      </c>
      <c r="H58" s="169">
        <f t="shared" si="13"/>
        <v>0</v>
      </c>
    </row>
    <row r="59" spans="1:8" x14ac:dyDescent="0.2">
      <c r="A59" s="124">
        <f t="shared" si="10"/>
        <v>51</v>
      </c>
      <c r="B59" s="12"/>
      <c r="C59" s="17"/>
      <c r="D59" s="66"/>
      <c r="E59" s="182"/>
      <c r="F59" s="167"/>
      <c r="G59" s="168"/>
      <c r="H59" s="170"/>
    </row>
    <row r="60" spans="1:8" x14ac:dyDescent="0.2">
      <c r="A60" s="124">
        <f t="shared" si="10"/>
        <v>52</v>
      </c>
      <c r="B60" s="12" t="str">
        <f>+B58</f>
        <v>53E</v>
      </c>
      <c r="C60" s="17" t="s">
        <v>43</v>
      </c>
      <c r="D60" s="66">
        <v>70</v>
      </c>
      <c r="E60" s="182">
        <v>6.97</v>
      </c>
      <c r="F60" s="167">
        <f t="shared" ref="F60:F65" si="15">E60*$H$168</f>
        <v>9.7552037041983813E-2</v>
      </c>
      <c r="G60" s="168">
        <v>0</v>
      </c>
      <c r="H60" s="169">
        <f t="shared" ref="H60:H65" si="16">F60*G60</f>
        <v>0</v>
      </c>
    </row>
    <row r="61" spans="1:8" x14ac:dyDescent="0.2">
      <c r="A61" s="124">
        <f t="shared" si="10"/>
        <v>53</v>
      </c>
      <c r="B61" s="12" t="str">
        <f>+B60</f>
        <v>53E</v>
      </c>
      <c r="C61" s="17" t="s">
        <v>43</v>
      </c>
      <c r="D61" s="66">
        <v>100</v>
      </c>
      <c r="E61" s="182">
        <v>10.56</v>
      </c>
      <c r="F61" s="167">
        <f t="shared" si="15"/>
        <v>0.14779763431324952</v>
      </c>
      <c r="G61" s="168">
        <v>0</v>
      </c>
      <c r="H61" s="169">
        <f t="shared" si="16"/>
        <v>0</v>
      </c>
    </row>
    <row r="62" spans="1:8" x14ac:dyDescent="0.2">
      <c r="A62" s="124">
        <f t="shared" si="10"/>
        <v>54</v>
      </c>
      <c r="B62" s="12" t="str">
        <f>+B61</f>
        <v>53E</v>
      </c>
      <c r="C62" s="17" t="s">
        <v>43</v>
      </c>
      <c r="D62" s="66">
        <v>150</v>
      </c>
      <c r="E62" s="182">
        <v>10.56</v>
      </c>
      <c r="F62" s="167">
        <f t="shared" si="15"/>
        <v>0.14779763431324952</v>
      </c>
      <c r="G62" s="168">
        <v>0</v>
      </c>
      <c r="H62" s="169">
        <f t="shared" si="16"/>
        <v>0</v>
      </c>
    </row>
    <row r="63" spans="1:8" x14ac:dyDescent="0.2">
      <c r="A63" s="124">
        <f t="shared" si="10"/>
        <v>55</v>
      </c>
      <c r="B63" s="12" t="str">
        <f>+B62</f>
        <v>53E</v>
      </c>
      <c r="C63" s="17" t="s">
        <v>43</v>
      </c>
      <c r="D63" s="66">
        <v>175</v>
      </c>
      <c r="E63" s="182">
        <v>18.5</v>
      </c>
      <c r="F63" s="167">
        <f t="shared" si="15"/>
        <v>0.25892577981014353</v>
      </c>
      <c r="G63" s="168">
        <v>48</v>
      </c>
      <c r="H63" s="169">
        <f t="shared" si="16"/>
        <v>12.428437430886889</v>
      </c>
    </row>
    <row r="64" spans="1:8" x14ac:dyDescent="0.2">
      <c r="A64" s="124">
        <f t="shared" si="10"/>
        <v>56</v>
      </c>
      <c r="B64" s="12" t="str">
        <f>+B63</f>
        <v>53E</v>
      </c>
      <c r="C64" s="17" t="s">
        <v>43</v>
      </c>
      <c r="D64" s="66">
        <v>250</v>
      </c>
      <c r="E64" s="182">
        <v>24.5</v>
      </c>
      <c r="F64" s="167">
        <f t="shared" si="15"/>
        <v>0.34290170839721712</v>
      </c>
      <c r="G64" s="168">
        <v>0</v>
      </c>
      <c r="H64" s="169">
        <f t="shared" si="16"/>
        <v>0</v>
      </c>
    </row>
    <row r="65" spans="1:8" x14ac:dyDescent="0.2">
      <c r="A65" s="124">
        <f t="shared" si="10"/>
        <v>57</v>
      </c>
      <c r="B65" s="12" t="str">
        <f>+B64</f>
        <v>53E</v>
      </c>
      <c r="C65" s="17" t="s">
        <v>43</v>
      </c>
      <c r="D65" s="66">
        <v>400</v>
      </c>
      <c r="E65" s="182">
        <v>38.409999999999997</v>
      </c>
      <c r="F65" s="167">
        <f t="shared" si="15"/>
        <v>0.53758590283824936</v>
      </c>
      <c r="G65" s="168">
        <v>0</v>
      </c>
      <c r="H65" s="169">
        <f t="shared" si="16"/>
        <v>0</v>
      </c>
    </row>
    <row r="66" spans="1:8" x14ac:dyDescent="0.2">
      <c r="A66" s="124">
        <f t="shared" si="10"/>
        <v>58</v>
      </c>
      <c r="B66" s="12"/>
      <c r="C66" s="17"/>
      <c r="D66" s="66"/>
      <c r="E66" s="182"/>
      <c r="F66" s="167"/>
      <c r="G66" s="168"/>
      <c r="H66" s="170"/>
    </row>
    <row r="67" spans="1:8" x14ac:dyDescent="0.2">
      <c r="A67" s="124">
        <f t="shared" si="10"/>
        <v>59</v>
      </c>
      <c r="B67" s="12" t="str">
        <f>+B64</f>
        <v>53E</v>
      </c>
      <c r="C67" s="17" t="s">
        <v>33</v>
      </c>
      <c r="D67" s="195" t="s">
        <v>76</v>
      </c>
      <c r="E67" s="182">
        <v>1.98</v>
      </c>
      <c r="F67" s="167">
        <f t="shared" ref="F67:F76" si="17">E67*$H$168</f>
        <v>2.7712056433734283E-2</v>
      </c>
      <c r="G67" s="168">
        <v>2</v>
      </c>
      <c r="H67" s="169">
        <f t="shared" ref="H67:H77" si="18">F67*G67</f>
        <v>5.5424112867468567E-2</v>
      </c>
    </row>
    <row r="68" spans="1:8" x14ac:dyDescent="0.2">
      <c r="A68" s="124">
        <f t="shared" si="10"/>
        <v>60</v>
      </c>
      <c r="B68" s="12" t="str">
        <f>+B65</f>
        <v>53E</v>
      </c>
      <c r="C68" s="17" t="s">
        <v>33</v>
      </c>
      <c r="D68" s="67" t="s">
        <v>64</v>
      </c>
      <c r="E68" s="182">
        <v>4.32</v>
      </c>
      <c r="F68" s="167">
        <f t="shared" si="17"/>
        <v>6.0462668582692981E-2</v>
      </c>
      <c r="G68" s="168">
        <v>284567</v>
      </c>
      <c r="H68" s="169">
        <f t="shared" si="18"/>
        <v>17205.680210571194</v>
      </c>
    </row>
    <row r="69" spans="1:8" x14ac:dyDescent="0.2">
      <c r="A69" s="124">
        <f t="shared" si="10"/>
        <v>61</v>
      </c>
      <c r="B69" s="12" t="str">
        <f t="shared" ref="B69:B76" si="19">B68</f>
        <v>53E</v>
      </c>
      <c r="C69" s="17" t="s">
        <v>33</v>
      </c>
      <c r="D69" s="66" t="s">
        <v>34</v>
      </c>
      <c r="E69" s="182">
        <v>6.97</v>
      </c>
      <c r="F69" s="167">
        <f t="shared" si="17"/>
        <v>9.7552037041983813E-2</v>
      </c>
      <c r="G69" s="168">
        <v>16395</v>
      </c>
      <c r="H69" s="169">
        <f t="shared" si="18"/>
        <v>1599.3656473033245</v>
      </c>
    </row>
    <row r="70" spans="1:8" x14ac:dyDescent="0.2">
      <c r="A70" s="124">
        <f t="shared" si="10"/>
        <v>62</v>
      </c>
      <c r="B70" s="12" t="str">
        <f t="shared" si="19"/>
        <v>53E</v>
      </c>
      <c r="C70" s="17" t="s">
        <v>33</v>
      </c>
      <c r="D70" s="66" t="s">
        <v>35</v>
      </c>
      <c r="E70" s="182">
        <v>10.56</v>
      </c>
      <c r="F70" s="167">
        <f t="shared" si="17"/>
        <v>0.14779763431324952</v>
      </c>
      <c r="G70" s="168">
        <v>43801</v>
      </c>
      <c r="H70" s="169">
        <f t="shared" si="18"/>
        <v>6473.6841805546419</v>
      </c>
    </row>
    <row r="71" spans="1:8" x14ac:dyDescent="0.2">
      <c r="A71" s="124">
        <f t="shared" si="10"/>
        <v>63</v>
      </c>
      <c r="B71" s="12" t="str">
        <f t="shared" si="19"/>
        <v>53E</v>
      </c>
      <c r="C71" s="17" t="s">
        <v>33</v>
      </c>
      <c r="D71" s="66" t="s">
        <v>36</v>
      </c>
      <c r="E71" s="182">
        <v>10.56</v>
      </c>
      <c r="F71" s="167">
        <f t="shared" si="17"/>
        <v>0.14779763431324952</v>
      </c>
      <c r="G71" s="168">
        <v>23799</v>
      </c>
      <c r="H71" s="169">
        <f t="shared" si="18"/>
        <v>3517.4358990210253</v>
      </c>
    </row>
    <row r="72" spans="1:8" x14ac:dyDescent="0.2">
      <c r="A72" s="124">
        <f t="shared" si="10"/>
        <v>64</v>
      </c>
      <c r="B72" s="12" t="str">
        <f t="shared" si="19"/>
        <v>53E</v>
      </c>
      <c r="C72" s="17" t="s">
        <v>33</v>
      </c>
      <c r="D72" s="66" t="s">
        <v>37</v>
      </c>
      <c r="E72" s="182">
        <v>18.5</v>
      </c>
      <c r="F72" s="167">
        <f t="shared" si="17"/>
        <v>0.25892577981014353</v>
      </c>
      <c r="G72" s="168">
        <v>18581</v>
      </c>
      <c r="H72" s="169">
        <f t="shared" si="18"/>
        <v>4811.0999146522772</v>
      </c>
    </row>
    <row r="73" spans="1:8" x14ac:dyDescent="0.2">
      <c r="A73" s="124">
        <f t="shared" si="10"/>
        <v>65</v>
      </c>
      <c r="B73" s="12" t="str">
        <f t="shared" si="19"/>
        <v>53E</v>
      </c>
      <c r="C73" s="17" t="s">
        <v>33</v>
      </c>
      <c r="D73" s="66" t="s">
        <v>38</v>
      </c>
      <c r="E73" s="182">
        <v>18.5</v>
      </c>
      <c r="F73" s="167">
        <f t="shared" si="17"/>
        <v>0.25892577981014353</v>
      </c>
      <c r="G73" s="168">
        <v>6336</v>
      </c>
      <c r="H73" s="169">
        <f t="shared" si="18"/>
        <v>1640.5537408770695</v>
      </c>
    </row>
    <row r="74" spans="1:8" x14ac:dyDescent="0.2">
      <c r="A74" s="124">
        <f t="shared" ref="A74:A105" si="20">+A73+1</f>
        <v>66</v>
      </c>
      <c r="B74" s="12" t="str">
        <f t="shared" si="19"/>
        <v>53E</v>
      </c>
      <c r="C74" s="17" t="s">
        <v>33</v>
      </c>
      <c r="D74" s="66" t="s">
        <v>39</v>
      </c>
      <c r="E74" s="182">
        <v>18.5</v>
      </c>
      <c r="F74" s="167">
        <f t="shared" si="17"/>
        <v>0.25892577981014353</v>
      </c>
      <c r="G74" s="168">
        <v>1024</v>
      </c>
      <c r="H74" s="169">
        <f t="shared" si="18"/>
        <v>265.13999852558698</v>
      </c>
    </row>
    <row r="75" spans="1:8" x14ac:dyDescent="0.2">
      <c r="A75" s="124">
        <f t="shared" si="20"/>
        <v>67</v>
      </c>
      <c r="B75" s="12" t="str">
        <f t="shared" si="19"/>
        <v>53E</v>
      </c>
      <c r="C75" s="17" t="s">
        <v>33</v>
      </c>
      <c r="D75" s="66" t="s">
        <v>40</v>
      </c>
      <c r="E75" s="182">
        <v>24.5</v>
      </c>
      <c r="F75" s="167">
        <f t="shared" si="17"/>
        <v>0.34290170839721712</v>
      </c>
      <c r="G75" s="168">
        <v>312</v>
      </c>
      <c r="H75" s="169">
        <f t="shared" si="18"/>
        <v>106.98533301993174</v>
      </c>
    </row>
    <row r="76" spans="1:8" x14ac:dyDescent="0.2">
      <c r="A76" s="124">
        <f t="shared" si="20"/>
        <v>68</v>
      </c>
      <c r="B76" s="12" t="str">
        <f t="shared" si="19"/>
        <v>53E</v>
      </c>
      <c r="C76" s="17" t="s">
        <v>33</v>
      </c>
      <c r="D76" s="66" t="s">
        <v>41</v>
      </c>
      <c r="E76" s="182">
        <v>24.5</v>
      </c>
      <c r="F76" s="167">
        <f t="shared" si="17"/>
        <v>0.34290170839721712</v>
      </c>
      <c r="G76" s="168">
        <v>1899</v>
      </c>
      <c r="H76" s="169">
        <f t="shared" si="18"/>
        <v>651.17034424631527</v>
      </c>
    </row>
    <row r="77" spans="1:8" x14ac:dyDescent="0.2">
      <c r="A77" s="124">
        <f t="shared" si="20"/>
        <v>69</v>
      </c>
      <c r="B77" s="12" t="s">
        <v>128</v>
      </c>
      <c r="C77" s="17" t="s">
        <v>74</v>
      </c>
      <c r="D77" s="188" t="s">
        <v>75</v>
      </c>
      <c r="E77" s="131"/>
      <c r="F77" s="266">
        <f>'Rate Impacts'!$J$34</f>
        <v>3.738E-3</v>
      </c>
      <c r="G77" s="168">
        <v>2320955.870615927</v>
      </c>
      <c r="H77" s="169">
        <f t="shared" si="18"/>
        <v>8675.7330443623359</v>
      </c>
    </row>
    <row r="78" spans="1:8" x14ac:dyDescent="0.2">
      <c r="A78" s="124">
        <f t="shared" si="20"/>
        <v>70</v>
      </c>
      <c r="B78" s="19"/>
      <c r="C78" s="17"/>
      <c r="D78" s="66"/>
      <c r="E78" s="182"/>
      <c r="F78" s="167"/>
      <c r="G78" s="168"/>
      <c r="H78" s="170"/>
    </row>
    <row r="79" spans="1:8" ht="13.5" x14ac:dyDescent="0.35">
      <c r="A79" s="124">
        <f t="shared" si="20"/>
        <v>71</v>
      </c>
      <c r="B79" s="31" t="s">
        <v>123</v>
      </c>
      <c r="C79" s="10"/>
      <c r="D79" s="195"/>
      <c r="E79" s="182"/>
      <c r="F79" s="167"/>
      <c r="G79" s="168"/>
      <c r="H79" s="170"/>
    </row>
    <row r="80" spans="1:8" x14ac:dyDescent="0.2">
      <c r="A80" s="124">
        <f t="shared" si="20"/>
        <v>72</v>
      </c>
      <c r="B80" s="12" t="s">
        <v>44</v>
      </c>
      <c r="C80" s="17" t="s">
        <v>17</v>
      </c>
      <c r="D80" s="66">
        <v>50</v>
      </c>
      <c r="E80" s="182">
        <v>4.32</v>
      </c>
      <c r="F80" s="167">
        <f t="shared" ref="F80:F88" si="21">E80*$H$168</f>
        <v>6.0462668582692981E-2</v>
      </c>
      <c r="G80" s="168">
        <v>456</v>
      </c>
      <c r="H80" s="169">
        <f t="shared" ref="H80:H88" si="22">F80*G80</f>
        <v>27.570976873707998</v>
      </c>
    </row>
    <row r="81" spans="1:8" x14ac:dyDescent="0.2">
      <c r="A81" s="124">
        <f t="shared" si="20"/>
        <v>73</v>
      </c>
      <c r="B81" s="12" t="str">
        <f t="shared" ref="B81:B88" si="23">+B80</f>
        <v>54E</v>
      </c>
      <c r="C81" s="17" t="s">
        <v>17</v>
      </c>
      <c r="D81" s="66">
        <v>70</v>
      </c>
      <c r="E81" s="182">
        <v>6.97</v>
      </c>
      <c r="F81" s="167">
        <f t="shared" si="21"/>
        <v>9.7552037041983813E-2</v>
      </c>
      <c r="G81" s="168">
        <v>1843</v>
      </c>
      <c r="H81" s="169">
        <f t="shared" si="22"/>
        <v>179.78840426837615</v>
      </c>
    </row>
    <row r="82" spans="1:8" x14ac:dyDescent="0.2">
      <c r="A82" s="124">
        <f t="shared" si="20"/>
        <v>74</v>
      </c>
      <c r="B82" s="12" t="str">
        <f t="shared" si="23"/>
        <v>54E</v>
      </c>
      <c r="C82" s="17" t="s">
        <v>17</v>
      </c>
      <c r="D82" s="66">
        <v>100</v>
      </c>
      <c r="E82" s="182">
        <v>10.56</v>
      </c>
      <c r="F82" s="167">
        <f t="shared" si="21"/>
        <v>0.14779763431324952</v>
      </c>
      <c r="G82" s="168">
        <v>9599</v>
      </c>
      <c r="H82" s="169">
        <f t="shared" si="22"/>
        <v>1418.7094917728821</v>
      </c>
    </row>
    <row r="83" spans="1:8" x14ac:dyDescent="0.2">
      <c r="A83" s="124">
        <f t="shared" si="20"/>
        <v>75</v>
      </c>
      <c r="B83" s="12" t="str">
        <f t="shared" si="23"/>
        <v>54E</v>
      </c>
      <c r="C83" s="17" t="s">
        <v>17</v>
      </c>
      <c r="D83" s="66">
        <v>150</v>
      </c>
      <c r="E83" s="182">
        <v>10.56</v>
      </c>
      <c r="F83" s="167">
        <f t="shared" si="21"/>
        <v>0.14779763431324952</v>
      </c>
      <c r="G83" s="168">
        <v>3365</v>
      </c>
      <c r="H83" s="169">
        <f t="shared" si="22"/>
        <v>497.33903946408464</v>
      </c>
    </row>
    <row r="84" spans="1:8" x14ac:dyDescent="0.2">
      <c r="A84" s="124">
        <f t="shared" si="20"/>
        <v>76</v>
      </c>
      <c r="B84" s="12" t="str">
        <f t="shared" si="23"/>
        <v>54E</v>
      </c>
      <c r="C84" s="17" t="s">
        <v>17</v>
      </c>
      <c r="D84" s="66">
        <v>200</v>
      </c>
      <c r="E84" s="182">
        <v>18.5</v>
      </c>
      <c r="F84" s="167">
        <f t="shared" si="21"/>
        <v>0.25892577981014353</v>
      </c>
      <c r="G84" s="168">
        <v>3340</v>
      </c>
      <c r="H84" s="169">
        <f t="shared" si="22"/>
        <v>864.81210456587939</v>
      </c>
    </row>
    <row r="85" spans="1:8" x14ac:dyDescent="0.2">
      <c r="A85" s="124">
        <f t="shared" si="20"/>
        <v>77</v>
      </c>
      <c r="B85" s="12" t="str">
        <f t="shared" si="23"/>
        <v>54E</v>
      </c>
      <c r="C85" s="17" t="s">
        <v>17</v>
      </c>
      <c r="D85" s="66">
        <v>250</v>
      </c>
      <c r="E85" s="182">
        <v>24.5</v>
      </c>
      <c r="F85" s="167">
        <f t="shared" si="21"/>
        <v>0.34290170839721712</v>
      </c>
      <c r="G85" s="168">
        <v>3601</v>
      </c>
      <c r="H85" s="169">
        <f t="shared" si="22"/>
        <v>1234.7890519383789</v>
      </c>
    </row>
    <row r="86" spans="1:8" x14ac:dyDescent="0.2">
      <c r="A86" s="124">
        <f t="shared" si="20"/>
        <v>78</v>
      </c>
      <c r="B86" s="12" t="str">
        <f t="shared" si="23"/>
        <v>54E</v>
      </c>
      <c r="C86" s="17" t="s">
        <v>17</v>
      </c>
      <c r="D86" s="66">
        <v>310</v>
      </c>
      <c r="E86" s="182">
        <v>24.5</v>
      </c>
      <c r="F86" s="167">
        <f t="shared" si="21"/>
        <v>0.34290170839721712</v>
      </c>
      <c r="G86" s="168">
        <v>669</v>
      </c>
      <c r="H86" s="169">
        <f t="shared" si="22"/>
        <v>229.40124291773824</v>
      </c>
    </row>
    <row r="87" spans="1:8" x14ac:dyDescent="0.2">
      <c r="A87" s="124">
        <f t="shared" si="20"/>
        <v>79</v>
      </c>
      <c r="B87" s="12" t="str">
        <f t="shared" si="23"/>
        <v>54E</v>
      </c>
      <c r="C87" s="17" t="s">
        <v>17</v>
      </c>
      <c r="D87" s="66">
        <v>400</v>
      </c>
      <c r="E87" s="182">
        <v>38.409999999999997</v>
      </c>
      <c r="F87" s="167">
        <f t="shared" si="21"/>
        <v>0.53758590283824936</v>
      </c>
      <c r="G87" s="168">
        <v>6792</v>
      </c>
      <c r="H87" s="169">
        <f t="shared" si="22"/>
        <v>3651.2834520773895</v>
      </c>
    </row>
    <row r="88" spans="1:8" x14ac:dyDescent="0.2">
      <c r="A88" s="124">
        <f t="shared" si="20"/>
        <v>80</v>
      </c>
      <c r="B88" s="12" t="str">
        <f t="shared" si="23"/>
        <v>54E</v>
      </c>
      <c r="C88" s="17" t="s">
        <v>17</v>
      </c>
      <c r="D88" s="66">
        <v>1000</v>
      </c>
      <c r="E88" s="182">
        <v>96.03</v>
      </c>
      <c r="F88" s="167">
        <f t="shared" si="21"/>
        <v>1.3440347370361128</v>
      </c>
      <c r="G88" s="168">
        <v>0</v>
      </c>
      <c r="H88" s="169">
        <f t="shared" si="22"/>
        <v>0</v>
      </c>
    </row>
    <row r="89" spans="1:8" x14ac:dyDescent="0.2">
      <c r="A89" s="124">
        <f t="shared" si="20"/>
        <v>81</v>
      </c>
      <c r="B89" s="19"/>
      <c r="C89" s="17"/>
      <c r="D89" s="66"/>
      <c r="E89" s="182"/>
      <c r="F89" s="167"/>
      <c r="G89" s="168"/>
      <c r="H89" s="170"/>
    </row>
    <row r="90" spans="1:8" x14ac:dyDescent="0.2">
      <c r="A90" s="124">
        <f t="shared" si="20"/>
        <v>82</v>
      </c>
      <c r="B90" s="12" t="str">
        <f>+B87</f>
        <v>54E</v>
      </c>
      <c r="C90" s="17" t="s">
        <v>33</v>
      </c>
      <c r="D90" s="67" t="s">
        <v>77</v>
      </c>
      <c r="E90" s="182">
        <v>1.98</v>
      </c>
      <c r="F90" s="167">
        <f t="shared" ref="F90:F99" si="24">E90*$H$168</f>
        <v>2.7712056433734283E-2</v>
      </c>
      <c r="G90" s="168">
        <v>0</v>
      </c>
      <c r="H90" s="169">
        <f t="shared" ref="H90:H99" si="25">F90*G90</f>
        <v>0</v>
      </c>
    </row>
    <row r="91" spans="1:8" x14ac:dyDescent="0.2">
      <c r="A91" s="124">
        <f t="shared" si="20"/>
        <v>83</v>
      </c>
      <c r="B91" s="12" t="str">
        <f>+B88</f>
        <v>54E</v>
      </c>
      <c r="C91" s="17" t="s">
        <v>33</v>
      </c>
      <c r="D91" s="67" t="s">
        <v>78</v>
      </c>
      <c r="E91" s="182">
        <v>4.32</v>
      </c>
      <c r="F91" s="167">
        <f t="shared" si="24"/>
        <v>6.0462668582692981E-2</v>
      </c>
      <c r="G91" s="168">
        <v>34694</v>
      </c>
      <c r="H91" s="169">
        <f t="shared" si="25"/>
        <v>2097.6918238079502</v>
      </c>
    </row>
    <row r="92" spans="1:8" x14ac:dyDescent="0.2">
      <c r="A92" s="124">
        <f t="shared" si="20"/>
        <v>84</v>
      </c>
      <c r="B92" s="12" t="str">
        <f t="shared" ref="B92:B99" si="26">+B91</f>
        <v>54E</v>
      </c>
      <c r="C92" s="17" t="s">
        <v>33</v>
      </c>
      <c r="D92" s="66" t="s">
        <v>34</v>
      </c>
      <c r="E92" s="182">
        <v>6.97</v>
      </c>
      <c r="F92" s="167">
        <f t="shared" si="24"/>
        <v>9.7552037041983813E-2</v>
      </c>
      <c r="G92" s="168">
        <v>2923</v>
      </c>
      <c r="H92" s="169">
        <f t="shared" si="25"/>
        <v>285.1446042737187</v>
      </c>
    </row>
    <row r="93" spans="1:8" x14ac:dyDescent="0.2">
      <c r="A93" s="124">
        <f t="shared" si="20"/>
        <v>85</v>
      </c>
      <c r="B93" s="12" t="str">
        <f t="shared" si="26"/>
        <v>54E</v>
      </c>
      <c r="C93" s="17" t="s">
        <v>33</v>
      </c>
      <c r="D93" s="66" t="s">
        <v>35</v>
      </c>
      <c r="E93" s="182">
        <v>10.56</v>
      </c>
      <c r="F93" s="167">
        <f t="shared" si="24"/>
        <v>0.14779763431324952</v>
      </c>
      <c r="G93" s="168">
        <v>35164</v>
      </c>
      <c r="H93" s="169">
        <f t="shared" si="25"/>
        <v>5197.1560129911059</v>
      </c>
    </row>
    <row r="94" spans="1:8" x14ac:dyDescent="0.2">
      <c r="A94" s="124">
        <f t="shared" si="20"/>
        <v>86</v>
      </c>
      <c r="B94" s="12" t="str">
        <f t="shared" si="26"/>
        <v>54E</v>
      </c>
      <c r="C94" s="17" t="s">
        <v>33</v>
      </c>
      <c r="D94" s="66" t="s">
        <v>36</v>
      </c>
      <c r="E94" s="182">
        <v>10.56</v>
      </c>
      <c r="F94" s="167">
        <f t="shared" si="24"/>
        <v>0.14779763431324952</v>
      </c>
      <c r="G94" s="168">
        <v>12553</v>
      </c>
      <c r="H94" s="169">
        <f t="shared" si="25"/>
        <v>1855.3037035342213</v>
      </c>
    </row>
    <row r="95" spans="1:8" x14ac:dyDescent="0.2">
      <c r="A95" s="124">
        <f t="shared" si="20"/>
        <v>87</v>
      </c>
      <c r="B95" s="12" t="str">
        <f t="shared" si="26"/>
        <v>54E</v>
      </c>
      <c r="C95" s="17" t="s">
        <v>33</v>
      </c>
      <c r="D95" s="66" t="s">
        <v>37</v>
      </c>
      <c r="E95" s="182">
        <v>18.5</v>
      </c>
      <c r="F95" s="167">
        <f t="shared" si="24"/>
        <v>0.25892577981014353</v>
      </c>
      <c r="G95" s="168">
        <v>5036</v>
      </c>
      <c r="H95" s="169">
        <f t="shared" si="25"/>
        <v>1303.9502271238828</v>
      </c>
    </row>
    <row r="96" spans="1:8" x14ac:dyDescent="0.2">
      <c r="A96" s="124">
        <f t="shared" si="20"/>
        <v>88</v>
      </c>
      <c r="B96" s="12" t="str">
        <f t="shared" si="26"/>
        <v>54E</v>
      </c>
      <c r="C96" s="17" t="s">
        <v>33</v>
      </c>
      <c r="D96" s="66" t="s">
        <v>38</v>
      </c>
      <c r="E96" s="182">
        <v>18.5</v>
      </c>
      <c r="F96" s="167">
        <f t="shared" si="24"/>
        <v>0.25892577981014353</v>
      </c>
      <c r="G96" s="168">
        <v>2165</v>
      </c>
      <c r="H96" s="169">
        <f t="shared" si="25"/>
        <v>560.57431328896075</v>
      </c>
    </row>
    <row r="97" spans="1:8" x14ac:dyDescent="0.2">
      <c r="A97" s="124">
        <f t="shared" si="20"/>
        <v>89</v>
      </c>
      <c r="B97" s="12" t="str">
        <f t="shared" si="26"/>
        <v>54E</v>
      </c>
      <c r="C97" s="17" t="s">
        <v>33</v>
      </c>
      <c r="D97" s="66" t="s">
        <v>39</v>
      </c>
      <c r="E97" s="182">
        <v>18.5</v>
      </c>
      <c r="F97" s="167">
        <f t="shared" si="24"/>
        <v>0.25892577981014353</v>
      </c>
      <c r="G97" s="168">
        <v>468</v>
      </c>
      <c r="H97" s="169">
        <f t="shared" si="25"/>
        <v>121.17726495114717</v>
      </c>
    </row>
    <row r="98" spans="1:8" x14ac:dyDescent="0.2">
      <c r="A98" s="124">
        <f t="shared" si="20"/>
        <v>90</v>
      </c>
      <c r="B98" s="12" t="str">
        <f t="shared" si="26"/>
        <v>54E</v>
      </c>
      <c r="C98" s="17" t="s">
        <v>33</v>
      </c>
      <c r="D98" s="66" t="s">
        <v>40</v>
      </c>
      <c r="E98" s="182">
        <v>24.5</v>
      </c>
      <c r="F98" s="167">
        <f t="shared" si="24"/>
        <v>0.34290170839721712</v>
      </c>
      <c r="G98" s="168">
        <v>48</v>
      </c>
      <c r="H98" s="169">
        <f t="shared" si="25"/>
        <v>16.45928200306642</v>
      </c>
    </row>
    <row r="99" spans="1:8" x14ac:dyDescent="0.2">
      <c r="A99" s="124">
        <f t="shared" si="20"/>
        <v>91</v>
      </c>
      <c r="B99" s="12" t="str">
        <f t="shared" si="26"/>
        <v>54E</v>
      </c>
      <c r="C99" s="17" t="s">
        <v>33</v>
      </c>
      <c r="D99" s="66" t="s">
        <v>41</v>
      </c>
      <c r="E99" s="182">
        <v>24.5</v>
      </c>
      <c r="F99" s="167">
        <f t="shared" si="24"/>
        <v>0.34290170839721712</v>
      </c>
      <c r="G99" s="168">
        <v>0</v>
      </c>
      <c r="H99" s="169">
        <f t="shared" si="25"/>
        <v>0</v>
      </c>
    </row>
    <row r="100" spans="1:8" x14ac:dyDescent="0.2">
      <c r="A100" s="124">
        <f t="shared" si="20"/>
        <v>92</v>
      </c>
      <c r="B100" s="19"/>
      <c r="C100" s="17"/>
      <c r="D100" s="66"/>
      <c r="E100" s="182"/>
      <c r="F100" s="167"/>
      <c r="G100" s="168"/>
      <c r="H100" s="170"/>
    </row>
    <row r="101" spans="1:8" ht="13.5" x14ac:dyDescent="0.35">
      <c r="A101" s="124">
        <f t="shared" si="20"/>
        <v>93</v>
      </c>
      <c r="B101" s="31" t="s">
        <v>45</v>
      </c>
      <c r="C101" s="17"/>
      <c r="D101" s="66"/>
      <c r="E101" s="182"/>
      <c r="F101" s="167"/>
      <c r="G101" s="168"/>
      <c r="H101" s="170"/>
    </row>
    <row r="102" spans="1:8" x14ac:dyDescent="0.2">
      <c r="A102" s="124">
        <f t="shared" si="20"/>
        <v>94</v>
      </c>
      <c r="B102" s="12" t="s">
        <v>46</v>
      </c>
      <c r="C102" s="17" t="s">
        <v>17</v>
      </c>
      <c r="D102" s="66">
        <v>70</v>
      </c>
      <c r="E102" s="182">
        <v>14.06</v>
      </c>
      <c r="F102" s="167">
        <f t="shared" ref="F102:F107" si="27">E102*$H$168</f>
        <v>0.19678359265570911</v>
      </c>
      <c r="G102" s="168">
        <v>170</v>
      </c>
      <c r="H102" s="169">
        <f t="shared" ref="H102:H107" si="28">F102*G102</f>
        <v>33.45321075147055</v>
      </c>
    </row>
    <row r="103" spans="1:8" x14ac:dyDescent="0.2">
      <c r="A103" s="124">
        <f t="shared" si="20"/>
        <v>95</v>
      </c>
      <c r="B103" s="19" t="str">
        <f>+B102</f>
        <v>55E &amp; 56E</v>
      </c>
      <c r="C103" s="17" t="s">
        <v>17</v>
      </c>
      <c r="D103" s="66">
        <v>100</v>
      </c>
      <c r="E103" s="182">
        <v>17.170000000000002</v>
      </c>
      <c r="F103" s="167">
        <f t="shared" si="27"/>
        <v>0.24031111564000893</v>
      </c>
      <c r="G103" s="168">
        <v>42182</v>
      </c>
      <c r="H103" s="169">
        <f t="shared" si="28"/>
        <v>10136.803479926857</v>
      </c>
    </row>
    <row r="104" spans="1:8" x14ac:dyDescent="0.2">
      <c r="A104" s="124">
        <f t="shared" si="20"/>
        <v>96</v>
      </c>
      <c r="B104" s="19" t="str">
        <f>+B103</f>
        <v>55E &amp; 56E</v>
      </c>
      <c r="C104" s="17" t="s">
        <v>17</v>
      </c>
      <c r="D104" s="66">
        <v>150</v>
      </c>
      <c r="E104" s="182">
        <v>17.170000000000002</v>
      </c>
      <c r="F104" s="167">
        <f t="shared" si="27"/>
        <v>0.24031111564000893</v>
      </c>
      <c r="G104" s="168">
        <v>5620</v>
      </c>
      <c r="H104" s="169">
        <f t="shared" si="28"/>
        <v>1350.5484698968501</v>
      </c>
    </row>
    <row r="105" spans="1:8" x14ac:dyDescent="0.2">
      <c r="A105" s="124">
        <f t="shared" si="20"/>
        <v>97</v>
      </c>
      <c r="B105" s="19" t="str">
        <f>+B104</f>
        <v>55E &amp; 56E</v>
      </c>
      <c r="C105" s="17" t="s">
        <v>17</v>
      </c>
      <c r="D105" s="66">
        <v>200</v>
      </c>
      <c r="E105" s="182">
        <v>25.65</v>
      </c>
      <c r="F105" s="167">
        <f t="shared" si="27"/>
        <v>0.35899709470973956</v>
      </c>
      <c r="G105" s="168">
        <v>11814</v>
      </c>
      <c r="H105" s="169">
        <f t="shared" si="28"/>
        <v>4241.1916769008631</v>
      </c>
    </row>
    <row r="106" spans="1:8" x14ac:dyDescent="0.2">
      <c r="A106" s="124">
        <f t="shared" ref="A106:A137" si="29">+A105+1</f>
        <v>98</v>
      </c>
      <c r="B106" s="19" t="str">
        <f>+B105</f>
        <v>55E &amp; 56E</v>
      </c>
      <c r="C106" s="17" t="s">
        <v>17</v>
      </c>
      <c r="D106" s="66">
        <v>250</v>
      </c>
      <c r="E106" s="182">
        <v>31.78</v>
      </c>
      <c r="F106" s="167">
        <f t="shared" si="27"/>
        <v>0.44479250174953311</v>
      </c>
      <c r="G106" s="168">
        <v>1249</v>
      </c>
      <c r="H106" s="169">
        <f t="shared" si="28"/>
        <v>555.54583468516682</v>
      </c>
    </row>
    <row r="107" spans="1:8" x14ac:dyDescent="0.2">
      <c r="A107" s="124">
        <f t="shared" si="29"/>
        <v>99</v>
      </c>
      <c r="B107" s="19" t="str">
        <f>+B106</f>
        <v>55E &amp; 56E</v>
      </c>
      <c r="C107" s="17" t="s">
        <v>17</v>
      </c>
      <c r="D107" s="66">
        <v>400</v>
      </c>
      <c r="E107" s="182">
        <v>44.71</v>
      </c>
      <c r="F107" s="167">
        <f t="shared" si="27"/>
        <v>0.62576062785467668</v>
      </c>
      <c r="G107" s="168">
        <v>468</v>
      </c>
      <c r="H107" s="169">
        <f t="shared" si="28"/>
        <v>292.85597383598866</v>
      </c>
    </row>
    <row r="108" spans="1:8" x14ac:dyDescent="0.2">
      <c r="A108" s="124">
        <f t="shared" si="29"/>
        <v>100</v>
      </c>
      <c r="B108" s="19"/>
      <c r="C108" s="17"/>
      <c r="D108" s="66"/>
      <c r="E108" s="182"/>
      <c r="F108" s="167"/>
      <c r="G108" s="168"/>
      <c r="H108" s="170"/>
    </row>
    <row r="109" spans="1:8" x14ac:dyDescent="0.2">
      <c r="A109" s="124">
        <f t="shared" si="29"/>
        <v>101</v>
      </c>
      <c r="B109" s="19" t="str">
        <f>+B107</f>
        <v>55E &amp; 56E</v>
      </c>
      <c r="C109" s="17" t="s">
        <v>43</v>
      </c>
      <c r="D109" s="66">
        <v>250</v>
      </c>
      <c r="E109" s="182">
        <v>31.78</v>
      </c>
      <c r="F109" s="167">
        <f>E109*$H$168</f>
        <v>0.44479250174953311</v>
      </c>
      <c r="G109" s="168">
        <v>80</v>
      </c>
      <c r="H109" s="169">
        <f>F109*G109</f>
        <v>35.583400139962649</v>
      </c>
    </row>
    <row r="110" spans="1:8" x14ac:dyDescent="0.2">
      <c r="A110" s="124">
        <f t="shared" si="29"/>
        <v>102</v>
      </c>
      <c r="B110" s="19"/>
      <c r="C110" s="17"/>
      <c r="D110" s="66"/>
      <c r="E110" s="182"/>
      <c r="F110" s="167"/>
      <c r="G110" s="168"/>
      <c r="H110" s="170"/>
    </row>
    <row r="111" spans="1:8" x14ac:dyDescent="0.2">
      <c r="A111" s="124">
        <f t="shared" si="29"/>
        <v>103</v>
      </c>
      <c r="B111" s="19" t="s">
        <v>46</v>
      </c>
      <c r="C111" s="17" t="s">
        <v>33</v>
      </c>
      <c r="D111" s="195" t="s">
        <v>76</v>
      </c>
      <c r="E111" s="182">
        <v>8.4499999999999993</v>
      </c>
      <c r="F111" s="167">
        <f t="shared" ref="F111:F120" si="30">E111*$H$168</f>
        <v>0.11826609942679528</v>
      </c>
      <c r="G111" s="168">
        <v>0</v>
      </c>
      <c r="H111" s="169">
        <f t="shared" ref="H111:H120" si="31">F111*G111</f>
        <v>0</v>
      </c>
    </row>
    <row r="112" spans="1:8" x14ac:dyDescent="0.2">
      <c r="A112" s="124">
        <f t="shared" si="29"/>
        <v>104</v>
      </c>
      <c r="B112" s="19" t="s">
        <v>46</v>
      </c>
      <c r="C112" s="17" t="s">
        <v>33</v>
      </c>
      <c r="D112" s="67" t="s">
        <v>78</v>
      </c>
      <c r="E112" s="182">
        <v>10.68</v>
      </c>
      <c r="F112" s="167">
        <f t="shared" si="30"/>
        <v>0.14947715288499097</v>
      </c>
      <c r="G112" s="168">
        <v>9435</v>
      </c>
      <c r="H112" s="169">
        <f t="shared" si="31"/>
        <v>1410.3169374698898</v>
      </c>
    </row>
    <row r="113" spans="1:8" x14ac:dyDescent="0.2">
      <c r="A113" s="124">
        <f t="shared" si="29"/>
        <v>105</v>
      </c>
      <c r="B113" s="19" t="s">
        <v>46</v>
      </c>
      <c r="C113" s="17" t="s">
        <v>33</v>
      </c>
      <c r="D113" s="66" t="s">
        <v>34</v>
      </c>
      <c r="E113" s="182">
        <v>14.06</v>
      </c>
      <c r="F113" s="167">
        <f t="shared" si="30"/>
        <v>0.19678359265570911</v>
      </c>
      <c r="G113" s="168">
        <v>330</v>
      </c>
      <c r="H113" s="169">
        <f t="shared" si="31"/>
        <v>64.938585576384</v>
      </c>
    </row>
    <row r="114" spans="1:8" x14ac:dyDescent="0.2">
      <c r="A114" s="124">
        <f t="shared" si="29"/>
        <v>106</v>
      </c>
      <c r="B114" s="19" t="s">
        <v>46</v>
      </c>
      <c r="C114" s="17" t="s">
        <v>33</v>
      </c>
      <c r="D114" s="66" t="s">
        <v>35</v>
      </c>
      <c r="E114" s="182">
        <v>17.170000000000002</v>
      </c>
      <c r="F114" s="167">
        <f t="shared" si="30"/>
        <v>0.24031111564000893</v>
      </c>
      <c r="G114" s="168">
        <v>1968</v>
      </c>
      <c r="H114" s="169">
        <f t="shared" si="31"/>
        <v>472.93227557953759</v>
      </c>
    </row>
    <row r="115" spans="1:8" x14ac:dyDescent="0.2">
      <c r="A115" s="124">
        <f t="shared" si="29"/>
        <v>107</v>
      </c>
      <c r="B115" s="19" t="s">
        <v>46</v>
      </c>
      <c r="C115" s="17" t="s">
        <v>33</v>
      </c>
      <c r="D115" s="66" t="s">
        <v>36</v>
      </c>
      <c r="E115" s="182">
        <v>17.170000000000002</v>
      </c>
      <c r="F115" s="167">
        <f t="shared" si="30"/>
        <v>0.24031111564000893</v>
      </c>
      <c r="G115" s="168">
        <v>0</v>
      </c>
      <c r="H115" s="169">
        <f t="shared" si="31"/>
        <v>0</v>
      </c>
    </row>
    <row r="116" spans="1:8" x14ac:dyDescent="0.2">
      <c r="A116" s="124">
        <f t="shared" si="29"/>
        <v>108</v>
      </c>
      <c r="B116" s="19" t="s">
        <v>46</v>
      </c>
      <c r="C116" s="17" t="s">
        <v>33</v>
      </c>
      <c r="D116" s="66" t="s">
        <v>37</v>
      </c>
      <c r="E116" s="182">
        <v>25.65</v>
      </c>
      <c r="F116" s="167">
        <f t="shared" si="30"/>
        <v>0.35899709470973956</v>
      </c>
      <c r="G116" s="168">
        <v>0</v>
      </c>
      <c r="H116" s="169">
        <f t="shared" si="31"/>
        <v>0</v>
      </c>
    </row>
    <row r="117" spans="1:8" x14ac:dyDescent="0.2">
      <c r="A117" s="124">
        <f t="shared" si="29"/>
        <v>109</v>
      </c>
      <c r="B117" s="19" t="s">
        <v>46</v>
      </c>
      <c r="C117" s="17" t="s">
        <v>33</v>
      </c>
      <c r="D117" s="66" t="s">
        <v>38</v>
      </c>
      <c r="E117" s="182">
        <v>25.65</v>
      </c>
      <c r="F117" s="167">
        <f t="shared" si="30"/>
        <v>0.35899709470973956</v>
      </c>
      <c r="G117" s="168">
        <v>0</v>
      </c>
      <c r="H117" s="169">
        <f t="shared" si="31"/>
        <v>0</v>
      </c>
    </row>
    <row r="118" spans="1:8" x14ac:dyDescent="0.2">
      <c r="A118" s="124">
        <f t="shared" si="29"/>
        <v>110</v>
      </c>
      <c r="B118" s="19" t="s">
        <v>46</v>
      </c>
      <c r="C118" s="17" t="s">
        <v>33</v>
      </c>
      <c r="D118" s="66" t="s">
        <v>39</v>
      </c>
      <c r="E118" s="182">
        <v>25.65</v>
      </c>
      <c r="F118" s="167">
        <f t="shared" si="30"/>
        <v>0.35899709470973956</v>
      </c>
      <c r="G118" s="168">
        <v>0</v>
      </c>
      <c r="H118" s="169">
        <f t="shared" si="31"/>
        <v>0</v>
      </c>
    </row>
    <row r="119" spans="1:8" x14ac:dyDescent="0.2">
      <c r="A119" s="124">
        <f t="shared" si="29"/>
        <v>111</v>
      </c>
      <c r="B119" s="19" t="s">
        <v>46</v>
      </c>
      <c r="C119" s="17" t="s">
        <v>33</v>
      </c>
      <c r="D119" s="66" t="s">
        <v>40</v>
      </c>
      <c r="E119" s="182">
        <v>31.78</v>
      </c>
      <c r="F119" s="167">
        <f t="shared" si="30"/>
        <v>0.44479250174953311</v>
      </c>
      <c r="G119" s="168">
        <v>0</v>
      </c>
      <c r="H119" s="169">
        <f t="shared" si="31"/>
        <v>0</v>
      </c>
    </row>
    <row r="120" spans="1:8" x14ac:dyDescent="0.2">
      <c r="A120" s="124">
        <f t="shared" si="29"/>
        <v>112</v>
      </c>
      <c r="B120" s="19" t="s">
        <v>46</v>
      </c>
      <c r="C120" s="17" t="s">
        <v>33</v>
      </c>
      <c r="D120" s="66" t="s">
        <v>41</v>
      </c>
      <c r="E120" s="182">
        <v>31.78</v>
      </c>
      <c r="F120" s="167">
        <f t="shared" si="30"/>
        <v>0.44479250174953311</v>
      </c>
      <c r="G120" s="168">
        <v>0</v>
      </c>
      <c r="H120" s="169">
        <f t="shared" si="31"/>
        <v>0</v>
      </c>
    </row>
    <row r="121" spans="1:8" x14ac:dyDescent="0.2">
      <c r="A121" s="124">
        <f t="shared" si="29"/>
        <v>113</v>
      </c>
      <c r="B121" s="19"/>
      <c r="C121" s="17"/>
      <c r="D121" s="66"/>
      <c r="E121" s="182"/>
      <c r="F121" s="167"/>
      <c r="G121" s="168"/>
      <c r="H121" s="170"/>
    </row>
    <row r="122" spans="1:8" ht="13.5" x14ac:dyDescent="0.35">
      <c r="A122" s="124">
        <f t="shared" si="29"/>
        <v>114</v>
      </c>
      <c r="B122" s="31" t="s">
        <v>57</v>
      </c>
      <c r="C122" s="17"/>
      <c r="D122" s="66"/>
      <c r="E122" s="182"/>
      <c r="F122" s="167"/>
      <c r="G122" s="168"/>
      <c r="H122" s="170"/>
    </row>
    <row r="123" spans="1:8" x14ac:dyDescent="0.2">
      <c r="A123" s="124">
        <f t="shared" si="29"/>
        <v>115</v>
      </c>
      <c r="B123" s="19" t="s">
        <v>58</v>
      </c>
      <c r="C123" s="17" t="s">
        <v>59</v>
      </c>
      <c r="D123" s="68"/>
      <c r="E123" s="133">
        <v>6.8820000000000006E-2</v>
      </c>
      <c r="F123" s="171">
        <f>E123*$H$168</f>
        <v>9.6320390089373411E-4</v>
      </c>
      <c r="G123" s="168">
        <v>5488824.0099999998</v>
      </c>
      <c r="H123" s="169">
        <f>F123*G123</f>
        <v>5286.8566977511882</v>
      </c>
    </row>
    <row r="124" spans="1:8" x14ac:dyDescent="0.2">
      <c r="A124" s="124">
        <f t="shared" si="29"/>
        <v>116</v>
      </c>
      <c r="B124" s="19"/>
      <c r="C124" s="17"/>
      <c r="D124" s="66"/>
      <c r="E124" s="182"/>
      <c r="F124" s="167"/>
      <c r="G124" s="168"/>
      <c r="H124" s="170"/>
    </row>
    <row r="125" spans="1:8" ht="13.5" x14ac:dyDescent="0.35">
      <c r="A125" s="124">
        <f t="shared" si="29"/>
        <v>117</v>
      </c>
      <c r="B125" s="31" t="s">
        <v>47</v>
      </c>
      <c r="C125" s="17"/>
      <c r="D125" s="66"/>
      <c r="E125" s="182"/>
      <c r="F125" s="167"/>
      <c r="G125" s="168"/>
      <c r="H125" s="170"/>
    </row>
    <row r="126" spans="1:8" x14ac:dyDescent="0.2">
      <c r="A126" s="124">
        <f t="shared" si="29"/>
        <v>118</v>
      </c>
      <c r="B126" s="12" t="s">
        <v>48</v>
      </c>
      <c r="C126" s="17" t="s">
        <v>17</v>
      </c>
      <c r="D126" s="66">
        <v>70</v>
      </c>
      <c r="E126" s="182">
        <v>14.06</v>
      </c>
      <c r="F126" s="167">
        <f t="shared" ref="F126:F131" si="32">E126*$H$168</f>
        <v>0.19678359265570911</v>
      </c>
      <c r="G126" s="168">
        <v>614</v>
      </c>
      <c r="H126" s="169">
        <f t="shared" ref="H126:H162" si="33">F126*G126</f>
        <v>120.82512589060539</v>
      </c>
    </row>
    <row r="127" spans="1:8" x14ac:dyDescent="0.2">
      <c r="A127" s="124">
        <f t="shared" si="29"/>
        <v>119</v>
      </c>
      <c r="B127" s="19" t="str">
        <f>+B126</f>
        <v>58E &amp; 59E - Directional</v>
      </c>
      <c r="C127" s="17" t="s">
        <v>17</v>
      </c>
      <c r="D127" s="66">
        <v>100</v>
      </c>
      <c r="E127" s="182">
        <v>17.170000000000002</v>
      </c>
      <c r="F127" s="167">
        <f t="shared" si="32"/>
        <v>0.24031111564000893</v>
      </c>
      <c r="G127" s="168">
        <v>121</v>
      </c>
      <c r="H127" s="169">
        <f t="shared" si="33"/>
        <v>29.07764499244108</v>
      </c>
    </row>
    <row r="128" spans="1:8" x14ac:dyDescent="0.2">
      <c r="A128" s="124">
        <f t="shared" si="29"/>
        <v>120</v>
      </c>
      <c r="B128" s="19" t="str">
        <f>+B127</f>
        <v>58E &amp; 59E - Directional</v>
      </c>
      <c r="C128" s="17" t="s">
        <v>17</v>
      </c>
      <c r="D128" s="66">
        <v>150</v>
      </c>
      <c r="E128" s="182">
        <v>17.170000000000002</v>
      </c>
      <c r="F128" s="167">
        <f t="shared" si="32"/>
        <v>0.24031111564000893</v>
      </c>
      <c r="G128" s="168">
        <v>1701</v>
      </c>
      <c r="H128" s="169">
        <f t="shared" si="33"/>
        <v>408.76920770365518</v>
      </c>
    </row>
    <row r="129" spans="1:8" x14ac:dyDescent="0.2">
      <c r="A129" s="124">
        <f t="shared" si="29"/>
        <v>121</v>
      </c>
      <c r="B129" s="19" t="str">
        <f>+B128</f>
        <v>58E &amp; 59E - Directional</v>
      </c>
      <c r="C129" s="17" t="s">
        <v>17</v>
      </c>
      <c r="D129" s="66">
        <v>200</v>
      </c>
      <c r="E129" s="182">
        <v>25.65</v>
      </c>
      <c r="F129" s="167">
        <f t="shared" si="32"/>
        <v>0.35899709470973956</v>
      </c>
      <c r="G129" s="168">
        <v>3072</v>
      </c>
      <c r="H129" s="169">
        <f t="shared" si="33"/>
        <v>1102.8390749483199</v>
      </c>
    </row>
    <row r="130" spans="1:8" x14ac:dyDescent="0.2">
      <c r="A130" s="124">
        <f t="shared" si="29"/>
        <v>122</v>
      </c>
      <c r="B130" s="19" t="str">
        <f>+B129</f>
        <v>58E &amp; 59E - Directional</v>
      </c>
      <c r="C130" s="17" t="s">
        <v>17</v>
      </c>
      <c r="D130" s="66">
        <v>250</v>
      </c>
      <c r="E130" s="182">
        <v>31.78</v>
      </c>
      <c r="F130" s="167">
        <f t="shared" si="32"/>
        <v>0.44479250174953311</v>
      </c>
      <c r="G130" s="168">
        <v>459</v>
      </c>
      <c r="H130" s="169">
        <f t="shared" si="33"/>
        <v>204.15975830303569</v>
      </c>
    </row>
    <row r="131" spans="1:8" x14ac:dyDescent="0.2">
      <c r="A131" s="124">
        <f t="shared" si="29"/>
        <v>123</v>
      </c>
      <c r="B131" s="19" t="str">
        <f>+B130</f>
        <v>58E &amp; 59E - Directional</v>
      </c>
      <c r="C131" s="17" t="s">
        <v>17</v>
      </c>
      <c r="D131" s="66">
        <v>400</v>
      </c>
      <c r="E131" s="182">
        <v>44.71</v>
      </c>
      <c r="F131" s="167">
        <f t="shared" si="32"/>
        <v>0.62576062785467668</v>
      </c>
      <c r="G131" s="168">
        <v>4009</v>
      </c>
      <c r="H131" s="169">
        <f t="shared" si="33"/>
        <v>2508.6743570693989</v>
      </c>
    </row>
    <row r="132" spans="1:8" x14ac:dyDescent="0.2">
      <c r="A132" s="124">
        <f t="shared" si="29"/>
        <v>124</v>
      </c>
      <c r="B132" s="19"/>
      <c r="C132" s="17"/>
      <c r="D132" s="66"/>
      <c r="E132" s="182"/>
      <c r="F132" s="167"/>
      <c r="G132" s="168"/>
      <c r="H132" s="170"/>
    </row>
    <row r="133" spans="1:8" x14ac:dyDescent="0.2">
      <c r="A133" s="124">
        <f t="shared" si="29"/>
        <v>125</v>
      </c>
      <c r="B133" s="12" t="s">
        <v>49</v>
      </c>
      <c r="C133" s="17" t="s">
        <v>17</v>
      </c>
      <c r="D133" s="66">
        <v>100</v>
      </c>
      <c r="E133" s="182">
        <v>17.170000000000002</v>
      </c>
      <c r="F133" s="167">
        <f>E133*$H$168</f>
        <v>0.24031111564000893</v>
      </c>
      <c r="G133" s="168">
        <v>0</v>
      </c>
      <c r="H133" s="169">
        <f t="shared" si="33"/>
        <v>0</v>
      </c>
    </row>
    <row r="134" spans="1:8" x14ac:dyDescent="0.2">
      <c r="A134" s="124">
        <f t="shared" si="29"/>
        <v>126</v>
      </c>
      <c r="B134" s="19" t="str">
        <f>B133</f>
        <v>58E &amp; 59E - Horizontal</v>
      </c>
      <c r="C134" s="17" t="s">
        <v>17</v>
      </c>
      <c r="D134" s="66">
        <v>150</v>
      </c>
      <c r="E134" s="182">
        <v>17.170000000000002</v>
      </c>
      <c r="F134" s="167">
        <f>E134*$H$168</f>
        <v>0.24031111564000893</v>
      </c>
      <c r="G134" s="168">
        <v>166</v>
      </c>
      <c r="H134" s="169">
        <f t="shared" si="33"/>
        <v>39.891645196241484</v>
      </c>
    </row>
    <row r="135" spans="1:8" x14ac:dyDescent="0.2">
      <c r="A135" s="124">
        <f t="shared" si="29"/>
        <v>127</v>
      </c>
      <c r="B135" s="19" t="str">
        <f>B134</f>
        <v>58E &amp; 59E - Horizontal</v>
      </c>
      <c r="C135" s="17" t="s">
        <v>17</v>
      </c>
      <c r="D135" s="66">
        <v>200</v>
      </c>
      <c r="E135" s="182">
        <v>25.65</v>
      </c>
      <c r="F135" s="167">
        <f>E135*$H$168</f>
        <v>0.35899709470973956</v>
      </c>
      <c r="G135" s="168">
        <v>99</v>
      </c>
      <c r="H135" s="169">
        <f t="shared" si="33"/>
        <v>35.540712376264217</v>
      </c>
    </row>
    <row r="136" spans="1:8" x14ac:dyDescent="0.2">
      <c r="A136" s="124">
        <f t="shared" si="29"/>
        <v>128</v>
      </c>
      <c r="B136" s="19" t="str">
        <f>B135</f>
        <v>58E &amp; 59E - Horizontal</v>
      </c>
      <c r="C136" s="17" t="s">
        <v>17</v>
      </c>
      <c r="D136" s="66">
        <v>250</v>
      </c>
      <c r="E136" s="182">
        <v>31.78</v>
      </c>
      <c r="F136" s="167">
        <f>E136*$H$168</f>
        <v>0.44479250174953311</v>
      </c>
      <c r="G136" s="168">
        <v>381</v>
      </c>
      <c r="H136" s="169">
        <f t="shared" si="33"/>
        <v>169.46594316657212</v>
      </c>
    </row>
    <row r="137" spans="1:8" x14ac:dyDescent="0.2">
      <c r="A137" s="124">
        <f t="shared" si="29"/>
        <v>129</v>
      </c>
      <c r="B137" s="19" t="str">
        <f>B136</f>
        <v>58E &amp; 59E - Horizontal</v>
      </c>
      <c r="C137" s="17" t="s">
        <v>17</v>
      </c>
      <c r="D137" s="66">
        <v>400</v>
      </c>
      <c r="E137" s="182">
        <v>44.71</v>
      </c>
      <c r="F137" s="167">
        <f>E137*$H$168</f>
        <v>0.62576062785467668</v>
      </c>
      <c r="G137" s="168">
        <v>510</v>
      </c>
      <c r="H137" s="169">
        <f t="shared" si="33"/>
        <v>319.13792020588511</v>
      </c>
    </row>
    <row r="138" spans="1:8" x14ac:dyDescent="0.2">
      <c r="A138" s="124">
        <f t="shared" ref="A138:A170" si="34">+A137+1</f>
        <v>130</v>
      </c>
      <c r="B138" s="19"/>
      <c r="C138" s="17"/>
      <c r="D138" s="66"/>
      <c r="E138" s="182"/>
      <c r="F138" s="167"/>
      <c r="G138" s="168"/>
      <c r="H138" s="170"/>
    </row>
    <row r="139" spans="1:8" x14ac:dyDescent="0.2">
      <c r="A139" s="124">
        <f t="shared" si="34"/>
        <v>131</v>
      </c>
      <c r="B139" s="19" t="str">
        <f>B127</f>
        <v>58E &amp; 59E - Directional</v>
      </c>
      <c r="C139" s="17" t="s">
        <v>43</v>
      </c>
      <c r="D139" s="66">
        <v>175</v>
      </c>
      <c r="E139" s="182">
        <v>25.65</v>
      </c>
      <c r="F139" s="167">
        <f>E139*$H$168</f>
        <v>0.35899709470973956</v>
      </c>
      <c r="G139" s="168">
        <v>36</v>
      </c>
      <c r="H139" s="169">
        <f t="shared" si="33"/>
        <v>12.923895409550624</v>
      </c>
    </row>
    <row r="140" spans="1:8" x14ac:dyDescent="0.2">
      <c r="A140" s="124">
        <f t="shared" si="34"/>
        <v>132</v>
      </c>
      <c r="B140" s="19" t="str">
        <f>B139</f>
        <v>58E &amp; 59E - Directional</v>
      </c>
      <c r="C140" s="17" t="s">
        <v>43</v>
      </c>
      <c r="D140" s="66">
        <v>250</v>
      </c>
      <c r="E140" s="182">
        <v>31.78</v>
      </c>
      <c r="F140" s="167">
        <f>E140*$H$168</f>
        <v>0.44479250174953311</v>
      </c>
      <c r="G140" s="168">
        <v>200</v>
      </c>
      <c r="H140" s="169">
        <f t="shared" si="33"/>
        <v>88.958500349906615</v>
      </c>
    </row>
    <row r="141" spans="1:8" x14ac:dyDescent="0.2">
      <c r="A141" s="124">
        <f t="shared" si="34"/>
        <v>133</v>
      </c>
      <c r="B141" s="19" t="str">
        <f>B140</f>
        <v>58E &amp; 59E - Directional</v>
      </c>
      <c r="C141" s="17" t="s">
        <v>43</v>
      </c>
      <c r="D141" s="66">
        <v>400</v>
      </c>
      <c r="E141" s="182">
        <v>44.71</v>
      </c>
      <c r="F141" s="167">
        <f>E141*$H$168</f>
        <v>0.62576062785467668</v>
      </c>
      <c r="G141" s="168">
        <v>924</v>
      </c>
      <c r="H141" s="169">
        <f t="shared" si="33"/>
        <v>578.20282013772123</v>
      </c>
    </row>
    <row r="142" spans="1:8" x14ac:dyDescent="0.2">
      <c r="A142" s="124">
        <f t="shared" si="34"/>
        <v>134</v>
      </c>
      <c r="B142" s="19" t="str">
        <f>B141</f>
        <v>58E &amp; 59E - Directional</v>
      </c>
      <c r="C142" s="17" t="s">
        <v>43</v>
      </c>
      <c r="D142" s="66">
        <v>1000</v>
      </c>
      <c r="E142" s="182">
        <v>104.12</v>
      </c>
      <c r="F142" s="167">
        <f>E142*$H$168</f>
        <v>1.4572622807476836</v>
      </c>
      <c r="G142" s="168">
        <v>1383</v>
      </c>
      <c r="H142" s="169">
        <f t="shared" si="33"/>
        <v>2015.3937342740464</v>
      </c>
    </row>
    <row r="143" spans="1:8" x14ac:dyDescent="0.2">
      <c r="A143" s="124">
        <f t="shared" si="34"/>
        <v>135</v>
      </c>
      <c r="B143" s="19"/>
      <c r="C143" s="17"/>
      <c r="D143" s="66"/>
      <c r="E143" s="182"/>
      <c r="F143" s="167"/>
      <c r="G143" s="168"/>
      <c r="H143" s="170"/>
    </row>
    <row r="144" spans="1:8" x14ac:dyDescent="0.2">
      <c r="A144" s="124">
        <f t="shared" si="34"/>
        <v>136</v>
      </c>
      <c r="B144" s="19" t="str">
        <f>B133</f>
        <v>58E &amp; 59E - Horizontal</v>
      </c>
      <c r="C144" s="17" t="s">
        <v>43</v>
      </c>
      <c r="D144" s="66">
        <v>250</v>
      </c>
      <c r="E144" s="182">
        <v>31.78</v>
      </c>
      <c r="F144" s="167">
        <f>E144*$H$168</f>
        <v>0.44479250174953311</v>
      </c>
      <c r="G144" s="168">
        <v>100</v>
      </c>
      <c r="H144" s="169">
        <f t="shared" si="33"/>
        <v>44.479250174953307</v>
      </c>
    </row>
    <row r="145" spans="1:8" x14ac:dyDescent="0.2">
      <c r="A145" s="124">
        <f t="shared" si="34"/>
        <v>137</v>
      </c>
      <c r="B145" s="19" t="str">
        <f>B144</f>
        <v>58E &amp; 59E - Horizontal</v>
      </c>
      <c r="C145" s="17" t="s">
        <v>43</v>
      </c>
      <c r="D145" s="66">
        <v>400</v>
      </c>
      <c r="E145" s="182">
        <v>44.71</v>
      </c>
      <c r="F145" s="167">
        <f>E145*$H$168</f>
        <v>0.62576062785467668</v>
      </c>
      <c r="G145" s="168">
        <v>468</v>
      </c>
      <c r="H145" s="169">
        <f t="shared" si="33"/>
        <v>292.85597383598866</v>
      </c>
    </row>
    <row r="146" spans="1:8" x14ac:dyDescent="0.2">
      <c r="A146" s="124">
        <f t="shared" si="34"/>
        <v>138</v>
      </c>
      <c r="B146" s="19"/>
      <c r="C146" s="17"/>
      <c r="D146" s="66"/>
      <c r="E146" s="182"/>
      <c r="F146" s="167"/>
      <c r="G146" s="168"/>
      <c r="H146" s="170"/>
    </row>
    <row r="147" spans="1:8" x14ac:dyDescent="0.2">
      <c r="A147" s="124">
        <f t="shared" si="34"/>
        <v>139</v>
      </c>
      <c r="B147" s="19" t="s">
        <v>50</v>
      </c>
      <c r="C147" s="17" t="s">
        <v>33</v>
      </c>
      <c r="D147" s="195" t="s">
        <v>76</v>
      </c>
      <c r="E147" s="182">
        <v>8.4499999999999993</v>
      </c>
      <c r="F147" s="167">
        <f t="shared" ref="F147:F162" si="35">E147*$H$168</f>
        <v>0.11826609942679528</v>
      </c>
      <c r="G147" s="168">
        <v>0</v>
      </c>
      <c r="H147" s="169">
        <f t="shared" si="33"/>
        <v>0</v>
      </c>
    </row>
    <row r="148" spans="1:8" x14ac:dyDescent="0.2">
      <c r="A148" s="124">
        <f t="shared" si="34"/>
        <v>140</v>
      </c>
      <c r="B148" s="19" t="s">
        <v>50</v>
      </c>
      <c r="C148" s="17" t="s">
        <v>33</v>
      </c>
      <c r="D148" s="67" t="s">
        <v>64</v>
      </c>
      <c r="E148" s="182">
        <v>10.68</v>
      </c>
      <c r="F148" s="167">
        <f t="shared" si="35"/>
        <v>0.14947715288499097</v>
      </c>
      <c r="G148" s="168">
        <v>50</v>
      </c>
      <c r="H148" s="169">
        <f t="shared" si="33"/>
        <v>7.4738576442495486</v>
      </c>
    </row>
    <row r="149" spans="1:8" x14ac:dyDescent="0.2">
      <c r="A149" s="124">
        <f t="shared" si="34"/>
        <v>141</v>
      </c>
      <c r="B149" s="19" t="str">
        <f t="shared" ref="B149:B162" si="36">B148</f>
        <v>58E &amp; 59E</v>
      </c>
      <c r="C149" s="17" t="s">
        <v>33</v>
      </c>
      <c r="D149" s="66" t="s">
        <v>34</v>
      </c>
      <c r="E149" s="182">
        <v>14.06</v>
      </c>
      <c r="F149" s="167">
        <f t="shared" si="35"/>
        <v>0.19678359265570911</v>
      </c>
      <c r="G149" s="168">
        <v>837</v>
      </c>
      <c r="H149" s="169">
        <f t="shared" si="33"/>
        <v>164.70786705282853</v>
      </c>
    </row>
    <row r="150" spans="1:8" x14ac:dyDescent="0.2">
      <c r="A150" s="124">
        <f t="shared" si="34"/>
        <v>142</v>
      </c>
      <c r="B150" s="19" t="str">
        <f t="shared" si="36"/>
        <v>58E &amp; 59E</v>
      </c>
      <c r="C150" s="17" t="s">
        <v>33</v>
      </c>
      <c r="D150" s="66" t="s">
        <v>35</v>
      </c>
      <c r="E150" s="182">
        <v>17.170000000000002</v>
      </c>
      <c r="F150" s="167">
        <f t="shared" si="35"/>
        <v>0.24031111564000893</v>
      </c>
      <c r="G150" s="168">
        <v>194</v>
      </c>
      <c r="H150" s="169">
        <f t="shared" si="33"/>
        <v>46.620356434161735</v>
      </c>
    </row>
    <row r="151" spans="1:8" x14ac:dyDescent="0.2">
      <c r="A151" s="124">
        <f t="shared" si="34"/>
        <v>143</v>
      </c>
      <c r="B151" s="19" t="str">
        <f t="shared" si="36"/>
        <v>58E &amp; 59E</v>
      </c>
      <c r="C151" s="17" t="s">
        <v>33</v>
      </c>
      <c r="D151" s="66" t="s">
        <v>36</v>
      </c>
      <c r="E151" s="182">
        <v>17.170000000000002</v>
      </c>
      <c r="F151" s="167">
        <f t="shared" si="35"/>
        <v>0.24031111564000893</v>
      </c>
      <c r="G151" s="168">
        <v>1675</v>
      </c>
      <c r="H151" s="169">
        <f t="shared" si="33"/>
        <v>402.52111869701497</v>
      </c>
    </row>
    <row r="152" spans="1:8" x14ac:dyDescent="0.2">
      <c r="A152" s="124">
        <f t="shared" si="34"/>
        <v>144</v>
      </c>
      <c r="B152" s="19" t="str">
        <f t="shared" si="36"/>
        <v>58E &amp; 59E</v>
      </c>
      <c r="C152" s="17" t="s">
        <v>33</v>
      </c>
      <c r="D152" s="66" t="s">
        <v>37</v>
      </c>
      <c r="E152" s="182">
        <v>25.65</v>
      </c>
      <c r="F152" s="167">
        <f t="shared" si="35"/>
        <v>0.35899709470973956</v>
      </c>
      <c r="G152" s="168">
        <v>320</v>
      </c>
      <c r="H152" s="169">
        <f t="shared" si="33"/>
        <v>114.87907030711666</v>
      </c>
    </row>
    <row r="153" spans="1:8" x14ac:dyDescent="0.2">
      <c r="A153" s="124">
        <f t="shared" si="34"/>
        <v>145</v>
      </c>
      <c r="B153" s="19" t="str">
        <f t="shared" si="36"/>
        <v>58E &amp; 59E</v>
      </c>
      <c r="C153" s="17" t="s">
        <v>33</v>
      </c>
      <c r="D153" s="66" t="s">
        <v>38</v>
      </c>
      <c r="E153" s="182">
        <v>25.65</v>
      </c>
      <c r="F153" s="167">
        <f t="shared" si="35"/>
        <v>0.35899709470973956</v>
      </c>
      <c r="G153" s="168">
        <v>0</v>
      </c>
      <c r="H153" s="169">
        <f t="shared" si="33"/>
        <v>0</v>
      </c>
    </row>
    <row r="154" spans="1:8" x14ac:dyDescent="0.2">
      <c r="A154" s="124">
        <f t="shared" si="34"/>
        <v>146</v>
      </c>
      <c r="B154" s="19" t="str">
        <f t="shared" si="36"/>
        <v>58E &amp; 59E</v>
      </c>
      <c r="C154" s="17" t="s">
        <v>33</v>
      </c>
      <c r="D154" s="66" t="s">
        <v>39</v>
      </c>
      <c r="E154" s="182">
        <v>25.65</v>
      </c>
      <c r="F154" s="167">
        <f t="shared" si="35"/>
        <v>0.35899709470973956</v>
      </c>
      <c r="G154" s="168">
        <v>180</v>
      </c>
      <c r="H154" s="169">
        <f t="shared" si="33"/>
        <v>64.619477047753122</v>
      </c>
    </row>
    <row r="155" spans="1:8" x14ac:dyDescent="0.2">
      <c r="A155" s="124">
        <f t="shared" si="34"/>
        <v>147</v>
      </c>
      <c r="B155" s="19" t="str">
        <f t="shared" si="36"/>
        <v>58E &amp; 59E</v>
      </c>
      <c r="C155" s="17" t="s">
        <v>33</v>
      </c>
      <c r="D155" s="66" t="s">
        <v>40</v>
      </c>
      <c r="E155" s="182">
        <v>31.78</v>
      </c>
      <c r="F155" s="167">
        <f t="shared" si="35"/>
        <v>0.44479250174953311</v>
      </c>
      <c r="G155" s="168">
        <v>263</v>
      </c>
      <c r="H155" s="169">
        <f t="shared" si="33"/>
        <v>116.9804279601272</v>
      </c>
    </row>
    <row r="156" spans="1:8" x14ac:dyDescent="0.2">
      <c r="A156" s="124">
        <f t="shared" si="34"/>
        <v>148</v>
      </c>
      <c r="B156" s="19" t="str">
        <f t="shared" si="36"/>
        <v>58E &amp; 59E</v>
      </c>
      <c r="C156" s="17" t="s">
        <v>33</v>
      </c>
      <c r="D156" s="66" t="s">
        <v>41</v>
      </c>
      <c r="E156" s="182">
        <v>31.78</v>
      </c>
      <c r="F156" s="167">
        <f t="shared" si="35"/>
        <v>0.44479250174953311</v>
      </c>
      <c r="G156" s="168">
        <v>0</v>
      </c>
      <c r="H156" s="169">
        <f t="shared" si="33"/>
        <v>0</v>
      </c>
    </row>
    <row r="157" spans="1:8" x14ac:dyDescent="0.2">
      <c r="A157" s="124">
        <f t="shared" si="34"/>
        <v>149</v>
      </c>
      <c r="B157" s="19" t="str">
        <f t="shared" si="36"/>
        <v>58E &amp; 59E</v>
      </c>
      <c r="C157" s="17" t="s">
        <v>33</v>
      </c>
      <c r="D157" s="66" t="s">
        <v>51</v>
      </c>
      <c r="E157" s="182">
        <v>44.71</v>
      </c>
      <c r="F157" s="167">
        <f t="shared" si="35"/>
        <v>0.62576062785467668</v>
      </c>
      <c r="G157" s="168">
        <v>0</v>
      </c>
      <c r="H157" s="169">
        <f t="shared" si="33"/>
        <v>0</v>
      </c>
    </row>
    <row r="158" spans="1:8" x14ac:dyDescent="0.2">
      <c r="A158" s="124">
        <f t="shared" si="34"/>
        <v>150</v>
      </c>
      <c r="B158" s="19" t="str">
        <f t="shared" si="36"/>
        <v>58E &amp; 59E</v>
      </c>
      <c r="C158" s="17" t="s">
        <v>33</v>
      </c>
      <c r="D158" s="66" t="s">
        <v>52</v>
      </c>
      <c r="E158" s="182">
        <v>44.71</v>
      </c>
      <c r="F158" s="167">
        <f t="shared" si="35"/>
        <v>0.62576062785467668</v>
      </c>
      <c r="G158" s="168">
        <v>0</v>
      </c>
      <c r="H158" s="169">
        <f t="shared" si="33"/>
        <v>0</v>
      </c>
    </row>
    <row r="159" spans="1:8" x14ac:dyDescent="0.2">
      <c r="A159" s="124">
        <f t="shared" si="34"/>
        <v>151</v>
      </c>
      <c r="B159" s="19" t="str">
        <f t="shared" si="36"/>
        <v>58E &amp; 59E</v>
      </c>
      <c r="C159" s="17" t="s">
        <v>33</v>
      </c>
      <c r="D159" s="66" t="s">
        <v>53</v>
      </c>
      <c r="E159" s="182">
        <v>44.71</v>
      </c>
      <c r="F159" s="167">
        <f t="shared" si="35"/>
        <v>0.62576062785467668</v>
      </c>
      <c r="G159" s="168">
        <v>0</v>
      </c>
      <c r="H159" s="169">
        <f t="shared" si="33"/>
        <v>0</v>
      </c>
    </row>
    <row r="160" spans="1:8" x14ac:dyDescent="0.2">
      <c r="A160" s="124">
        <f t="shared" si="34"/>
        <v>152</v>
      </c>
      <c r="B160" s="19" t="str">
        <f t="shared" si="36"/>
        <v>58E &amp; 59E</v>
      </c>
      <c r="C160" s="17" t="s">
        <v>33</v>
      </c>
      <c r="D160" s="66" t="s">
        <v>54</v>
      </c>
      <c r="E160" s="182">
        <v>104.12</v>
      </c>
      <c r="F160" s="167">
        <f t="shared" si="35"/>
        <v>1.4572622807476836</v>
      </c>
      <c r="G160" s="168">
        <v>0</v>
      </c>
      <c r="H160" s="169">
        <f t="shared" si="33"/>
        <v>0</v>
      </c>
    </row>
    <row r="161" spans="1:8" x14ac:dyDescent="0.2">
      <c r="A161" s="124">
        <f t="shared" si="34"/>
        <v>153</v>
      </c>
      <c r="B161" s="19" t="str">
        <f t="shared" si="36"/>
        <v>58E &amp; 59E</v>
      </c>
      <c r="C161" s="17" t="s">
        <v>33</v>
      </c>
      <c r="D161" s="66" t="s">
        <v>55</v>
      </c>
      <c r="E161" s="182">
        <v>104.12</v>
      </c>
      <c r="F161" s="167">
        <f t="shared" si="35"/>
        <v>1.4572622807476836</v>
      </c>
      <c r="G161" s="168">
        <v>0</v>
      </c>
      <c r="H161" s="169">
        <f t="shared" si="33"/>
        <v>0</v>
      </c>
    </row>
    <row r="162" spans="1:8" x14ac:dyDescent="0.2">
      <c r="A162" s="124">
        <f t="shared" si="34"/>
        <v>154</v>
      </c>
      <c r="B162" s="19" t="str">
        <f t="shared" si="36"/>
        <v>58E &amp; 59E</v>
      </c>
      <c r="C162" s="17" t="s">
        <v>33</v>
      </c>
      <c r="D162" s="66" t="s">
        <v>56</v>
      </c>
      <c r="E162" s="182">
        <v>104.12</v>
      </c>
      <c r="F162" s="167">
        <f t="shared" si="35"/>
        <v>1.4572622807476836</v>
      </c>
      <c r="G162" s="168">
        <v>0</v>
      </c>
      <c r="H162" s="169">
        <f t="shared" si="33"/>
        <v>0</v>
      </c>
    </row>
    <row r="163" spans="1:8" x14ac:dyDescent="0.2">
      <c r="A163" s="124">
        <f t="shared" si="34"/>
        <v>155</v>
      </c>
      <c r="B163" s="10"/>
      <c r="F163" s="246" t="s">
        <v>248</v>
      </c>
      <c r="G163" s="172">
        <v>0</v>
      </c>
    </row>
    <row r="164" spans="1:8" x14ac:dyDescent="0.2">
      <c r="A164" s="124">
        <f t="shared" si="34"/>
        <v>156</v>
      </c>
      <c r="D164" s="117"/>
      <c r="F164" s="135"/>
    </row>
    <row r="165" spans="1:8" x14ac:dyDescent="0.2">
      <c r="A165" s="124">
        <f t="shared" si="34"/>
        <v>157</v>
      </c>
      <c r="D165" s="117"/>
      <c r="F165" s="135"/>
      <c r="G165" s="173" t="s">
        <v>190</v>
      </c>
      <c r="H165" s="76">
        <f>SUM(H11:H162)</f>
        <v>240501.91374459883</v>
      </c>
    </row>
    <row r="166" spans="1:8" ht="13.5" x14ac:dyDescent="0.35">
      <c r="A166" s="124">
        <f t="shared" si="34"/>
        <v>158</v>
      </c>
      <c r="D166" s="117"/>
      <c r="F166" s="135"/>
      <c r="G166" s="174" t="s">
        <v>189</v>
      </c>
      <c r="H166" s="267">
        <f>'Rate Spread &amp; Design'!E26</f>
        <v>240501.91374459903</v>
      </c>
    </row>
    <row r="167" spans="1:8" x14ac:dyDescent="0.2">
      <c r="A167" s="124">
        <f t="shared" si="34"/>
        <v>159</v>
      </c>
      <c r="F167" s="135"/>
      <c r="G167" s="173" t="s">
        <v>124</v>
      </c>
      <c r="H167" s="76">
        <f>+H166-H165</f>
        <v>0</v>
      </c>
    </row>
    <row r="168" spans="1:8" ht="13.5" x14ac:dyDescent="0.35">
      <c r="A168" s="124">
        <f t="shared" si="34"/>
        <v>160</v>
      </c>
      <c r="B168" s="195"/>
      <c r="F168" s="76"/>
      <c r="G168" s="75" t="s">
        <v>193</v>
      </c>
      <c r="H168" s="74">
        <v>1.3995988097845597E-2</v>
      </c>
    </row>
    <row r="169" spans="1:8" ht="13.5" x14ac:dyDescent="0.35">
      <c r="A169" s="124">
        <f t="shared" si="34"/>
        <v>161</v>
      </c>
      <c r="B169" s="195"/>
      <c r="F169" s="76"/>
      <c r="G169" s="75"/>
      <c r="H169" s="74"/>
    </row>
    <row r="170" spans="1:8" ht="22.5" x14ac:dyDescent="0.2">
      <c r="A170" s="124">
        <f t="shared" si="34"/>
        <v>162</v>
      </c>
      <c r="B170" s="28" t="s">
        <v>250</v>
      </c>
      <c r="C170" s="28"/>
      <c r="D170" s="28"/>
      <c r="E170" s="28"/>
      <c r="F170" s="29"/>
      <c r="G170" s="29"/>
      <c r="H170" s="30"/>
    </row>
    <row r="171" spans="1:8" x14ac:dyDescent="0.2">
      <c r="A171" s="124"/>
    </row>
    <row r="172" spans="1:8" x14ac:dyDescent="0.2">
      <c r="A172" s="135"/>
    </row>
  </sheetData>
  <mergeCells count="3">
    <mergeCell ref="K7:L7"/>
    <mergeCell ref="J6:O6"/>
    <mergeCell ref="E6:H6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79998168889431442"/>
  </sheetPr>
  <dimension ref="A1:M65"/>
  <sheetViews>
    <sheetView zoomScaleNormal="100" workbookViewId="0">
      <pane ySplit="7" topLeftCell="A8" activePane="bottomLeft" state="frozen"/>
      <selection activeCell="J42" sqref="J42"/>
      <selection pane="bottomLeft" activeCell="J42" sqref="J42"/>
    </sheetView>
  </sheetViews>
  <sheetFormatPr defaultColWidth="9.140625" defaultRowHeight="11.25" x14ac:dyDescent="0.2"/>
  <cols>
    <col min="1" max="1" width="6.140625" style="10" bestFit="1" customWidth="1"/>
    <col min="2" max="2" width="29.28515625" style="10" bestFit="1" customWidth="1"/>
    <col min="3" max="3" width="13" style="8" customWidth="1"/>
    <col min="4" max="4" width="19.140625" style="8" customWidth="1"/>
    <col min="5" max="5" width="11.42578125" style="8" customWidth="1"/>
    <col min="6" max="6" width="14.140625" style="17" customWidth="1"/>
    <col min="7" max="7" width="11.7109375" style="17" customWidth="1"/>
    <col min="8" max="8" width="6.5703125" style="10" customWidth="1"/>
    <col min="9" max="9" width="13.5703125" style="10" bestFit="1" customWidth="1"/>
    <col min="10" max="11" width="9.140625" style="10"/>
    <col min="12" max="12" width="14.28515625" style="10" bestFit="1" customWidth="1"/>
    <col min="13" max="16384" width="9.140625" style="10"/>
  </cols>
  <sheetData>
    <row r="1" spans="1:13" s="5" customFormat="1" x14ac:dyDescent="0.2">
      <c r="A1" s="33" t="s">
        <v>103</v>
      </c>
      <c r="B1" s="20"/>
      <c r="C1" s="20"/>
      <c r="D1" s="20"/>
      <c r="E1" s="20"/>
      <c r="F1" s="20"/>
      <c r="G1" s="20"/>
      <c r="H1" s="135"/>
      <c r="I1" s="135"/>
      <c r="J1" s="135"/>
    </row>
    <row r="2" spans="1:13" s="5" customFormat="1" x14ac:dyDescent="0.2">
      <c r="A2" s="33" t="s">
        <v>114</v>
      </c>
      <c r="B2" s="20"/>
      <c r="C2" s="20"/>
      <c r="D2" s="20"/>
      <c r="E2" s="20"/>
      <c r="F2" s="20"/>
      <c r="G2" s="20"/>
      <c r="H2" s="135"/>
      <c r="I2" s="135"/>
      <c r="J2" s="135"/>
    </row>
    <row r="3" spans="1:13" s="5" customFormat="1" x14ac:dyDescent="0.2">
      <c r="A3" s="34" t="str">
        <f>Inputs!B2&amp;" Forecasted Rate-Year Ended "&amp;TEXT(Inputs!B4,"mmmm d, yyyy")</f>
        <v>F2024 Forecasted Rate-Year Ended April 30, 2026</v>
      </c>
      <c r="B3" s="20"/>
      <c r="C3" s="20"/>
      <c r="D3" s="20"/>
      <c r="E3" s="20"/>
      <c r="F3" s="20"/>
      <c r="G3" s="20"/>
      <c r="H3" s="135"/>
      <c r="I3" s="135"/>
      <c r="J3" s="135"/>
      <c r="M3" s="135"/>
    </row>
    <row r="4" spans="1:13" s="5" customFormat="1" x14ac:dyDescent="0.2">
      <c r="A4" s="34" t="str">
        <f>"Proposed Rate Effective "&amp;TEXT(Inputs!B1,"mmmm d, yyyy")</f>
        <v>Proposed Rate Effective May 1, 2025</v>
      </c>
      <c r="B4" s="20"/>
      <c r="C4" s="20"/>
      <c r="D4" s="20"/>
      <c r="E4" s="20"/>
      <c r="F4" s="20"/>
      <c r="G4" s="20"/>
      <c r="H4" s="135"/>
      <c r="I4" s="135"/>
      <c r="J4" s="135"/>
      <c r="M4" s="135"/>
    </row>
    <row r="5" spans="1:13" s="5" customFormat="1" x14ac:dyDescent="0.2">
      <c r="A5" s="20" t="s">
        <v>110</v>
      </c>
      <c r="B5" s="20"/>
      <c r="C5" s="20"/>
      <c r="D5" s="20"/>
      <c r="E5" s="20"/>
      <c r="F5" s="20"/>
      <c r="G5" s="20"/>
      <c r="H5" s="135"/>
      <c r="I5" s="135"/>
      <c r="J5" s="135"/>
    </row>
    <row r="7" spans="1:13" s="13" customFormat="1" ht="34.5" thickBot="1" x14ac:dyDescent="0.25">
      <c r="A7" s="7" t="s">
        <v>23</v>
      </c>
      <c r="B7" s="7" t="s">
        <v>12</v>
      </c>
      <c r="C7" s="7" t="s">
        <v>14</v>
      </c>
      <c r="D7" s="175" t="s">
        <v>112</v>
      </c>
      <c r="E7" s="7" t="s">
        <v>104</v>
      </c>
      <c r="F7" s="176" t="str">
        <f>Inputs!B2&amp;" Forecasted Rate-Year Energy (kWh)"</f>
        <v>F2024 Forecasted Rate-Year Energy (kWh)</v>
      </c>
      <c r="G7" s="177" t="s">
        <v>106</v>
      </c>
    </row>
    <row r="8" spans="1:13" s="13" customFormat="1" x14ac:dyDescent="0.2">
      <c r="A8" s="8">
        <v>1</v>
      </c>
      <c r="B8" s="253"/>
      <c r="D8" s="13" t="s">
        <v>18</v>
      </c>
      <c r="E8" s="13" t="s">
        <v>108</v>
      </c>
      <c r="F8" s="13" t="s">
        <v>20</v>
      </c>
      <c r="G8" s="13" t="s">
        <v>109</v>
      </c>
    </row>
    <row r="9" spans="1:13" x14ac:dyDescent="0.2">
      <c r="A9" s="8">
        <f>+A8+1</f>
        <v>2</v>
      </c>
      <c r="H9" s="41" t="s">
        <v>115</v>
      </c>
    </row>
    <row r="10" spans="1:13" x14ac:dyDescent="0.2">
      <c r="A10" s="8">
        <f t="shared" ref="A10:A45" si="0">+A9+1</f>
        <v>3</v>
      </c>
      <c r="B10" s="18" t="s">
        <v>0</v>
      </c>
      <c r="C10" s="8" t="s">
        <v>157</v>
      </c>
      <c r="D10" s="178">
        <f>'Energy and Demand Allocation'!N9</f>
        <v>0.56340710569318653</v>
      </c>
      <c r="E10" s="179">
        <f>D10*$E$30</f>
        <v>88695476.909400508</v>
      </c>
      <c r="F10" s="145">
        <v>11360099583.257719</v>
      </c>
      <c r="G10" s="180">
        <f>E10/F10</f>
        <v>7.807631989434149E-3</v>
      </c>
      <c r="H10" s="184">
        <f>F10*G10-E10</f>
        <v>0</v>
      </c>
      <c r="J10" s="202"/>
      <c r="K10" s="180"/>
      <c r="L10" s="203"/>
    </row>
    <row r="11" spans="1:13" x14ac:dyDescent="0.2">
      <c r="A11" s="8">
        <f t="shared" si="0"/>
        <v>4</v>
      </c>
      <c r="B11" s="18"/>
      <c r="D11" s="178"/>
      <c r="E11" s="179"/>
      <c r="F11" s="145"/>
      <c r="G11" s="180"/>
      <c r="H11" s="184"/>
      <c r="J11" s="202"/>
      <c r="K11" s="180"/>
    </row>
    <row r="12" spans="1:13" x14ac:dyDescent="0.2">
      <c r="A12" s="8">
        <f t="shared" si="0"/>
        <v>5</v>
      </c>
      <c r="B12" s="11" t="s">
        <v>1</v>
      </c>
      <c r="C12" s="83" t="s">
        <v>107</v>
      </c>
      <c r="D12" s="178">
        <f>'Energy and Demand Allocation'!N10</f>
        <v>0.12350293680505499</v>
      </c>
      <c r="E12" s="179">
        <f>D12*$E$30</f>
        <v>19442693.869042512</v>
      </c>
      <c r="F12" s="145">
        <v>2693017787.7097392</v>
      </c>
      <c r="G12" s="180">
        <f>E12/F12</f>
        <v>7.2196678231291724E-3</v>
      </c>
      <c r="H12" s="184">
        <f>F12*G12-E12</f>
        <v>0</v>
      </c>
      <c r="J12" s="202"/>
      <c r="K12" s="180"/>
      <c r="L12" s="203"/>
    </row>
    <row r="13" spans="1:13" x14ac:dyDescent="0.2">
      <c r="A13" s="8">
        <f t="shared" si="0"/>
        <v>6</v>
      </c>
      <c r="B13" s="18" t="s">
        <v>2</v>
      </c>
      <c r="C13" s="83" t="s">
        <v>86</v>
      </c>
      <c r="D13" s="178">
        <f>'Energy and Demand Allocation'!N11</f>
        <v>0.13605755076413148</v>
      </c>
      <c r="E13" s="179">
        <f>D13*$E$30</f>
        <v>21419128.779538836</v>
      </c>
      <c r="F13" s="145">
        <v>2969093006.541297</v>
      </c>
      <c r="G13" s="180">
        <f>E13/F13</f>
        <v>7.2140309287549156E-3</v>
      </c>
      <c r="H13" s="184">
        <f>F13*G13-E13</f>
        <v>0</v>
      </c>
      <c r="J13" s="202"/>
      <c r="K13" s="180"/>
      <c r="L13" s="203"/>
    </row>
    <row r="14" spans="1:13" x14ac:dyDescent="0.2">
      <c r="A14" s="8">
        <f t="shared" si="0"/>
        <v>7</v>
      </c>
      <c r="B14" s="18" t="s">
        <v>3</v>
      </c>
      <c r="C14" s="83" t="s">
        <v>96</v>
      </c>
      <c r="D14" s="178">
        <f>'Energy and Demand Allocation'!N12</f>
        <v>7.7503954825997035E-2</v>
      </c>
      <c r="E14" s="179">
        <f>D14*$E$30</f>
        <v>12201213.236738864</v>
      </c>
      <c r="F14" s="145">
        <v>2065352001.3623114</v>
      </c>
      <c r="G14" s="180">
        <f>E14/F14</f>
        <v>5.9075708299074024E-3</v>
      </c>
      <c r="H14" s="184">
        <f>F14*G14-E14</f>
        <v>0</v>
      </c>
      <c r="J14" s="202"/>
      <c r="K14" s="180"/>
      <c r="L14" s="203"/>
    </row>
    <row r="15" spans="1:13" x14ac:dyDescent="0.2">
      <c r="A15" s="8">
        <f t="shared" si="0"/>
        <v>8</v>
      </c>
      <c r="B15" s="18" t="s">
        <v>4</v>
      </c>
      <c r="C15" s="26">
        <v>29</v>
      </c>
      <c r="D15" s="178">
        <f>'Energy and Demand Allocation'!N13</f>
        <v>5.7749225220722557E-4</v>
      </c>
      <c r="E15" s="179">
        <f>D15*$E$30</f>
        <v>90912.858931702867</v>
      </c>
      <c r="F15" s="145">
        <v>14420837.616554612</v>
      </c>
      <c r="G15" s="180">
        <f>E15/F15</f>
        <v>6.3042703446946876E-3</v>
      </c>
      <c r="H15" s="184">
        <f>F15*G15-E15</f>
        <v>0</v>
      </c>
      <c r="J15" s="202"/>
      <c r="K15" s="180"/>
      <c r="L15" s="203"/>
    </row>
    <row r="16" spans="1:13" x14ac:dyDescent="0.2">
      <c r="A16" s="8">
        <f t="shared" si="0"/>
        <v>9</v>
      </c>
      <c r="B16" s="18"/>
      <c r="D16" s="178"/>
      <c r="E16" s="179"/>
      <c r="F16" s="145"/>
      <c r="G16" s="180"/>
      <c r="H16" s="184"/>
      <c r="J16" s="202"/>
      <c r="K16" s="180"/>
    </row>
    <row r="17" spans="1:12" x14ac:dyDescent="0.2">
      <c r="A17" s="8">
        <f t="shared" si="0"/>
        <v>10</v>
      </c>
      <c r="B17" s="18" t="s">
        <v>5</v>
      </c>
      <c r="C17" s="83" t="s">
        <v>91</v>
      </c>
      <c r="D17" s="178">
        <f>'Energy and Demand Allocation'!N14</f>
        <v>5.4185083150462693E-2</v>
      </c>
      <c r="E17" s="179">
        <f>D17*$E$30</f>
        <v>8530193.784994591</v>
      </c>
      <c r="F17" s="145">
        <v>1378600015.3562117</v>
      </c>
      <c r="G17" s="180">
        <f>E17/F17</f>
        <v>6.1875770274023275E-3</v>
      </c>
      <c r="H17" s="184">
        <f>F17*G17-E17</f>
        <v>0</v>
      </c>
      <c r="J17" s="202"/>
      <c r="K17" s="180"/>
      <c r="L17" s="203"/>
    </row>
    <row r="18" spans="1:12" x14ac:dyDescent="0.2">
      <c r="A18" s="8">
        <f t="shared" si="0"/>
        <v>11</v>
      </c>
      <c r="B18" s="18" t="s">
        <v>6</v>
      </c>
      <c r="C18" s="26">
        <v>35</v>
      </c>
      <c r="D18" s="178">
        <f>'Energy and Demand Allocation'!N15</f>
        <v>1.5170174267424157E-4</v>
      </c>
      <c r="E18" s="179">
        <f>D18*$E$30</f>
        <v>23881.946604000259</v>
      </c>
      <c r="F18" s="145">
        <v>5934926.6636967957</v>
      </c>
      <c r="G18" s="180">
        <f>E18/F18</f>
        <v>4.0239665891885637E-3</v>
      </c>
      <c r="H18" s="184">
        <f>F18*G18-E18</f>
        <v>0</v>
      </c>
      <c r="J18" s="202"/>
      <c r="K18" s="180"/>
      <c r="L18" s="203"/>
    </row>
    <row r="19" spans="1:12" x14ac:dyDescent="0.2">
      <c r="A19" s="8">
        <f t="shared" si="0"/>
        <v>12</v>
      </c>
      <c r="B19" s="18" t="s">
        <v>7</v>
      </c>
      <c r="C19" s="26">
        <v>43</v>
      </c>
      <c r="D19" s="178">
        <f>'Energy and Demand Allocation'!N16</f>
        <v>6.3879121410152515E-3</v>
      </c>
      <c r="E19" s="179">
        <f>D19*$E$30</f>
        <v>1005629.6913501091</v>
      </c>
      <c r="F19" s="145">
        <v>108844561.70565043</v>
      </c>
      <c r="G19" s="180">
        <f>E19/F19</f>
        <v>9.239135842814496E-3</v>
      </c>
      <c r="H19" s="184">
        <f>F19*G19-E19</f>
        <v>0</v>
      </c>
      <c r="J19" s="202"/>
      <c r="K19" s="180"/>
      <c r="L19" s="203"/>
    </row>
    <row r="20" spans="1:12" x14ac:dyDescent="0.2">
      <c r="A20" s="8">
        <f t="shared" si="0"/>
        <v>13</v>
      </c>
      <c r="B20" s="11"/>
      <c r="D20" s="178"/>
      <c r="E20" s="179"/>
      <c r="F20" s="145"/>
      <c r="G20" s="180"/>
      <c r="H20" s="184"/>
      <c r="J20" s="202"/>
      <c r="K20" s="180"/>
    </row>
    <row r="21" spans="1:12" x14ac:dyDescent="0.2">
      <c r="A21" s="8">
        <f t="shared" si="0"/>
        <v>14</v>
      </c>
      <c r="B21" s="18" t="s">
        <v>8</v>
      </c>
      <c r="C21" s="26">
        <v>46</v>
      </c>
      <c r="D21" s="178">
        <f>'Energy and Demand Allocation'!N20</f>
        <v>3.2342790245393294E-3</v>
      </c>
      <c r="E21" s="179">
        <f>D21*$E$30</f>
        <v>509162.76639188232</v>
      </c>
      <c r="F21" s="145">
        <v>93572538.659561396</v>
      </c>
      <c r="G21" s="180">
        <f>E21/F21</f>
        <v>5.441369590754982E-3</v>
      </c>
      <c r="H21" s="184">
        <f>F21*G21-E21</f>
        <v>0</v>
      </c>
      <c r="J21" s="202"/>
      <c r="K21" s="180"/>
      <c r="L21" s="203"/>
    </row>
    <row r="22" spans="1:12" x14ac:dyDescent="0.2">
      <c r="A22" s="8">
        <f t="shared" si="0"/>
        <v>15</v>
      </c>
      <c r="B22" s="11" t="s">
        <v>9</v>
      </c>
      <c r="C22" s="26">
        <v>49</v>
      </c>
      <c r="D22" s="178">
        <f>'Energy and Demand Allocation'!N21</f>
        <v>1.9735601814376339E-2</v>
      </c>
      <c r="E22" s="179">
        <f>D22*$E$30</f>
        <v>3106916.1132898154</v>
      </c>
      <c r="F22" s="145">
        <v>530773099.64765275</v>
      </c>
      <c r="G22" s="180">
        <f>E22/F22</f>
        <v>5.8535674007448831E-3</v>
      </c>
      <c r="H22" s="184">
        <f>F22*G22-E22</f>
        <v>0</v>
      </c>
      <c r="J22" s="202"/>
      <c r="K22" s="180"/>
      <c r="L22" s="203"/>
    </row>
    <row r="23" spans="1:12" x14ac:dyDescent="0.2">
      <c r="A23" s="8">
        <f t="shared" si="0"/>
        <v>16</v>
      </c>
      <c r="D23" s="178"/>
      <c r="E23" s="179"/>
      <c r="F23" s="145"/>
      <c r="G23" s="180"/>
      <c r="H23" s="184"/>
      <c r="J23" s="202"/>
      <c r="K23" s="180"/>
    </row>
    <row r="24" spans="1:12" x14ac:dyDescent="0.2">
      <c r="A24" s="8">
        <f t="shared" si="0"/>
        <v>17</v>
      </c>
      <c r="B24" s="18" t="s">
        <v>113</v>
      </c>
      <c r="C24" s="1" t="s">
        <v>63</v>
      </c>
      <c r="D24" s="178">
        <f>'Energy and Demand Allocation'!N18</f>
        <v>1.3728677196921307E-2</v>
      </c>
      <c r="E24" s="179">
        <f>D24*$E$30</f>
        <v>2161264.135669691</v>
      </c>
      <c r="F24" s="145">
        <v>319873933.30400002</v>
      </c>
      <c r="G24" s="180">
        <f>E24/F24</f>
        <v>6.7566122482874552E-3</v>
      </c>
      <c r="H24" s="184">
        <f>F24*G24-E24</f>
        <v>0</v>
      </c>
      <c r="J24" s="202"/>
      <c r="K24" s="180"/>
      <c r="L24" s="203"/>
    </row>
    <row r="25" spans="1:12" x14ac:dyDescent="0.2">
      <c r="A25" s="8">
        <f t="shared" si="0"/>
        <v>18</v>
      </c>
      <c r="D25" s="178"/>
      <c r="E25" s="179"/>
      <c r="F25" s="145"/>
      <c r="G25" s="180"/>
      <c r="H25" s="184"/>
      <c r="J25" s="202"/>
      <c r="K25" s="180"/>
    </row>
    <row r="26" spans="1:12" x14ac:dyDescent="0.2">
      <c r="A26" s="8">
        <f t="shared" si="0"/>
        <v>19</v>
      </c>
      <c r="B26" s="10" t="s">
        <v>10</v>
      </c>
      <c r="C26" s="252" t="s">
        <v>102</v>
      </c>
      <c r="D26" s="178">
        <f>'Energy and Demand Allocation'!N25</f>
        <v>1.5277045894338693E-3</v>
      </c>
      <c r="E26" s="179">
        <f>D26*$E$30</f>
        <v>240501.91374459903</v>
      </c>
      <c r="F26" s="145">
        <v>64341676.6170213</v>
      </c>
      <c r="G26" s="181">
        <f>E26/F26</f>
        <v>3.7378869558549136E-3</v>
      </c>
      <c r="H26" s="184">
        <f>F26*G26-E26</f>
        <v>0</v>
      </c>
      <c r="J26" s="202"/>
      <c r="K26" s="180"/>
      <c r="L26" s="203"/>
    </row>
    <row r="27" spans="1:12" x14ac:dyDescent="0.2">
      <c r="A27" s="8">
        <f t="shared" si="0"/>
        <v>20</v>
      </c>
      <c r="C27" s="252"/>
      <c r="D27" s="178"/>
      <c r="E27" s="179"/>
      <c r="F27" s="145"/>
      <c r="G27" s="181"/>
      <c r="H27" s="184"/>
      <c r="J27" s="202"/>
      <c r="K27" s="180"/>
      <c r="L27" s="203"/>
    </row>
    <row r="28" spans="1:12" x14ac:dyDescent="0.2">
      <c r="A28" s="8">
        <f t="shared" si="0"/>
        <v>21</v>
      </c>
      <c r="B28" s="10" t="s">
        <v>240</v>
      </c>
      <c r="C28" s="252">
        <v>558</v>
      </c>
      <c r="D28" s="178" t="s">
        <v>239</v>
      </c>
      <c r="E28" s="235">
        <v>0</v>
      </c>
      <c r="F28" s="17">
        <v>0</v>
      </c>
      <c r="G28" s="180">
        <f>SUM(E12:E14)/SUM(F12:F14)</f>
        <v>6.8668122110458482E-3</v>
      </c>
      <c r="H28" s="184"/>
      <c r="J28" s="202"/>
      <c r="K28" s="180"/>
      <c r="L28" s="203"/>
    </row>
    <row r="29" spans="1:12" x14ac:dyDescent="0.2">
      <c r="A29" s="8">
        <f t="shared" si="0"/>
        <v>22</v>
      </c>
      <c r="D29" s="27"/>
      <c r="F29" s="145"/>
      <c r="G29" s="145"/>
      <c r="H29" s="183"/>
      <c r="I29" s="145"/>
    </row>
    <row r="30" spans="1:12" ht="13.5" x14ac:dyDescent="0.35">
      <c r="A30" s="8">
        <f t="shared" si="0"/>
        <v>23</v>
      </c>
      <c r="D30" s="42" t="s">
        <v>131</v>
      </c>
      <c r="E30" s="260">
        <v>157426976.00569707</v>
      </c>
      <c r="F30" s="63"/>
      <c r="G30" s="63"/>
      <c r="H30" s="184">
        <f>SUM(E10:E26)-E30</f>
        <v>0</v>
      </c>
      <c r="I30" s="63">
        <v>0</v>
      </c>
      <c r="L30" s="167"/>
    </row>
    <row r="31" spans="1:12" x14ac:dyDescent="0.2">
      <c r="A31" s="8">
        <f t="shared" si="0"/>
        <v>24</v>
      </c>
      <c r="E31" s="184">
        <f>SUM(E10:E26)-E30</f>
        <v>0</v>
      </c>
      <c r="G31" s="131"/>
    </row>
    <row r="32" spans="1:12" x14ac:dyDescent="0.2">
      <c r="A32" s="8">
        <f t="shared" si="0"/>
        <v>25</v>
      </c>
      <c r="B32" s="186" t="s">
        <v>196</v>
      </c>
      <c r="C32" s="187"/>
      <c r="D32" s="187"/>
      <c r="E32" s="187"/>
      <c r="F32" s="187"/>
      <c r="G32" s="187"/>
    </row>
    <row r="33" spans="1:12" x14ac:dyDescent="0.2">
      <c r="A33" s="8">
        <f t="shared" si="0"/>
        <v>26</v>
      </c>
      <c r="B33" s="194"/>
      <c r="C33" s="198"/>
      <c r="D33" s="198"/>
      <c r="E33" s="198"/>
      <c r="F33" s="188"/>
      <c r="G33" s="188"/>
    </row>
    <row r="34" spans="1:12" x14ac:dyDescent="0.2">
      <c r="A34" s="8">
        <f t="shared" si="0"/>
        <v>27</v>
      </c>
      <c r="B34" s="189" t="s">
        <v>27</v>
      </c>
      <c r="C34" s="251" t="s">
        <v>101</v>
      </c>
      <c r="D34" s="190" t="s">
        <v>105</v>
      </c>
      <c r="E34" s="191">
        <f>F34*G34</f>
        <v>2639961.9170317324</v>
      </c>
      <c r="F34" s="192">
        <v>1953924436.0460784</v>
      </c>
      <c r="G34" s="201">
        <f>E44</f>
        <v>1.3511074780219779E-3</v>
      </c>
      <c r="L34" s="203"/>
    </row>
    <row r="35" spans="1:12" x14ac:dyDescent="0.2">
      <c r="A35" s="8">
        <f t="shared" si="0"/>
        <v>28</v>
      </c>
      <c r="B35" s="194"/>
      <c r="C35" s="198"/>
      <c r="D35" s="198"/>
      <c r="E35" s="198"/>
      <c r="F35" s="188"/>
      <c r="G35" s="188"/>
    </row>
    <row r="36" spans="1:12" x14ac:dyDescent="0.2">
      <c r="A36" s="8">
        <f t="shared" si="0"/>
        <v>29</v>
      </c>
      <c r="B36" s="194"/>
      <c r="C36" s="193"/>
      <c r="D36" s="185" t="s">
        <v>197</v>
      </c>
      <c r="E36" s="232">
        <v>234.863</v>
      </c>
      <c r="F36" s="194"/>
      <c r="G36" s="194"/>
      <c r="L36" s="167"/>
    </row>
    <row r="37" spans="1:12" ht="13.5" x14ac:dyDescent="0.2">
      <c r="A37" s="8">
        <f t="shared" si="0"/>
        <v>30</v>
      </c>
      <c r="B37" s="194"/>
      <c r="C37" s="195"/>
      <c r="D37" s="185" t="s">
        <v>198</v>
      </c>
      <c r="E37" s="233">
        <v>182</v>
      </c>
      <c r="F37" s="194"/>
      <c r="G37" s="194"/>
    </row>
    <row r="38" spans="1:12" x14ac:dyDescent="0.2">
      <c r="A38" s="8">
        <f t="shared" si="0"/>
        <v>31</v>
      </c>
      <c r="B38" s="194"/>
      <c r="C38" s="194"/>
      <c r="D38" s="195" t="s">
        <v>26</v>
      </c>
      <c r="E38" s="191">
        <f>+E36-E37</f>
        <v>52.863</v>
      </c>
      <c r="F38" s="194"/>
      <c r="G38" s="194"/>
    </row>
    <row r="39" spans="1:12" ht="10.9" customHeight="1" x14ac:dyDescent="0.2">
      <c r="A39" s="8">
        <f t="shared" si="0"/>
        <v>32</v>
      </c>
      <c r="B39" s="194"/>
      <c r="C39" s="194"/>
      <c r="D39" s="194"/>
      <c r="E39" s="196"/>
      <c r="F39" s="196"/>
      <c r="G39" s="196"/>
    </row>
    <row r="40" spans="1:12" ht="12.6" customHeight="1" x14ac:dyDescent="0.2">
      <c r="A40" s="8">
        <f t="shared" si="0"/>
        <v>33</v>
      </c>
      <c r="B40" s="194"/>
      <c r="C40" s="194"/>
      <c r="D40" s="185" t="s">
        <v>158</v>
      </c>
      <c r="E40" s="197">
        <f>+E38/E37</f>
        <v>0.29045604395604396</v>
      </c>
      <c r="F40" s="194"/>
      <c r="G40" s="194"/>
    </row>
    <row r="41" spans="1:12" x14ac:dyDescent="0.2">
      <c r="A41" s="8">
        <f t="shared" si="0"/>
        <v>34</v>
      </c>
      <c r="B41" s="194"/>
      <c r="C41" s="194"/>
      <c r="D41" s="194"/>
      <c r="E41" s="198"/>
      <c r="F41" s="188"/>
      <c r="G41" s="188"/>
    </row>
    <row r="42" spans="1:12" x14ac:dyDescent="0.2">
      <c r="A42" s="8">
        <f t="shared" si="0"/>
        <v>35</v>
      </c>
      <c r="B42" s="194"/>
      <c r="C42" s="199"/>
      <c r="D42" s="185" t="s">
        <v>199</v>
      </c>
      <c r="E42" s="231">
        <v>1.047E-3</v>
      </c>
      <c r="F42" s="188"/>
      <c r="G42" s="188"/>
    </row>
    <row r="43" spans="1:12" ht="13.5" x14ac:dyDescent="0.2">
      <c r="A43" s="8">
        <f t="shared" si="0"/>
        <v>36</v>
      </c>
      <c r="B43" s="194"/>
      <c r="C43" s="199"/>
      <c r="D43" s="185" t="s">
        <v>195</v>
      </c>
      <c r="E43" s="200">
        <f>E40*E42</f>
        <v>3.0410747802197803E-4</v>
      </c>
      <c r="F43" s="188"/>
      <c r="G43" s="188"/>
    </row>
    <row r="44" spans="1:12" x14ac:dyDescent="0.2">
      <c r="A44" s="8">
        <f t="shared" si="0"/>
        <v>37</v>
      </c>
      <c r="B44" s="194"/>
      <c r="C44" s="199"/>
      <c r="D44" s="185" t="s">
        <v>200</v>
      </c>
      <c r="E44" s="201">
        <f>SUM(E42:E43)</f>
        <v>1.3511074780219779E-3</v>
      </c>
      <c r="F44" s="188"/>
      <c r="G44" s="188"/>
    </row>
    <row r="45" spans="1:12" ht="12" thickBot="1" x14ac:dyDescent="0.25">
      <c r="A45" s="8">
        <f t="shared" si="0"/>
        <v>38</v>
      </c>
      <c r="B45" s="52"/>
      <c r="C45" s="53"/>
      <c r="D45" s="54"/>
      <c r="E45" s="55"/>
      <c r="F45" s="56"/>
      <c r="G45" s="56"/>
    </row>
    <row r="46" spans="1:12" ht="12" thickTop="1" x14ac:dyDescent="0.2">
      <c r="A46" s="8"/>
      <c r="E46" s="26"/>
    </row>
    <row r="47" spans="1:12" ht="32.450000000000003" customHeight="1" x14ac:dyDescent="0.2">
      <c r="A47" s="8"/>
      <c r="B47" s="28" t="s">
        <v>238</v>
      </c>
      <c r="C47" s="28"/>
      <c r="D47" s="28"/>
      <c r="E47" s="28"/>
      <c r="F47" s="29"/>
      <c r="G47" s="29"/>
    </row>
    <row r="48" spans="1:12" ht="32.450000000000003" customHeight="1" x14ac:dyDescent="0.2">
      <c r="A48" s="8"/>
      <c r="B48" s="28" t="s">
        <v>237</v>
      </c>
      <c r="C48" s="28"/>
      <c r="D48" s="28"/>
      <c r="E48" s="28"/>
      <c r="F48" s="29"/>
      <c r="G48" s="29"/>
    </row>
    <row r="49" spans="1:7" ht="32.450000000000003" customHeight="1" x14ac:dyDescent="0.2">
      <c r="A49" s="8"/>
      <c r="B49" s="28" t="s">
        <v>227</v>
      </c>
      <c r="C49" s="28"/>
      <c r="D49" s="28"/>
      <c r="E49" s="28"/>
      <c r="F49" s="29"/>
      <c r="G49" s="29"/>
    </row>
    <row r="50" spans="1:7" x14ac:dyDescent="0.2">
      <c r="E50" s="83"/>
    </row>
    <row r="51" spans="1:7" x14ac:dyDescent="0.2">
      <c r="B51" s="234" t="s">
        <v>241</v>
      </c>
      <c r="C51" s="28"/>
      <c r="D51" s="28"/>
      <c r="E51" s="28"/>
      <c r="F51" s="29"/>
      <c r="G51" s="29"/>
    </row>
    <row r="52" spans="1:7" x14ac:dyDescent="0.2">
      <c r="E52" s="26"/>
    </row>
    <row r="56" spans="1:7" x14ac:dyDescent="0.2">
      <c r="E56" s="26"/>
    </row>
    <row r="57" spans="1:7" x14ac:dyDescent="0.2">
      <c r="E57" s="26"/>
    </row>
    <row r="61" spans="1:7" x14ac:dyDescent="0.2">
      <c r="E61" s="26"/>
    </row>
    <row r="62" spans="1:7" x14ac:dyDescent="0.2">
      <c r="E62" s="1"/>
    </row>
    <row r="63" spans="1:7" x14ac:dyDescent="0.2">
      <c r="E63" s="1"/>
    </row>
    <row r="64" spans="1:7" x14ac:dyDescent="0.2">
      <c r="E64" s="1"/>
    </row>
    <row r="65" spans="5:5" x14ac:dyDescent="0.2">
      <c r="E65" s="252"/>
    </row>
  </sheetData>
  <printOptions horizontalCentered="1"/>
  <pageMargins left="0.7" right="0.7" top="0.75" bottom="0.75" header="0.3" footer="0.3"/>
  <pageSetup scale="55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S36"/>
  <sheetViews>
    <sheetView zoomScaleNormal="100" workbookViewId="0">
      <pane xSplit="3" ySplit="7" topLeftCell="D8" activePane="bottomRight" state="frozen"/>
      <selection activeCell="J42" sqref="J42"/>
      <selection pane="topRight" activeCell="J42" sqref="J42"/>
      <selection pane="bottomLeft" activeCell="J42" sqref="J42"/>
      <selection pane="bottomRight" activeCell="J42" sqref="J42"/>
    </sheetView>
  </sheetViews>
  <sheetFormatPr defaultColWidth="9.140625" defaultRowHeight="11.25" x14ac:dyDescent="0.2"/>
  <cols>
    <col min="1" max="1" width="4.42578125" style="8" bestFit="1" customWidth="1"/>
    <col min="2" max="2" width="31.5703125" style="10" bestFit="1" customWidth="1"/>
    <col min="3" max="3" width="8.5703125" style="10" bestFit="1" customWidth="1"/>
    <col min="4" max="4" width="14.5703125" style="17" bestFit="1" customWidth="1"/>
    <col min="5" max="5" width="11.85546875" style="10" bestFit="1" customWidth="1"/>
    <col min="6" max="6" width="10.42578125" style="10" bestFit="1" customWidth="1"/>
    <col min="7" max="7" width="8.42578125" style="10" bestFit="1" customWidth="1"/>
    <col min="8" max="8" width="1.140625" style="10" customWidth="1"/>
    <col min="9" max="9" width="11.5703125" style="17" bestFit="1" customWidth="1"/>
    <col min="10" max="10" width="8.5703125" style="10" bestFit="1" customWidth="1"/>
    <col min="11" max="11" width="10.28515625" style="10" bestFit="1" customWidth="1"/>
    <col min="12" max="12" width="8.42578125" style="10" bestFit="1" customWidth="1"/>
    <col min="13" max="13" width="1.42578125" style="10" customWidth="1"/>
    <col min="14" max="14" width="8.5703125" style="10" bestFit="1" customWidth="1"/>
    <col min="15" max="15" width="4.42578125" style="10" customWidth="1"/>
    <col min="16" max="16" width="14.85546875" style="10" bestFit="1" customWidth="1"/>
    <col min="17" max="17" width="19.5703125" style="10" customWidth="1"/>
    <col min="18" max="18" width="10.42578125" style="10" bestFit="1" customWidth="1"/>
    <col min="19" max="19" width="11" style="10" bestFit="1" customWidth="1"/>
    <col min="20" max="20" width="13.85546875" style="10" bestFit="1" customWidth="1"/>
    <col min="21" max="21" width="8.42578125" style="10" bestFit="1" customWidth="1"/>
    <col min="22" max="16384" width="9.140625" style="10"/>
  </cols>
  <sheetData>
    <row r="1" spans="1:19" ht="12.75" x14ac:dyDescent="0.2">
      <c r="A1" s="284" t="s">
        <v>103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9" ht="12.75" x14ac:dyDescent="0.2">
      <c r="A2" s="284" t="s">
        <v>114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19" s="5" customFormat="1" ht="12.75" customHeight="1" x14ac:dyDescent="0.2">
      <c r="A3" s="1"/>
      <c r="B3" s="281" t="s">
        <v>228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9" s="5" customFormat="1" ht="12.75" customHeight="1" x14ac:dyDescent="0.2">
      <c r="A4" s="1"/>
      <c r="B4" s="281" t="s">
        <v>222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9" s="5" customFormat="1" x14ac:dyDescent="0.2">
      <c r="A5" s="225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9" s="6" customFormat="1" ht="56.25" x14ac:dyDescent="0.2">
      <c r="A6" s="224" t="s">
        <v>23</v>
      </c>
      <c r="B6" s="119" t="s">
        <v>12</v>
      </c>
      <c r="C6" s="119" t="s">
        <v>14</v>
      </c>
      <c r="D6" s="223" t="s">
        <v>223</v>
      </c>
      <c r="E6" s="223" t="s">
        <v>235</v>
      </c>
      <c r="F6" s="223" t="s">
        <v>224</v>
      </c>
      <c r="G6" s="223" t="s">
        <v>221</v>
      </c>
      <c r="H6" s="223"/>
      <c r="I6" s="223" t="s">
        <v>233</v>
      </c>
      <c r="J6" s="223" t="s">
        <v>236</v>
      </c>
      <c r="K6" s="223" t="s">
        <v>225</v>
      </c>
      <c r="L6" s="223" t="s">
        <v>220</v>
      </c>
      <c r="M6" s="223"/>
      <c r="N6" s="223" t="s">
        <v>219</v>
      </c>
    </row>
    <row r="7" spans="1:19" s="13" customFormat="1" x14ac:dyDescent="0.2">
      <c r="A7" s="219"/>
      <c r="D7" s="220" t="s">
        <v>18</v>
      </c>
      <c r="E7" s="222" t="s">
        <v>218</v>
      </c>
      <c r="F7" s="228" t="s">
        <v>20</v>
      </c>
      <c r="G7" s="221" t="s">
        <v>217</v>
      </c>
      <c r="H7" s="221"/>
      <c r="I7" s="220" t="s">
        <v>130</v>
      </c>
      <c r="J7" s="220" t="s">
        <v>216</v>
      </c>
      <c r="K7" s="228" t="s">
        <v>226</v>
      </c>
      <c r="L7" s="221" t="s">
        <v>215</v>
      </c>
      <c r="M7" s="221"/>
      <c r="N7" s="220" t="s">
        <v>214</v>
      </c>
    </row>
    <row r="8" spans="1:19" s="13" customFormat="1" x14ac:dyDescent="0.2">
      <c r="A8" s="219"/>
      <c r="D8" s="218"/>
      <c r="E8" s="217"/>
      <c r="F8" s="217"/>
      <c r="G8" s="217"/>
      <c r="H8" s="217"/>
      <c r="I8" s="218"/>
      <c r="J8" s="217"/>
      <c r="K8" s="217"/>
      <c r="L8" s="217"/>
      <c r="M8" s="217"/>
    </row>
    <row r="9" spans="1:19" x14ac:dyDescent="0.2">
      <c r="A9" s="210">
        <v>1</v>
      </c>
      <c r="B9" s="10" t="s">
        <v>0</v>
      </c>
      <c r="C9" s="8">
        <v>7</v>
      </c>
      <c r="D9" s="229">
        <v>12288973727.343735</v>
      </c>
      <c r="E9" s="214">
        <f t="shared" ref="E9:E16" si="0">+D9/D$27</f>
        <v>0.53188785279280593</v>
      </c>
      <c r="F9" s="212"/>
      <c r="G9" s="214">
        <f t="shared" ref="G9:G16" si="1">E9*$F$27</f>
        <v>0.15956635583784176</v>
      </c>
      <c r="H9" s="214"/>
      <c r="I9" s="229">
        <v>2182352.5310529093</v>
      </c>
      <c r="J9" s="214">
        <f t="shared" ref="J9:J16" si="2">+I9/I$27</f>
        <v>0.57691535693620677</v>
      </c>
      <c r="K9" s="215"/>
      <c r="L9" s="214">
        <f t="shared" ref="L9:L16" si="3">J9*$K$27</f>
        <v>0.40384074985534474</v>
      </c>
      <c r="M9" s="214"/>
      <c r="N9" s="214">
        <f t="shared" ref="N9:N16" si="4">SUM(G9,L9)</f>
        <v>0.56340710569318653</v>
      </c>
      <c r="P9" s="216"/>
      <c r="Q9" s="180"/>
      <c r="S9" s="76"/>
    </row>
    <row r="10" spans="1:19" x14ac:dyDescent="0.2">
      <c r="A10" s="210">
        <f t="shared" ref="A10:A29" si="5">+A9+1</f>
        <v>2</v>
      </c>
      <c r="B10" s="11" t="s">
        <v>1</v>
      </c>
      <c r="C10" s="9" t="s">
        <v>213</v>
      </c>
      <c r="D10" s="229">
        <v>3008998588.0702906</v>
      </c>
      <c r="E10" s="214">
        <f t="shared" si="0"/>
        <v>0.13023461792453755</v>
      </c>
      <c r="F10" s="215"/>
      <c r="G10" s="214">
        <f t="shared" si="1"/>
        <v>3.9070385377361266E-2</v>
      </c>
      <c r="H10" s="214"/>
      <c r="I10" s="229">
        <v>456272.90553884086</v>
      </c>
      <c r="J10" s="214">
        <f t="shared" si="2"/>
        <v>0.12061793061099105</v>
      </c>
      <c r="K10" s="215"/>
      <c r="L10" s="214">
        <f t="shared" si="3"/>
        <v>8.4432551427693722E-2</v>
      </c>
      <c r="M10" s="214"/>
      <c r="N10" s="214">
        <f t="shared" si="4"/>
        <v>0.12350293680505499</v>
      </c>
      <c r="P10" s="216"/>
      <c r="Q10" s="167"/>
    </row>
    <row r="11" spans="1:19" x14ac:dyDescent="0.2">
      <c r="A11" s="210">
        <f t="shared" si="5"/>
        <v>3</v>
      </c>
      <c r="B11" s="10" t="s">
        <v>2</v>
      </c>
      <c r="C11" s="9" t="s">
        <v>212</v>
      </c>
      <c r="D11" s="229">
        <v>3254969130.9299946</v>
      </c>
      <c r="E11" s="214">
        <f t="shared" si="0"/>
        <v>0.14088064474456621</v>
      </c>
      <c r="F11" s="215"/>
      <c r="G11" s="214">
        <f t="shared" si="1"/>
        <v>4.2264193423369865E-2</v>
      </c>
      <c r="H11" s="214"/>
      <c r="I11" s="229">
        <v>506858.63390923495</v>
      </c>
      <c r="J11" s="214">
        <f t="shared" si="2"/>
        <v>0.1339905104868023</v>
      </c>
      <c r="K11" s="215"/>
      <c r="L11" s="214">
        <f t="shared" si="3"/>
        <v>9.3793357340761607E-2</v>
      </c>
      <c r="M11" s="214"/>
      <c r="N11" s="214">
        <f t="shared" si="4"/>
        <v>0.13605755076413148</v>
      </c>
      <c r="P11" s="216"/>
    </row>
    <row r="12" spans="1:19" x14ac:dyDescent="0.2">
      <c r="A12" s="210">
        <f t="shared" si="5"/>
        <v>4</v>
      </c>
      <c r="B12" s="10" t="s">
        <v>3</v>
      </c>
      <c r="C12" s="9" t="s">
        <v>211</v>
      </c>
      <c r="D12" s="229">
        <v>1961040601.5115995</v>
      </c>
      <c r="E12" s="214">
        <f t="shared" si="0"/>
        <v>8.4877199505818582E-2</v>
      </c>
      <c r="F12" s="215"/>
      <c r="G12" s="214">
        <f t="shared" si="1"/>
        <v>2.5463159851745572E-2</v>
      </c>
      <c r="H12" s="214"/>
      <c r="I12" s="229">
        <v>281228.08476050111</v>
      </c>
      <c r="J12" s="214">
        <f t="shared" si="2"/>
        <v>7.4343992820359237E-2</v>
      </c>
      <c r="K12" s="215"/>
      <c r="L12" s="214">
        <f t="shared" si="3"/>
        <v>5.2040794974251466E-2</v>
      </c>
      <c r="M12" s="214"/>
      <c r="N12" s="214">
        <f t="shared" si="4"/>
        <v>7.7503954825997035E-2</v>
      </c>
      <c r="P12" s="216"/>
    </row>
    <row r="13" spans="1:19" x14ac:dyDescent="0.2">
      <c r="A13" s="210">
        <f t="shared" si="5"/>
        <v>5</v>
      </c>
      <c r="B13" s="10" t="s">
        <v>4</v>
      </c>
      <c r="C13" s="8">
        <v>29</v>
      </c>
      <c r="D13" s="229">
        <v>14580688.031536154</v>
      </c>
      <c r="E13" s="214">
        <f t="shared" si="0"/>
        <v>6.3107717710222803E-4</v>
      </c>
      <c r="F13" s="215"/>
      <c r="G13" s="214">
        <f t="shared" si="1"/>
        <v>1.8932315313066841E-4</v>
      </c>
      <c r="H13" s="214"/>
      <c r="I13" s="229">
        <v>2097.6630420523193</v>
      </c>
      <c r="J13" s="214">
        <f t="shared" si="2"/>
        <v>5.5452728439508167E-4</v>
      </c>
      <c r="K13" s="215"/>
      <c r="L13" s="214">
        <f t="shared" si="3"/>
        <v>3.8816909907655713E-4</v>
      </c>
      <c r="M13" s="214"/>
      <c r="N13" s="214">
        <f t="shared" si="4"/>
        <v>5.7749225220722557E-4</v>
      </c>
      <c r="P13" s="216"/>
    </row>
    <row r="14" spans="1:19" x14ac:dyDescent="0.2">
      <c r="A14" s="210">
        <f t="shared" si="5"/>
        <v>6</v>
      </c>
      <c r="B14" s="10" t="s">
        <v>5</v>
      </c>
      <c r="C14" s="9" t="s">
        <v>210</v>
      </c>
      <c r="D14" s="229">
        <v>1410892046.4660163</v>
      </c>
      <c r="E14" s="214">
        <f t="shared" si="0"/>
        <v>6.1065826794591431E-2</v>
      </c>
      <c r="F14" s="215"/>
      <c r="G14" s="214">
        <f t="shared" si="1"/>
        <v>1.831974803837743E-2</v>
      </c>
      <c r="H14" s="214"/>
      <c r="I14" s="229">
        <v>193816.01506771313</v>
      </c>
      <c r="J14" s="214">
        <f t="shared" si="2"/>
        <v>5.1236193017264668E-2</v>
      </c>
      <c r="K14" s="215"/>
      <c r="L14" s="214">
        <f t="shared" si="3"/>
        <v>3.5865335112085263E-2</v>
      </c>
      <c r="M14" s="214"/>
      <c r="N14" s="214">
        <f t="shared" si="4"/>
        <v>5.4185083150462693E-2</v>
      </c>
      <c r="P14" s="216"/>
    </row>
    <row r="15" spans="1:19" x14ac:dyDescent="0.2">
      <c r="A15" s="210">
        <f t="shared" si="5"/>
        <v>7</v>
      </c>
      <c r="B15" s="10" t="s">
        <v>6</v>
      </c>
      <c r="C15" s="8">
        <v>35</v>
      </c>
      <c r="D15" s="229">
        <v>5342649.5344676618</v>
      </c>
      <c r="E15" s="214">
        <f t="shared" si="0"/>
        <v>2.3123903201042331E-4</v>
      </c>
      <c r="F15" s="215"/>
      <c r="G15" s="214">
        <f t="shared" si="1"/>
        <v>6.9371709603126988E-5</v>
      </c>
      <c r="H15" s="214"/>
      <c r="I15" s="229">
        <v>444.91091134011452</v>
      </c>
      <c r="J15" s="214">
        <f t="shared" si="2"/>
        <v>1.1761433295873512E-4</v>
      </c>
      <c r="K15" s="215"/>
      <c r="L15" s="214">
        <f t="shared" si="3"/>
        <v>8.2330033071114579E-5</v>
      </c>
      <c r="M15" s="214"/>
      <c r="N15" s="214">
        <f t="shared" si="4"/>
        <v>1.5170174267424157E-4</v>
      </c>
      <c r="P15" s="216"/>
    </row>
    <row r="16" spans="1:19" x14ac:dyDescent="0.2">
      <c r="A16" s="210">
        <f t="shared" si="5"/>
        <v>8</v>
      </c>
      <c r="B16" s="10" t="s">
        <v>7</v>
      </c>
      <c r="C16" s="8">
        <v>43</v>
      </c>
      <c r="D16" s="229">
        <v>127613728.35415003</v>
      </c>
      <c r="E16" s="214">
        <f t="shared" si="0"/>
        <v>5.5233409613485059E-3</v>
      </c>
      <c r="F16" s="215"/>
      <c r="G16" s="214">
        <f t="shared" si="1"/>
        <v>1.6570022884045516E-3</v>
      </c>
      <c r="H16" s="214"/>
      <c r="I16" s="229">
        <v>25565.80309125896</v>
      </c>
      <c r="J16" s="214">
        <f t="shared" si="2"/>
        <v>6.7584426465867146E-3</v>
      </c>
      <c r="K16" s="215"/>
      <c r="L16" s="214">
        <f t="shared" si="3"/>
        <v>4.7309098526107001E-3</v>
      </c>
      <c r="M16" s="214"/>
      <c r="N16" s="214">
        <f t="shared" si="4"/>
        <v>6.3879121410152515E-3</v>
      </c>
      <c r="P16" s="216"/>
    </row>
    <row r="17" spans="1:17" x14ac:dyDescent="0.2">
      <c r="A17" s="210">
        <f t="shared" si="5"/>
        <v>9</v>
      </c>
      <c r="C17" s="8"/>
      <c r="D17" s="145"/>
      <c r="E17" s="214"/>
      <c r="F17" s="215"/>
      <c r="G17" s="214"/>
      <c r="H17" s="214"/>
      <c r="J17" s="214"/>
      <c r="K17" s="215"/>
      <c r="L17" s="215"/>
      <c r="M17" s="215"/>
      <c r="N17" s="214"/>
    </row>
    <row r="18" spans="1:17" x14ac:dyDescent="0.2">
      <c r="A18" s="210">
        <f t="shared" si="5"/>
        <v>10</v>
      </c>
      <c r="B18" s="11" t="s">
        <v>209</v>
      </c>
      <c r="C18" s="9" t="s">
        <v>63</v>
      </c>
      <c r="D18" s="145">
        <v>327398340.63084984</v>
      </c>
      <c r="E18" s="214">
        <f>+D18/D$27</f>
        <v>1.4170361518358508E-2</v>
      </c>
      <c r="F18" s="215"/>
      <c r="G18" s="214">
        <f>E18*$F$27</f>
        <v>4.2511084555075527E-3</v>
      </c>
      <c r="H18" s="214"/>
      <c r="I18" s="229">
        <v>51216.713861741329</v>
      </c>
      <c r="J18" s="214">
        <f>+I18/I$27</f>
        <v>1.3539383916305365E-2</v>
      </c>
      <c r="K18" s="215"/>
      <c r="L18" s="214">
        <f>J18*$K$27</f>
        <v>9.4775687414137555E-3</v>
      </c>
      <c r="M18" s="214"/>
      <c r="N18" s="214">
        <f>SUM(G18,L18)</f>
        <v>1.3728677196921307E-2</v>
      </c>
    </row>
    <row r="19" spans="1:17" x14ac:dyDescent="0.2">
      <c r="A19" s="210">
        <f t="shared" si="5"/>
        <v>11</v>
      </c>
      <c r="B19" s="12"/>
      <c r="C19" s="9"/>
      <c r="D19" s="145"/>
      <c r="E19" s="214"/>
      <c r="F19" s="215"/>
      <c r="G19" s="214"/>
      <c r="H19" s="214"/>
      <c r="J19" s="214"/>
      <c r="K19" s="215"/>
      <c r="L19" s="215"/>
      <c r="M19" s="215"/>
      <c r="N19" s="214"/>
    </row>
    <row r="20" spans="1:17" x14ac:dyDescent="0.2">
      <c r="A20" s="210">
        <f t="shared" si="5"/>
        <v>12</v>
      </c>
      <c r="B20" s="4" t="s">
        <v>208</v>
      </c>
      <c r="C20" s="8">
        <v>46</v>
      </c>
      <c r="D20" s="145">
        <v>94963624.801541045</v>
      </c>
      <c r="E20" s="214">
        <f>+D20/D$27</f>
        <v>4.1101884998521413E-3</v>
      </c>
      <c r="F20" s="215"/>
      <c r="G20" s="214">
        <f>E20*$F$27</f>
        <v>1.2330565499556424E-3</v>
      </c>
      <c r="H20" s="214"/>
      <c r="I20" s="229">
        <v>10814.591975109159</v>
      </c>
      <c r="J20" s="214">
        <f>+I20/I$27</f>
        <v>2.8588892494052671E-3</v>
      </c>
      <c r="K20" s="215"/>
      <c r="L20" s="214">
        <f>J20*$K$27</f>
        <v>2.001222474583687E-3</v>
      </c>
      <c r="M20" s="214"/>
      <c r="N20" s="214">
        <f>SUM(G20,L20)</f>
        <v>3.2342790245393294E-3</v>
      </c>
    </row>
    <row r="21" spans="1:17" x14ac:dyDescent="0.2">
      <c r="A21" s="210">
        <f t="shared" si="5"/>
        <v>13</v>
      </c>
      <c r="B21" s="16" t="s">
        <v>207</v>
      </c>
      <c r="C21" s="8">
        <v>49</v>
      </c>
      <c r="D21" s="145">
        <v>537226148.4278425</v>
      </c>
      <c r="E21" s="214">
        <f>+D21/D$27</f>
        <v>2.3252068796895221E-2</v>
      </c>
      <c r="F21" s="215"/>
      <c r="G21" s="214">
        <f>E21*$F$27</f>
        <v>6.9756206390685664E-3</v>
      </c>
      <c r="H21" s="214"/>
      <c r="I21" s="229">
        <v>68954.847236429414</v>
      </c>
      <c r="J21" s="214">
        <f>+I21/I$27</f>
        <v>1.8228544536153964E-2</v>
      </c>
      <c r="K21" s="215"/>
      <c r="L21" s="214">
        <f>J21*$K$27</f>
        <v>1.2759981175307774E-2</v>
      </c>
      <c r="M21" s="214"/>
      <c r="N21" s="214">
        <f>SUM(G21,L21)</f>
        <v>1.9735601814376339E-2</v>
      </c>
    </row>
    <row r="22" spans="1:17" x14ac:dyDescent="0.2">
      <c r="A22" s="210">
        <f t="shared" si="5"/>
        <v>14</v>
      </c>
      <c r="B22" s="11"/>
      <c r="C22" s="9"/>
      <c r="D22" s="145"/>
      <c r="E22" s="214"/>
      <c r="F22" s="215"/>
      <c r="G22" s="214"/>
      <c r="H22" s="214"/>
      <c r="J22" s="214"/>
      <c r="K22" s="215"/>
      <c r="L22" s="215"/>
      <c r="M22" s="215"/>
      <c r="N22" s="214"/>
    </row>
    <row r="23" spans="1:17" x14ac:dyDescent="0.2">
      <c r="A23" s="210">
        <f t="shared" si="5"/>
        <v>15</v>
      </c>
      <c r="B23" s="11" t="s">
        <v>206</v>
      </c>
      <c r="C23" s="9" t="s">
        <v>205</v>
      </c>
      <c r="D23" s="145"/>
      <c r="E23" s="214"/>
      <c r="F23" s="215"/>
      <c r="G23" s="214"/>
      <c r="H23" s="214"/>
      <c r="J23" s="214"/>
      <c r="K23" s="215"/>
      <c r="L23" s="215"/>
      <c r="M23" s="215"/>
      <c r="N23" s="214"/>
    </row>
    <row r="24" spans="1:17" x14ac:dyDescent="0.2">
      <c r="A24" s="210">
        <f t="shared" si="5"/>
        <v>16</v>
      </c>
      <c r="B24" s="11"/>
      <c r="C24" s="11"/>
      <c r="D24" s="145"/>
      <c r="E24" s="214"/>
      <c r="F24" s="215"/>
      <c r="G24" s="214"/>
      <c r="H24" s="214"/>
      <c r="J24" s="214"/>
      <c r="K24" s="215"/>
      <c r="L24" s="215"/>
      <c r="M24" s="215"/>
      <c r="N24" s="214"/>
    </row>
    <row r="25" spans="1:17" x14ac:dyDescent="0.2">
      <c r="A25" s="210">
        <f t="shared" si="5"/>
        <v>17</v>
      </c>
      <c r="B25" s="10" t="s">
        <v>10</v>
      </c>
      <c r="C25" s="9" t="s">
        <v>204</v>
      </c>
      <c r="D25" s="145">
        <v>72445888.195832968</v>
      </c>
      <c r="E25" s="214">
        <f>+D25/D$27</f>
        <v>3.1355822521135961E-3</v>
      </c>
      <c r="F25" s="215"/>
      <c r="G25" s="214">
        <f>E25*$F$27</f>
        <v>9.4067467563407881E-4</v>
      </c>
      <c r="H25" s="214"/>
      <c r="I25" s="229">
        <v>3172.3054660621415</v>
      </c>
      <c r="J25" s="214">
        <f>+I25/I$27</f>
        <v>8.3861416257112931E-4</v>
      </c>
      <c r="K25" s="215"/>
      <c r="L25" s="214">
        <f>J25*$K$27</f>
        <v>5.8702991379979048E-4</v>
      </c>
      <c r="M25" s="214"/>
      <c r="N25" s="214">
        <f>SUM(G25,L25)</f>
        <v>1.5277045894338693E-3</v>
      </c>
      <c r="P25" s="216"/>
    </row>
    <row r="26" spans="1:17" x14ac:dyDescent="0.2">
      <c r="A26" s="210">
        <f t="shared" si="5"/>
        <v>18</v>
      </c>
      <c r="E26" s="214"/>
      <c r="F26" s="215"/>
      <c r="G26" s="214"/>
      <c r="H26" s="214"/>
      <c r="J26" s="214"/>
      <c r="N26" s="212"/>
    </row>
    <row r="27" spans="1:17" x14ac:dyDescent="0.2">
      <c r="A27" s="210">
        <f t="shared" si="5"/>
        <v>19</v>
      </c>
      <c r="B27" s="10" t="s">
        <v>203</v>
      </c>
      <c r="D27" s="17">
        <f>SUM(D9:D25)</f>
        <v>23104445162.297848</v>
      </c>
      <c r="E27" s="214">
        <f>SUM(E9:E26)</f>
        <v>1.0000000000000002</v>
      </c>
      <c r="F27" s="230">
        <v>0.3</v>
      </c>
      <c r="G27" s="214">
        <f>SUM(G9:G26)</f>
        <v>0.30000000000000016</v>
      </c>
      <c r="H27" s="213"/>
      <c r="I27" s="17">
        <f>SUM(I9:I25)</f>
        <v>3782795.0059131919</v>
      </c>
      <c r="J27" s="214">
        <f>SUM(J9:J26)</f>
        <v>1.0000000000000002</v>
      </c>
      <c r="K27" s="230">
        <v>0.7</v>
      </c>
      <c r="L27" s="214">
        <f>SUM(L9:L26)</f>
        <v>0.70000000000000018</v>
      </c>
      <c r="M27" s="213"/>
      <c r="N27" s="212">
        <f>SUM(N9:N26)</f>
        <v>1.0000000000000004</v>
      </c>
    </row>
    <row r="28" spans="1:17" x14ac:dyDescent="0.2">
      <c r="A28" s="210">
        <f t="shared" si="5"/>
        <v>20</v>
      </c>
      <c r="C28" s="204"/>
      <c r="D28" s="211"/>
      <c r="P28" s="135"/>
      <c r="Q28" s="135"/>
    </row>
    <row r="29" spans="1:17" x14ac:dyDescent="0.2">
      <c r="A29" s="210">
        <f t="shared" si="5"/>
        <v>21</v>
      </c>
      <c r="B29" s="209"/>
      <c r="C29" s="209"/>
      <c r="D29" s="208"/>
      <c r="E29" s="5"/>
      <c r="F29" s="5"/>
      <c r="G29" s="5"/>
      <c r="H29" s="5"/>
      <c r="I29" s="208"/>
      <c r="J29" s="5"/>
      <c r="K29" s="5"/>
      <c r="L29" s="5"/>
      <c r="M29" s="5"/>
      <c r="N29" s="5"/>
    </row>
    <row r="30" spans="1:17" ht="12" thickBot="1" x14ac:dyDescent="0.25">
      <c r="A30" s="207"/>
      <c r="B30" s="205"/>
      <c r="C30" s="205"/>
      <c r="D30" s="206"/>
      <c r="E30" s="205"/>
      <c r="F30" s="205"/>
      <c r="G30" s="205"/>
      <c r="H30" s="205"/>
      <c r="I30" s="206"/>
      <c r="J30" s="205"/>
      <c r="K30" s="205"/>
      <c r="L30" s="205"/>
      <c r="M30" s="205"/>
      <c r="N30" s="205"/>
    </row>
    <row r="32" spans="1:17" x14ac:dyDescent="0.2">
      <c r="B32" s="282" t="s">
        <v>234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</row>
    <row r="33" spans="2:14" x14ac:dyDescent="0.2"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</row>
    <row r="34" spans="2:14" x14ac:dyDescent="0.2"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</row>
    <row r="35" spans="2:14" x14ac:dyDescent="0.2">
      <c r="D35" s="145">
        <v>23104445162.297848</v>
      </c>
      <c r="I35" s="145">
        <v>3782795.0059131919</v>
      </c>
    </row>
    <row r="36" spans="2:14" x14ac:dyDescent="0.2">
      <c r="C36" s="204" t="s">
        <v>202</v>
      </c>
      <c r="D36" s="63">
        <f>+D27-D35</f>
        <v>0</v>
      </c>
      <c r="I36" s="17">
        <f>+I27-I35</f>
        <v>0</v>
      </c>
      <c r="J36" s="204" t="s">
        <v>202</v>
      </c>
    </row>
  </sheetData>
  <mergeCells count="5">
    <mergeCell ref="B3:N3"/>
    <mergeCell ref="B32:N33"/>
    <mergeCell ref="B4:N4"/>
    <mergeCell ref="A1:N1"/>
    <mergeCell ref="A2:N2"/>
  </mergeCells>
  <printOptions horizontalCentered="1"/>
  <pageMargins left="0.7" right="0.7" top="0.75" bottom="0.75" header="0.3" footer="0.3"/>
  <pageSetup scale="88" orientation="landscape" r:id="rId1"/>
  <headerFooter alignWithMargins="0">
    <oddHeader>&amp;RAdvice No. 2022-xx
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79998168889431442"/>
  </sheetPr>
  <dimension ref="A1:B7"/>
  <sheetViews>
    <sheetView workbookViewId="0">
      <pane ySplit="4" topLeftCell="A5" activePane="bottomLeft" state="frozen"/>
      <selection activeCell="J42" sqref="J42"/>
      <selection pane="bottomLeft" activeCell="J42" sqref="J42"/>
    </sheetView>
  </sheetViews>
  <sheetFormatPr defaultRowHeight="12.75" x14ac:dyDescent="0.2"/>
  <cols>
    <col min="1" max="1" width="38.28515625" style="256" customWidth="1"/>
    <col min="2" max="2" width="7.85546875" style="256" bestFit="1" customWidth="1"/>
    <col min="3" max="16384" width="9.140625" style="256"/>
  </cols>
  <sheetData>
    <row r="1" spans="1:2" ht="15" x14ac:dyDescent="0.35">
      <c r="A1" s="254" t="s">
        <v>79</v>
      </c>
      <c r="B1" s="255">
        <v>45778</v>
      </c>
    </row>
    <row r="2" spans="1:2" ht="15" x14ac:dyDescent="0.35">
      <c r="A2" s="257" t="s">
        <v>80</v>
      </c>
      <c r="B2" s="258" t="s">
        <v>201</v>
      </c>
    </row>
    <row r="3" spans="1:2" ht="15" x14ac:dyDescent="0.35">
      <c r="A3" s="257" t="s">
        <v>81</v>
      </c>
      <c r="B3" s="259">
        <v>45778</v>
      </c>
    </row>
    <row r="4" spans="1:2" ht="15" x14ac:dyDescent="0.35">
      <c r="A4" s="257" t="s">
        <v>82</v>
      </c>
      <c r="B4" s="259">
        <f>EOMONTH(B3, 11)</f>
        <v>46142</v>
      </c>
    </row>
    <row r="5" spans="1:2" ht="15" x14ac:dyDescent="0.35">
      <c r="A5" s="257"/>
      <c r="B5" s="258"/>
    </row>
    <row r="6" spans="1:2" ht="15" x14ac:dyDescent="0.35">
      <c r="A6" s="254"/>
      <c r="B6" s="259"/>
    </row>
    <row r="7" spans="1:2" ht="15" x14ac:dyDescent="0.35">
      <c r="A7" s="257"/>
      <c r="B7" s="25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2025-02-28T08:00:00+00:00</OpenedDate>
    <SignificantOrder xmlns="dc463f71-b30c-4ab2-9473-d307f9d35888">false</SignificantOrder>
    <Date1 xmlns="dc463f71-b30c-4ab2-9473-d307f9d35888">2025-02-28T08:00:00+00:00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250123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ADC98F8803C94980B6E2F85605CCBF" ma:contentTypeVersion="19" ma:contentTypeDescription="" ma:contentTypeScope="" ma:versionID="cd38a3cb6c58d1722c4e31262bf33d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8BAA5D-E12D-4D15-A280-34F639DD7367}">
  <ds:schemaRefs>
    <ds:schemaRef ds:uri="http://purl.org/dc/elements/1.1/"/>
    <ds:schemaRef ds:uri="dc463f71-b30c-4ab2-9473-d307f9d35888"/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D9B2B9-93BA-4ABB-A59F-3AAEF91EFA59}"/>
</file>

<file path=customXml/itemProps3.xml><?xml version="1.0" encoding="utf-8"?>
<ds:datastoreItem xmlns:ds="http://schemas.openxmlformats.org/officeDocument/2006/customXml" ds:itemID="{BADF55C4-AAB0-4AF9-82D8-B930D1340B52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2A4065FF-4182-4C55-AF9E-D38E0C35DAE5}"/>
</file>

<file path=customXml/itemProps5.xml><?xml version="1.0" encoding="utf-8"?>
<ds:datastoreItem xmlns:ds="http://schemas.openxmlformats.org/officeDocument/2006/customXml" ds:itemID="{B2822320-277A-41D3-8ED0-793F44D01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Sch 120 Rates</vt:lpstr>
      <vt:lpstr>Lighting Rates</vt:lpstr>
      <vt:lpstr>Rate Impacts</vt:lpstr>
      <vt:lpstr>Workpapers&gt;</vt:lpstr>
      <vt:lpstr>Lighting RD</vt:lpstr>
      <vt:lpstr>Rate Spread &amp; Design</vt:lpstr>
      <vt:lpstr>Energy and Demand Allocation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Rasanen</dc:creator>
  <cp:lastModifiedBy>Traore, Lori</cp:lastModifiedBy>
  <cp:lastPrinted>2024-02-29T00:19:46Z</cp:lastPrinted>
  <dcterms:created xsi:type="dcterms:W3CDTF">2001-02-07T23:54:25Z</dcterms:created>
  <dcterms:modified xsi:type="dcterms:W3CDTF">2025-02-28T21:58:16Z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0x0101006E56B4D1795A2E4DB2F0B01679ED314A00CEADC98F8803C94980B6E2F85605CCBF</vt:lpwstr>
  </property>
  <property fmtid="{D5CDD505-2E9C-101B-9397-08002B2CF9AE}" pid="3" name="_docset_NoMedatataSyncRequired">
    <vt:lpwstr>False</vt:lpwstr>
  </property>
  <property fmtid="{D5CDD505-2E9C-101B-9397-08002B2CF9AE}" pid="4" name="MSIP_Label_b689cc04-6351-41d8-9f1d-a834e5351c1d_Enabled">
    <vt:lpwstr>true</vt:lpwstr>
  </property>
  <property fmtid="{D5CDD505-2E9C-101B-9397-08002B2CF9AE}" pid="5" name="MSIP_Label_b689cc04-6351-41d8-9f1d-a834e5351c1d_SetDate">
    <vt:lpwstr>2025-02-21T21:03:22Z</vt:lpwstr>
  </property>
  <property fmtid="{D5CDD505-2E9C-101B-9397-08002B2CF9AE}" pid="6" name="MSIP_Label_b689cc04-6351-41d8-9f1d-a834e5351c1d_Method">
    <vt:lpwstr>Standard</vt:lpwstr>
  </property>
  <property fmtid="{D5CDD505-2E9C-101B-9397-08002B2CF9AE}" pid="7" name="MSIP_Label_b689cc04-6351-41d8-9f1d-a834e5351c1d_Name">
    <vt:lpwstr>Internal Use Only</vt:lpwstr>
  </property>
  <property fmtid="{D5CDD505-2E9C-101B-9397-08002B2CF9AE}" pid="8" name="MSIP_Label_b689cc04-6351-41d8-9f1d-a834e5351c1d_SiteId">
    <vt:lpwstr>58e8b525-6212-4087-a0d0-fa755583444b</vt:lpwstr>
  </property>
  <property fmtid="{D5CDD505-2E9C-101B-9397-08002B2CF9AE}" pid="9" name="MSIP_Label_b689cc04-6351-41d8-9f1d-a834e5351c1d_ActionId">
    <vt:lpwstr>337b78f5-19f8-47aa-92fe-b1af07afaa7c</vt:lpwstr>
  </property>
  <property fmtid="{D5CDD505-2E9C-101B-9397-08002B2CF9AE}" pid="10" name="MSIP_Label_b689cc04-6351-41d8-9f1d-a834e5351c1d_ContentBits">
    <vt:lpwstr>0</vt:lpwstr>
  </property>
</Properties>
</file>