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30B15F3D-A856-4C51-81BD-B3F4156FDED1}" xr6:coauthVersionLast="47" xr6:coauthVersionMax="47" xr10:uidLastSave="{00000000-0000-0000-0000-000000000000}"/>
  <bookViews>
    <workbookView xWindow="-42600" yWindow="2955" windowWidth="21600" windowHeight="11385" activeTab="3" xr2:uid="{03BD61A0-D359-4E31-8375-7952E7AD43C1}"/>
  </bookViews>
  <sheets>
    <sheet name="Notes" sheetId="10" r:id="rId1"/>
    <sheet name="Company Ref. " sheetId="9" r:id="rId2"/>
    <sheet name="References" sheetId="7" r:id="rId3"/>
    <sheet name="Staff Price Out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D" localSheetId="2">#REF!</definedName>
    <definedName name="\D">#REF!</definedName>
    <definedName name="\S" localSheetId="2">#REF!</definedName>
    <definedName name="\S">#REF!</definedName>
    <definedName name="\Y" localSheetId="2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[3]Hidden!#REF!</definedName>
    <definedName name="__ACT2">[3]Hidden!#REF!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localSheetId="2" hidden="1">#REF!</definedName>
    <definedName name="_132Graph_h" hidden="1">#REF!</definedName>
    <definedName name="_ACT1" localSheetId="1">[3]Hidden!#REF!</definedName>
    <definedName name="_ACT1" localSheetId="2">[7]Hidden!#REF!</definedName>
    <definedName name="_ACT1">[7]Hidden!#REF!</definedName>
    <definedName name="_ACT2" localSheetId="1">[3]Hidden!#REF!</definedName>
    <definedName name="_ACT2">[7]Hidden!#REF!</definedName>
    <definedName name="_ACT3" localSheetId="1">[3]Hidden!#REF!</definedName>
    <definedName name="_ACT3">[7]Hidden!#REF!</definedName>
    <definedName name="_ACT4">[2]Hidden!#REF!</definedName>
    <definedName name="_COS1" localSheetId="2">#REF!</definedName>
    <definedName name="_COS1">#REF!</definedName>
    <definedName name="_COS2" localSheetId="2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localSheetId="2" hidden="1">#REF!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localSheetId="2" hidden="1">#REF!</definedName>
    <definedName name="_max" hidden="1">#REF!</definedName>
    <definedName name="_Mon" localSheetId="2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2" hidden="1">#REF!</definedName>
    <definedName name="_Sort" hidden="1">#REF!</definedName>
    <definedName name="_Sort1" hidden="1">'[5]#REF'!$A$10:$Z$281</definedName>
    <definedName name="_sort3" hidden="1">[6]XXXXXX!$G$10:$J$11</definedName>
    <definedName name="a" localSheetId="1">#REF!</definedName>
    <definedName name="a" localSheetId="2">#REF!</definedName>
    <definedName name="a">#REF!</definedName>
    <definedName name="Accounts" localSheetId="2">#REF!</definedName>
    <definedName name="Accounts">#REF!</definedName>
    <definedName name="ACCT" localSheetId="1">[3]Hidden!#REF!</definedName>
    <definedName name="ACCT" localSheetId="2">[7]Hidden!#REF!</definedName>
    <definedName name="ACCT">[7]Hidden!#REF!</definedName>
    <definedName name="ACCT.ConsolSum">[1]Hidden!$Q$11</definedName>
    <definedName name="AcctName">'[8]2012 Act-Fcast P&amp;L'!#REF!</definedName>
    <definedName name="ACT_CUR" localSheetId="1">[3]Hidden!#REF!</definedName>
    <definedName name="ACT_CUR" localSheetId="2">[7]Hidden!#REF!</definedName>
    <definedName name="ACT_CUR">[7]Hidden!#REF!</definedName>
    <definedName name="ACT_YTD" localSheetId="1">[3]Hidden!#REF!</definedName>
    <definedName name="ACT_YTD" localSheetId="2">[7]Hidden!#REF!</definedName>
    <definedName name="ACT_YTD">[7]Hidden!#REF!</definedName>
    <definedName name="afsdfsdfsd" localSheetId="2">#REF!</definedName>
    <definedName name="afsdfsdfsd">#REF!</definedName>
    <definedName name="AmountCount" localSheetId="1">#REF!</definedName>
    <definedName name="AmountCount" localSheetId="2">#REF!</definedName>
    <definedName name="AmountCount">#REF!</definedName>
    <definedName name="AmountCount1" localSheetId="2">#REF!</definedName>
    <definedName name="AmountCount1">#REF!</definedName>
    <definedName name="AmountFrom">#REF!</definedName>
    <definedName name="AmountTo">#REF!</definedName>
    <definedName name="AmountTotal" localSheetId="1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 localSheetId="1">'[10]Pacific Regulated - Price Out'!$F$50</definedName>
    <definedName name="BookRev">'[11]Pacific Regulated - Price Out'!$F$50</definedName>
    <definedName name="BookRev_com" localSheetId="1">'[10]Pacific Regulated - Price Out'!$F$214</definedName>
    <definedName name="BookRev_com">'[11]Pacific Regulated - Price Out'!$F$214</definedName>
    <definedName name="BookRev_mfr" localSheetId="1">'[10]Pacific Regulated - Price Out'!$F$222</definedName>
    <definedName name="BookRev_mfr">'[11]Pacific Regulated - Price Out'!$F$222</definedName>
    <definedName name="BookRev_ro" localSheetId="1">'[10]Pacific Regulated - Price Out'!$F$282</definedName>
    <definedName name="BookRev_ro">'[11]Pacific Regulated - Price Out'!$F$282</definedName>
    <definedName name="BookRev_rr" localSheetId="1">'[10]Pacific Regulated - Price Out'!$F$59</definedName>
    <definedName name="BookRev_rr">'[11]Pacific Regulated - Price Out'!$F$59</definedName>
    <definedName name="BookRev_yw" localSheetId="1">'[10]Pacific Regulated - Price Out'!$F$70</definedName>
    <definedName name="BookRev_yw">'[11]Pacific Regulated - Price Out'!$F$70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BUD_CUR" localSheetId="1">[3]Hidden!#REF!</definedName>
    <definedName name="BUD_CUR" localSheetId="2">[7]Hidden!#REF!</definedName>
    <definedName name="BUD_CUR">[7]Hidden!#REF!</definedName>
    <definedName name="BUD_YTD" localSheetId="1">[3]Hidden!#REF!</definedName>
    <definedName name="BUD_YTD">[7]Hidden!#REF!</definedName>
    <definedName name="BusUnitCode">[9]Settings!$I$3</definedName>
    <definedName name="BusUnitName">[9]Settings!$I$4</definedName>
    <definedName name="CalRecyTons">'[12]Recycl Tons, Commodity Value'!$L$23</definedName>
    <definedName name="CanCartTons">[13]CanCartTonsAllocate!$E$3</definedName>
    <definedName name="CheckTotals" localSheetId="1">#REF!</definedName>
    <definedName name="CheckTotals" localSheetId="2">#REF!</definedName>
    <definedName name="CheckTotals">#REF!</definedName>
    <definedName name="CoCanTons">[14]Cust_Count1!$M$28</definedName>
    <definedName name="CoComYd">'[14]Gross Yardage Worksheet'!$L$16</definedName>
    <definedName name="CoCustCnt">#REF!</definedName>
    <definedName name="colgroup">[1]Orientation!$G$6</definedName>
    <definedName name="colsegment">[1]Orientation!$F$6</definedName>
    <definedName name="Comments">[15]Main!$K$57:INDEX([15]Main!$K$57:$K$59,SUMPRODUCT(--([15]Main!$K$57:$K$59&lt;&gt;"")))</definedName>
    <definedName name="CommlStaffPriceOut" localSheetId="2">'[16]Price Out-Reg EASTSIDE-Resi'!#REF!</definedName>
    <definedName name="CommlStaffPriceOut">'[16]Price Out-Reg EASTSIDE-Resi'!#REF!</definedName>
    <definedName name="CoMultiYd">'[14]Gross Yardage Worksheet'!$L$31</definedName>
    <definedName name="ContainerTons">[13]ContainerTonsAllocation!$E$2</definedName>
    <definedName name="COST_OF_SERVICE_STUDY">#REF!</definedName>
    <definedName name="CoXtraYds">#REF!</definedName>
    <definedName name="CR">#REF!</definedName>
    <definedName name="CRCTable" localSheetId="1">#REF!</definedName>
    <definedName name="CRCTable" localSheetId="2">#REF!</definedName>
    <definedName name="CRCTable">#REF!</definedName>
    <definedName name="CRCTableOLD" localSheetId="1">#REF!</definedName>
    <definedName name="CRCTableOLD" localSheetId="2">#REF!</definedName>
    <definedName name="CRCTableOLD">#REF!</definedName>
    <definedName name="CriteriaType" localSheetId="1">[17]ControlPanel!$Z$2:$Z$5</definedName>
    <definedName name="CriteriaType">[18]ControlPanel!$Z$2:$Z$5</definedName>
    <definedName name="CtyCanTons">[14]Cust_Count1!$N$28</definedName>
    <definedName name="CtyComYd">'[14]Gross Yardage Worksheet'!$L$49</definedName>
    <definedName name="CtyCustCnt">#REF!</definedName>
    <definedName name="CtyMultiYd">'[14]Gross Yardage Worksheet'!$L$64</definedName>
    <definedName name="CtyXtraYds">#REF!</definedName>
    <definedName name="Currency">[15]Main!$I$82</definedName>
    <definedName name="CurrentMonth" localSheetId="2">#REF!</definedName>
    <definedName name="CurrentMonth">#REF!</definedName>
    <definedName name="Cutomers" localSheetId="1">#REF!</definedName>
    <definedName name="Cutomers" localSheetId="2">#REF!</definedName>
    <definedName name="Cutomers">#REF!</definedName>
    <definedName name="Data_End_Test">#REF!</definedName>
    <definedName name="Data_Start_Test">#REF!</definedName>
    <definedName name="_xlnm.Database" localSheetId="1">#REF!</definedName>
    <definedName name="_xlnm.Database">#REF!</definedName>
    <definedName name="Database1" localSheetId="1">#REF!</definedName>
    <definedName name="Database1">#REF!</definedName>
    <definedName name="DateFrom" localSheetId="2">#REF!</definedName>
    <definedName name="DateFrom">#REF!</definedName>
    <definedName name="DateRange">#REF!</definedName>
    <definedName name="DateTo" localSheetId="2">#REF!</definedName>
    <definedName name="DateTo">#REF!</definedName>
    <definedName name="DBxStaffPriceOut" localSheetId="2">'[16]Price Out-Reg EASTSIDE-Resi'!#REF!</definedName>
    <definedName name="DBxStaffPriceOut">'[16]Price Out-Reg EASTSIDE-Resi'!#REF!</definedName>
    <definedName name="debtP">#REF!</definedName>
    <definedName name="DEPT" localSheetId="1">[3]Hidden!#REF!</definedName>
    <definedName name="DEPT" localSheetId="2">[7]Hidden!#REF!</definedName>
    <definedName name="DEPT">[7]Hidden!#REF!</definedName>
    <definedName name="DetailBudYear">#REF!</definedName>
    <definedName name="DetailDistrict">#REF!</definedName>
    <definedName name="Dist">[19]Data!$E$3</definedName>
    <definedName name="District" localSheetId="1">'[20]Vashon BS'!#REF!</definedName>
    <definedName name="District" localSheetId="2">'[21]Vashon BS'!#REF!</definedName>
    <definedName name="District">'[21]Vashon BS'!#REF!</definedName>
    <definedName name="DistrictNum" localSheetId="1">#REF!</definedName>
    <definedName name="DistrictNum" localSheetId="2">#REF!</definedName>
    <definedName name="DistrictNum">#REF!</definedName>
    <definedName name="Districts" localSheetId="2">#REF!</definedName>
    <definedName name="Districts">#REF!</definedName>
    <definedName name="DistrictSelection">[22]Summary!$C$6</definedName>
    <definedName name="dOG" localSheetId="2">#REF!</definedName>
    <definedName name="dOG">#REF!</definedName>
    <definedName name="drlFilter">[1]Settings!$D$27</definedName>
    <definedName name="End" localSheetId="1">#REF!</definedName>
    <definedName name="End" localSheetId="2">#REF!</definedName>
    <definedName name="End">#REF!</definedName>
    <definedName name="EntrieShownLimit" localSheetId="2">#REF!</definedName>
    <definedName name="EntrieShownLimit">#REF!</definedName>
    <definedName name="ExcludeIC" localSheetId="1">'[20]Vashon BS'!#REF!</definedName>
    <definedName name="ExcludeIC" localSheetId="2">'[21]Vashon BS'!#REF!</definedName>
    <definedName name="ExcludeIC">'[21]Vashon BS'!#REF!</definedName>
    <definedName name="ExpensesPF1" localSheetId="2">#REF!</definedName>
    <definedName name="ExpensesPF1">#REF!</definedName>
    <definedName name="EXT" localSheetId="2">#REF!</definedName>
    <definedName name="EXT">#REF!</definedName>
    <definedName name="FBTable" localSheetId="1">#REF!</definedName>
    <definedName name="FBTable" localSheetId="2">#REF!</definedName>
    <definedName name="FBTable">#REF!</definedName>
    <definedName name="FBTableOld" localSheetId="1">#REF!</definedName>
    <definedName name="FBTableOld">#REF!</definedName>
    <definedName name="filter">[1]Settings!$B$14:$H$25</definedName>
    <definedName name="FromMonth" localSheetId="2">#REF!</definedName>
    <definedName name="FromMonth">#REF!</definedName>
    <definedName name="FundsApprPend" localSheetId="2">[19]Data!#REF!</definedName>
    <definedName name="FundsApprPend">[19]Data!#REF!</definedName>
    <definedName name="FundsBudUnbud">[19]Data!#REF!</definedName>
    <definedName name="GLMappingStart" localSheetId="1">#REF!</definedName>
    <definedName name="GLMappingStart" localSheetId="2">#REF!</definedName>
    <definedName name="GLMappingStart">#REF!</definedName>
    <definedName name="GLMappingStart1" localSheetId="2">#REF!</definedName>
    <definedName name="GLMappingStart1">#REF!</definedName>
    <definedName name="GRETABLE">[23]Gresham!$E$12:$AI$261</definedName>
    <definedName name="Import_Range" localSheetId="2">[19]Data!#REF!</definedName>
    <definedName name="Import_Range">[19]Data!#REF!</definedName>
    <definedName name="IncomeStmnt" localSheetId="1">#REF!</definedName>
    <definedName name="IncomeStmnt" localSheetId="2">#REF!</definedName>
    <definedName name="IncomeStmnt">#REF!</definedName>
    <definedName name="INPUT" localSheetId="1">#REF!</definedName>
    <definedName name="INPUT" localSheetId="2">#REF!</definedName>
    <definedName name="INPUT">#REF!</definedName>
    <definedName name="INPUTc" localSheetId="2">#REF!</definedName>
    <definedName name="INPUTc">#REF!</definedName>
    <definedName name="Insurance" localSheetId="1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[19]Invoice_Drill!#REF!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1">#REF!</definedName>
    <definedName name="JEDetail" localSheetId="2">#REF!</definedName>
    <definedName name="JEDetail">#REF!</definedName>
    <definedName name="JEDetail1" localSheetId="2">#REF!</definedName>
    <definedName name="JEDetail1">#REF!</definedName>
    <definedName name="JEType" localSheetId="1">#REF!</definedName>
    <definedName name="JEType" localSheetId="2">#REF!</definedName>
    <definedName name="JEType">#REF!</definedName>
    <definedName name="JEType1">#REF!</definedName>
    <definedName name="Juris1CanCount">[13]Cust_Count1!$C$60</definedName>
    <definedName name="Juris1CanTons">[13]Cust_Count1!$C$30</definedName>
    <definedName name="Juris1ComYd">'[13]Gross Yardage Worksheet'!$L$16</definedName>
    <definedName name="Juris1CustCnt">[13]Cust_Count2!$E$39</definedName>
    <definedName name="Juris1MultiYd">'[13]Gross Yardage Worksheet'!$X$16</definedName>
    <definedName name="Juris1SeasonalYds">'[13]Gross Yardage Worksheet'!$R$18</definedName>
    <definedName name="Juris1XtraYds">[13]Cust_Count2!$E$28</definedName>
    <definedName name="Juris2CanCount">[13]Cust_Count1!$D$60</definedName>
    <definedName name="Juris2CanTons">[13]Cust_Count1!$D$30</definedName>
    <definedName name="Juris2ComYd">'[13]Gross Yardage Worksheet'!$L$33</definedName>
    <definedName name="Juris2CustCnt">[13]Cust_Count2!$F$39</definedName>
    <definedName name="Juris2MultiYd">'[13]Gross Yardage Worksheet'!$X$33</definedName>
    <definedName name="Juris2SeasonalYds">'[13]Gross Yardage Worksheet'!$R$35</definedName>
    <definedName name="Juris2XtraYds">[13]Cust_Count2!$F$28</definedName>
    <definedName name="Juris3CanCount">[13]Cust_Count1!$E$60</definedName>
    <definedName name="Juris3CanTons">[13]Cust_Count1!$E$30</definedName>
    <definedName name="Juris3ComYd">'[13]Gross Yardage Worksheet'!$L$51</definedName>
    <definedName name="Juris3CustCnt">[13]Cust_Count2!$G$39</definedName>
    <definedName name="Juris3MultiYd">'[13]Gross Yardage Worksheet'!$X$51</definedName>
    <definedName name="Juris3SeasonalYds">'[13]Gross Yardage Worksheet'!$R$53</definedName>
    <definedName name="Juris3XtraYds">[13]Cust_Count2!$G$28</definedName>
    <definedName name="Juris4CanCount">[13]Cust_Count1!$F$60</definedName>
    <definedName name="Juris4CanTons">[13]Cust_Count1!$F$30</definedName>
    <definedName name="Juris4ComYd">'[13]Gross Yardage Worksheet'!$L$68</definedName>
    <definedName name="Juris4CustCnt">[13]Cust_Count2!$H$39</definedName>
    <definedName name="Juris4MultiYd">'[13]Gross Yardage Worksheet'!$X$68</definedName>
    <definedName name="Juris4SeasonalYds">'[13]Gross Yardage Worksheet'!$R$70</definedName>
    <definedName name="Juris4XtraYds">[13]Cust_Count2!$H$28</definedName>
    <definedName name="Juris5CanCount">[13]Cust_Count1!$G$60</definedName>
    <definedName name="Juris5CanTons">[13]Cust_Count1!$G$30</definedName>
    <definedName name="Juris5ComYD">'[13]Gross Yardage Worksheet'!$L$85</definedName>
    <definedName name="Juris5CustCnt">[13]Cust_Count2!$I$39</definedName>
    <definedName name="Juris5MultiYd">'[13]Gross Yardage Worksheet'!$X$85</definedName>
    <definedName name="Juris5SeasonalYds">'[13]Gross Yardage Worksheet'!$R$87</definedName>
    <definedName name="Juris5XtraYds">[13]Cust_Count2!$I$28</definedName>
    <definedName name="Jurisdiction_1">'[13]Title Inputs'!$C$5</definedName>
    <definedName name="Jurisdiction_2">'[13]Title Inputs'!$C$6</definedName>
    <definedName name="Jurisdiction_3">'[13]Title Inputs'!$C$7</definedName>
    <definedName name="Jurisdiction_4">'[13]Title Inputs'!$C$8</definedName>
    <definedName name="Jurisdiction_5">'[13]Title Inputs'!$C$9</definedName>
    <definedName name="lblBillAreaStatus" localSheetId="1">#REF!</definedName>
    <definedName name="lblBillAreaStatus" localSheetId="2">#REF!</definedName>
    <definedName name="lblBillAreaStatus">#REF!</definedName>
    <definedName name="lblBillCycleStatus" localSheetId="1">#REF!</definedName>
    <definedName name="lblBillCycleStatus">#REF!</definedName>
    <definedName name="lblCategoryStatus" localSheetId="1">#REF!</definedName>
    <definedName name="lblCategoryStatus">#REF!</definedName>
    <definedName name="lblCompanyStatus" localSheetId="1">#REF!</definedName>
    <definedName name="lblCompanyStatus">#REF!</definedName>
    <definedName name="lblDatabaseStatus" localSheetId="1">#REF!</definedName>
    <definedName name="lblDatabaseStatus">#REF!</definedName>
    <definedName name="lblPullStatus" localSheetId="1">#REF!</definedName>
    <definedName name="lblPullStatus">#REF!</definedName>
    <definedName name="lllllllllllllllllllll" localSheetId="1">#REF!</definedName>
    <definedName name="lllllllllllllllllllll">#REF!</definedName>
    <definedName name="LOB">[24]DropDownRanges!$B$4:$B$37</definedName>
    <definedName name="LU_Line">#REF!</definedName>
    <definedName name="MainDataEnd" localSheetId="1">#REF!</definedName>
    <definedName name="MainDataEnd" localSheetId="2">#REF!</definedName>
    <definedName name="MainDataEnd">#REF!</definedName>
    <definedName name="MainDataStart" localSheetId="1">#REF!</definedName>
    <definedName name="MainDataStart" localSheetId="2">#REF!</definedName>
    <definedName name="MainDataStart">#REF!</definedName>
    <definedName name="MapKeyStart" localSheetId="1">#REF!</definedName>
    <definedName name="MapKeyStart" localSheetId="2">#REF!</definedName>
    <definedName name="MapKeyStart">#REF!</definedName>
    <definedName name="master_def" localSheetId="1">#REF!</definedName>
    <definedName name="master_def">#REF!</definedName>
    <definedName name="MATRIX">#REF!</definedName>
    <definedName name="MemoAttachment" localSheetId="1">#REF!</definedName>
    <definedName name="MemoAttachment">#REF!</definedName>
    <definedName name="MetaSet">[1]Orientation!$C$22</definedName>
    <definedName name="MFStaffPriceOut">'[16]Price Out-Reg EASTSIDE-Resi'!#REF!</definedName>
    <definedName name="MILTON" localSheetId="2">#REF!</definedName>
    <definedName name="MILTON">#REF!</definedName>
    <definedName name="Month">#REF!</definedName>
    <definedName name="MonthList">'[19]Lookup Tables'!$A$1:$A$13</definedName>
    <definedName name="NarrThreshold_Doll">[9]Settings!$I$27</definedName>
    <definedName name="NarrThreshold_Perc">[9]Settings!$I$26</definedName>
    <definedName name="NewLob">[24]DropDownRanges!$B$4:$B$37</definedName>
    <definedName name="NewOnlyOrg">#N/A</definedName>
    <definedName name="NewSource">[24]DropDownRanges!$D$4:$D$7</definedName>
    <definedName name="nn" localSheetId="2">#REF!</definedName>
    <definedName name="nn">#REF!</definedName>
    <definedName name="NOTES" localSheetId="1">#REF!</definedName>
    <definedName name="NOTES" localSheetId="2">#REF!</definedName>
    <definedName name="NOTES">#REF!</definedName>
    <definedName name="NR" localSheetId="1">#REF!</definedName>
    <definedName name="NR" localSheetId="2">#REF!</definedName>
    <definedName name="NR">#REF!</definedName>
    <definedName name="OfficerSalary">#N/A</definedName>
    <definedName name="OffsetAcctBil">[25]JEexport!$L$10</definedName>
    <definedName name="OffsetAcctPmt">[25]JEexport!$L$9</definedName>
    <definedName name="Org11_13">#N/A</definedName>
    <definedName name="Org7_10">#N/A</definedName>
    <definedName name="OthCanTons">[14]Cust_Count1!$O$28</definedName>
    <definedName name="OthComYd">'[14]Gross Yardage Worksheet'!$L$82</definedName>
    <definedName name="OthCustCnt">#REF!</definedName>
    <definedName name="OthMultiYd">'[14]Gross Yardage Worksheet'!$L$98</definedName>
    <definedName name="OthXtraYds">#REF!</definedName>
    <definedName name="p" localSheetId="1">#REF!</definedName>
    <definedName name="p" localSheetId="2">#REF!</definedName>
    <definedName name="p">#REF!</definedName>
    <definedName name="PAGE_1" localSheetId="1">#REF!</definedName>
    <definedName name="PAGE_1" localSheetId="2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1">#REF!</definedName>
    <definedName name="pBatchID">#REF!</definedName>
    <definedName name="pBillArea" localSheetId="1">#REF!</definedName>
    <definedName name="pBillArea">#REF!</definedName>
    <definedName name="pBillCycle" localSheetId="1">#REF!</definedName>
    <definedName name="pBillCycle">#REF!</definedName>
    <definedName name="pCategory" localSheetId="1">#REF!</definedName>
    <definedName name="pCategory">#REF!</definedName>
    <definedName name="pCompany" localSheetId="1">#REF!</definedName>
    <definedName name="pCompany">#REF!</definedName>
    <definedName name="pCustomerNumber" localSheetId="1">#REF!</definedName>
    <definedName name="pCustomerNumber">#REF!</definedName>
    <definedName name="pDatabase" localSheetId="1">#REF!</definedName>
    <definedName name="pDatabase">#REF!</definedName>
    <definedName name="pEndPostDate" localSheetId="1">#REF!</definedName>
    <definedName name="pEndPostDate">#REF!</definedName>
    <definedName name="Period" localSheetId="1">#REF!</definedName>
    <definedName name="Period">#REF!</definedName>
    <definedName name="pMonth" localSheetId="1">#REF!</definedName>
    <definedName name="pMonth">#REF!</definedName>
    <definedName name="pOnlyShowLastTranx" localSheetId="1">#REF!</definedName>
    <definedName name="pOnlyShowLastTranx">#REF!</definedName>
    <definedName name="Posting">#REF!</definedName>
    <definedName name="primtbl">[1]Orientation!$C$23</definedName>
    <definedName name="_xlnm.Print_Area" localSheetId="1">'Company Ref. '!$A$1:$T$58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Print_Area_MIc" localSheetId="2">#REF!</definedName>
    <definedName name="Print_Area_MIc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5" localSheetId="1">#REF!</definedName>
    <definedName name="Print_Area5">#REF!</definedName>
    <definedName name="Print1" localSheetId="1">#REF!</definedName>
    <definedName name="Print1" localSheetId="2">#REF!</definedName>
    <definedName name="Print1">#REF!</definedName>
    <definedName name="Print2" localSheetId="1">#REF!</definedName>
    <definedName name="Print2" localSheetId="2">#REF!</definedName>
    <definedName name="Print2">#REF!</definedName>
    <definedName name="Print5" localSheetId="1">#REF!</definedName>
    <definedName name="Print5" localSheetId="2">#REF!</definedName>
    <definedName name="Print5">#REF!</definedName>
    <definedName name="ProRev" localSheetId="1">'[10]Pacific Regulated - Price Out'!$M$49</definedName>
    <definedName name="ProRev">'[11]Pacific Regulated - Price Out'!$M$49</definedName>
    <definedName name="ProRev_com" localSheetId="1">'[10]Pacific Regulated - Price Out'!$M$213</definedName>
    <definedName name="ProRev_com">'[11]Pacific Regulated - Price Out'!$M$213</definedName>
    <definedName name="ProRev_mfr" localSheetId="1">'[10]Pacific Regulated - Price Out'!$M$221</definedName>
    <definedName name="ProRev_mfr">'[11]Pacific Regulated - Price Out'!$M$221</definedName>
    <definedName name="ProRev_ro" localSheetId="1">'[10]Pacific Regulated - Price Out'!$M$281</definedName>
    <definedName name="ProRev_ro">'[11]Pacific Regulated - Price Out'!$M$281</definedName>
    <definedName name="ProRev_rr" localSheetId="1">'[10]Pacific Regulated - Price Out'!$M$58</definedName>
    <definedName name="ProRev_rr">'[11]Pacific Regulated - Price Out'!$M$58</definedName>
    <definedName name="ProRev_yw" localSheetId="1">'[10]Pacific Regulated - Price Out'!$M$69</definedName>
    <definedName name="ProRev_yw">'[11]Pacific Regulated - Price Out'!$M$69</definedName>
    <definedName name="pServer" localSheetId="1">#REF!</definedName>
    <definedName name="pServer" localSheetId="2">#REF!</definedName>
    <definedName name="pServer">#REF!</definedName>
    <definedName name="pServiceCode" localSheetId="1">#REF!</definedName>
    <definedName name="pServiceCode" localSheetId="2">#REF!</definedName>
    <definedName name="pServiceCode">#REF!</definedName>
    <definedName name="pShowAllUnposted" localSheetId="1">#REF!</definedName>
    <definedName name="pShowAllUnposted" localSheetId="2">#REF!</definedName>
    <definedName name="pShowAllUnposted">#REF!</definedName>
    <definedName name="pShowCustomerDetail" localSheetId="1">#REF!</definedName>
    <definedName name="pShowCustomerDetail">#REF!</definedName>
    <definedName name="pSortOption" localSheetId="1">#REF!</definedName>
    <definedName name="pSortOption">#REF!</definedName>
    <definedName name="pStartPostDate" localSheetId="1">#REF!</definedName>
    <definedName name="pStartPostDate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g_Cust_Billed_Percent">'[26]Consolidated IS 2009 2010'!$AK$20</definedName>
    <definedName name="Reg_Cust_Percent">'[26]Consolidated IS 2009 2010'!$AC$20</definedName>
    <definedName name="Reg_Drive_Percent">'[26]Consolidated IS 2009 2010'!$AC$40</definedName>
    <definedName name="Reg_Haul_Rev_Percent">'[26]Consolidated IS 2009 2010'!$Z$18</definedName>
    <definedName name="Reg_Lab_Percent">'[26]Consolidated IS 2009 2010'!$AC$39</definedName>
    <definedName name="Reg_Steel_Cont_Percent">'[26]Consolidated IS 2009 2010'!$AE$120</definedName>
    <definedName name="RegulatedIS">'[26]2009 IS'!$A$12:$Q$655</definedName>
    <definedName name="RelatedSalary">#N/A</definedName>
    <definedName name="report_type">[1]Orientation!$C$24</definedName>
    <definedName name="Reporting_Jurisdiction">'[13]Title Inputs'!$C$4</definedName>
    <definedName name="ReportNames" localSheetId="1">[17]ControlPanel!$X$2:$X$8</definedName>
    <definedName name="ReportNames">[27]ControlPanel!$S$2:$S$16</definedName>
    <definedName name="ReportVersion">[1]Settings!$D$5</definedName>
    <definedName name="ReslStaffPriceOut">'[16]Price Out-Reg EASTSIDE-Resi'!#REF!</definedName>
    <definedName name="RetainedEarnings" localSheetId="1">#REF!</definedName>
    <definedName name="RetainedEarnings" localSheetId="2">#REF!</definedName>
    <definedName name="RetainedEarnings">#REF!</definedName>
    <definedName name="RevCust" localSheetId="1">[28]RevenuesCust!#REF!</definedName>
    <definedName name="RevCust" localSheetId="2">[29]RevenuesCust!#REF!</definedName>
    <definedName name="RevCust">[29]RevenuesCust!#REF!</definedName>
    <definedName name="RevCustomer" localSheetId="2">#REF!</definedName>
    <definedName name="RevCustomer">#REF!</definedName>
    <definedName name="RevenuePF1" localSheetId="2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'[30]Variance Report'!#REF!</definedName>
    <definedName name="Sbst">#REF!</definedName>
    <definedName name="seffasfasdfsd" localSheetId="2">[7]Hidden!#REF!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>#REF!</definedName>
    <definedName name="slope">'[31]LG Nonpublic 2018 V5.0'!$X$58</definedName>
    <definedName name="sortcol" localSheetId="1">#REF!</definedName>
    <definedName name="sortcol" localSheetId="2">#REF!</definedName>
    <definedName name="sortcol">#REF!</definedName>
    <definedName name="Source">[24]DropDownRanges!$D$4:$D$7</definedName>
    <definedName name="SPWS_WBID">"115966228744984"</definedName>
    <definedName name="sSRCDate" localSheetId="1">'[32]Feb''12 FAR Data'!#REF!</definedName>
    <definedName name="sSRCDate" localSheetId="2">'[33]Feb''12 FAR Data'!#REF!</definedName>
    <definedName name="sSRCDate">'[33]Feb''12 FAR Data'!#REF!</definedName>
    <definedName name="SubSystem">#REF!</definedName>
    <definedName name="SubSystems" localSheetId="2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[34]BS_Close!$V$8</definedName>
    <definedName name="Systems" localSheetId="2">#REF!</definedName>
    <definedName name="Systems">#REF!</definedName>
    <definedName name="Table_SIC">#REF!</definedName>
    <definedName name="TargetMonths">[9]Settings!$I$18</definedName>
    <definedName name="TemplateEnd" localSheetId="1">#REF!</definedName>
    <definedName name="TemplateEnd" localSheetId="2">#REF!</definedName>
    <definedName name="TemplateEnd">#REF!</definedName>
    <definedName name="TemplateStart" localSheetId="1">#REF!</definedName>
    <definedName name="TemplateStart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imeseries">[1]Orientation!$B$6:$C$13</definedName>
    <definedName name="ToMonth" localSheetId="2">#REF!</definedName>
    <definedName name="ToMonth">#REF!</definedName>
    <definedName name="Tons" localSheetId="2">#REF!</definedName>
    <definedName name="Tons">#REF!</definedName>
    <definedName name="Total_Comm">'[12]Tariff Rate Sheet'!$L$214</definedName>
    <definedName name="Total_DB">'[12]Tariff Rate Sheet'!$L$278</definedName>
    <definedName name="Total_Resi">'[12]Tariff Rate Sheet'!$L$107</definedName>
    <definedName name="TotalYards">'[14]Gross Yardage Worksheet'!$N$101</definedName>
    <definedName name="TOTCONT">'[23]Sorted Master'!$K$9</definedName>
    <definedName name="TOTCRECCONT">'[23]Sorted Master'!$Z$9</definedName>
    <definedName name="TOTCRECCUST">'[35]Master IS (C)'!#REF!</definedName>
    <definedName name="TOTCRECDH">'[35]Master IS (C)'!#REF!</definedName>
    <definedName name="TOTCRECREV">'[35]Master IS (C)'!#REF!</definedName>
    <definedName name="TOTCRECTDEP">'[35]Master IS (C)'!#REF!</definedName>
    <definedName name="TOTCRECTH">'[23]Sorted Master'!$Z$8</definedName>
    <definedName name="TOTCRECTV">'[35]Master IS (C)'!#REF!</definedName>
    <definedName name="TOTCUST">'[35]Master IS (C)'!#REF!</definedName>
    <definedName name="TOTDBCONT">'[35]Master IS (C)'!#REF!</definedName>
    <definedName name="TOTDBCUST">'[35]Master IS (C)'!#REF!</definedName>
    <definedName name="TOTDBDH">'[35]Master IS (C)'!#REF!</definedName>
    <definedName name="TOTDBREV">'[35]Master IS (C)'!#REF!</definedName>
    <definedName name="TOTDBTDEP">'[35]Master IS (C)'!#REF!</definedName>
    <definedName name="TOTDBTH">'[35]Master IS (C)'!#REF!</definedName>
    <definedName name="TOTDBTV">'[35]Master IS (C)'!#REF!</definedName>
    <definedName name="TOTDEBCONT">'[35]Master IS (C)'!#REF!</definedName>
    <definedName name="TOTDEBCUST">'[35]Master IS (C)'!#REF!</definedName>
    <definedName name="TOTDEBDH">'[35]Master IS (C)'!#REF!</definedName>
    <definedName name="TOTDEBREV">'[35]Master IS (C)'!#REF!</definedName>
    <definedName name="TOTDEBTH">'[23]Sorted Master'!$AD$8</definedName>
    <definedName name="TOTDH">'[35]Master IS (C)'!#REF!</definedName>
    <definedName name="TOTFELCONT">'[35]Master IS (C)'!#REF!</definedName>
    <definedName name="TOTFELCUST">'[35]Master IS (C)'!#REF!</definedName>
    <definedName name="TOTFELDH">'[35]Master IS (C)'!#REF!</definedName>
    <definedName name="TOTFELREV">'[35]Master IS (C)'!#REF!</definedName>
    <definedName name="TOTFELTDEP">'[35]Master IS (C)'!#REF!</definedName>
    <definedName name="TOTFELTH">'[35]Master IS (C)'!#REF!</definedName>
    <definedName name="TOTFELTV">'[35]Master IS (C)'!#REF!</definedName>
    <definedName name="TOTRESCONT">'[35]Master IS (C)'!#REF!</definedName>
    <definedName name="TOTRESCUST">'[35]Master IS (C)'!#REF!</definedName>
    <definedName name="TOTRESDH">'[35]Master IS (C)'!#REF!</definedName>
    <definedName name="TOTRESRCONT">'[35]Master IS (C)'!#REF!</definedName>
    <definedName name="TOTRESRCUST">'[35]Master IS (C)'!#REF!</definedName>
    <definedName name="TOTRESRDH">'[35]Master IS (C)'!#REF!</definedName>
    <definedName name="TOTRESREV">'[35]Master IS (C)'!#REF!</definedName>
    <definedName name="TOTRESRREV">'[35]Master IS (C)'!#REF!</definedName>
    <definedName name="TOTRESRTDEP">'[35]Master IS (C)'!#REF!</definedName>
    <definedName name="TOTRESRTH">'[35]Master IS (C)'!#REF!</definedName>
    <definedName name="TOTRESRTV">'[35]Master IS (C)'!#REF!</definedName>
    <definedName name="TOTRESTDEP">'[35]Master IS (C)'!#REF!</definedName>
    <definedName name="TOTRESTH">'[35]Master IS (C)'!#REF!</definedName>
    <definedName name="TOTRESTV">'[35]Master IS (C)'!#REF!</definedName>
    <definedName name="TOTREV">'[35]Master IS (C)'!#REF!</definedName>
    <definedName name="TOTTDEP">'[35]Master IS (C)'!#REF!</definedName>
    <definedName name="TOTTH">'[35]Master IS (C)'!#REF!</definedName>
    <definedName name="TOTTV">'[35]Master IS (C)'!#REF!</definedName>
    <definedName name="Transactions" localSheetId="1">#REF!</definedName>
    <definedName name="Transactions" localSheetId="2">#REF!</definedName>
    <definedName name="Transactions">#REF!</definedName>
    <definedName name="UnformattedIS">#REF!</definedName>
    <definedName name="UnregulatedIS">'[26]2010 IS'!$A$12:$Q$654</definedName>
    <definedName name="ValidFormats">[4]Delivery!$AA$4:$AA$10</definedName>
    <definedName name="VendorCode" localSheetId="2">#REF!</definedName>
    <definedName name="VendorCode">#REF!</definedName>
    <definedName name="Version" localSheetId="2">[19]Data!#REF!</definedName>
    <definedName name="Version">[19]Data!#REF!</definedName>
    <definedName name="WksInYr">#REF!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1">#REF!</definedName>
    <definedName name="WTable" localSheetId="2">#REF!</definedName>
    <definedName name="WTable">#REF!</definedName>
    <definedName name="WTableOld" localSheetId="1">#REF!</definedName>
    <definedName name="WTableOld" localSheetId="2">#REF!</definedName>
    <definedName name="WTableOld">#REF!</definedName>
    <definedName name="ww" localSheetId="1">#REF!</definedName>
    <definedName name="ww" localSheetId="2">#REF!</definedName>
    <definedName name="ww">#REF!</definedName>
    <definedName name="xperiod">[1]Orientation!$G$15</definedName>
    <definedName name="xtabin" localSheetId="1">[3]Hidden!#REF!</definedName>
    <definedName name="xtabin" localSheetId="2">[7]Hidden!#REF!</definedName>
    <definedName name="xtabin">[7]Hidden!#REF!</definedName>
    <definedName name="xx" localSheetId="1">#REF!</definedName>
    <definedName name="xx" localSheetId="2">#REF!</definedName>
    <definedName name="xx">#REF!</definedName>
    <definedName name="xxx" localSheetId="1">#REF!</definedName>
    <definedName name="xxx" localSheetId="2">#REF!</definedName>
    <definedName name="xxx">#REF!</definedName>
    <definedName name="xxxx" localSheetId="1">#REF!</definedName>
    <definedName name="xxxx" localSheetId="2">#REF!</definedName>
    <definedName name="xxxx">#REF!</definedName>
    <definedName name="y_inter1">'[31]LG Nonpublic 2018 V5.0'!$W$55</definedName>
    <definedName name="y_inter2">'[31]LG Nonpublic 2018 V5.0'!$W$56</definedName>
    <definedName name="y_inter3">'[31]LG Nonpublic 2018 V5.0'!$Y$55</definedName>
    <definedName name="y_inter4">'[31]LG Nonpublic 2018 V5.0'!$Y$56</definedName>
    <definedName name="Year">'[36]Aug Av. Fuel Price'!$E$15</definedName>
    <definedName name="Year_of_Review">'[13]Title Inputs'!$C$3</definedName>
    <definedName name="YearMonth" localSheetId="1">'[20]Vashon BS'!#REF!</definedName>
    <definedName name="YearMonth" localSheetId="2">'[21]Vashon BS'!#REF!</definedName>
    <definedName name="YearMonth">'[21]Vashon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 localSheetId="2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9" l="1"/>
  <c r="G39" i="1"/>
  <c r="G33" i="1" l="1"/>
  <c r="G41" i="1"/>
  <c r="G40" i="1"/>
  <c r="H40" i="1" s="1"/>
  <c r="H41" i="1"/>
  <c r="H39" i="1"/>
  <c r="H38" i="1"/>
  <c r="G38" i="1"/>
  <c r="F12" i="1" l="1"/>
  <c r="F50" i="9"/>
  <c r="G37" i="1"/>
  <c r="H37" i="1" s="1"/>
  <c r="G30" i="1"/>
  <c r="B22" i="9"/>
  <c r="C16" i="9" l="1"/>
  <c r="D18" i="1" l="1"/>
  <c r="D15" i="1"/>
  <c r="D9" i="1"/>
  <c r="D19" i="1" l="1"/>
  <c r="G32" i="1" l="1"/>
  <c r="G36" i="1" s="1"/>
  <c r="H36" i="1" s="1"/>
  <c r="H32" i="1" l="1"/>
  <c r="E28" i="1" l="1"/>
  <c r="F28" i="1" s="1"/>
  <c r="G29" i="1"/>
  <c r="G31" i="1"/>
  <c r="G28" i="1"/>
  <c r="G34" i="1"/>
  <c r="G17" i="1" l="1"/>
  <c r="G14" i="1"/>
  <c r="G13" i="1"/>
  <c r="G12" i="1"/>
  <c r="G11" i="1"/>
  <c r="G35" i="1" l="1"/>
  <c r="H35" i="1" s="1"/>
  <c r="H12" i="1"/>
  <c r="H33" i="1"/>
  <c r="H28" i="1"/>
  <c r="G8" i="1" l="1"/>
  <c r="G7" i="1"/>
  <c r="G6" i="1"/>
  <c r="G5" i="1"/>
  <c r="G4" i="1"/>
  <c r="G3" i="1"/>
  <c r="G2" i="1"/>
  <c r="K46" i="9"/>
  <c r="S45" i="9"/>
  <c r="R45" i="9"/>
  <c r="Q45" i="9"/>
  <c r="P45" i="9"/>
  <c r="P46" i="9" s="1"/>
  <c r="O45" i="9"/>
  <c r="O46" i="9" s="1"/>
  <c r="I45" i="9"/>
  <c r="I47" i="9" s="1"/>
  <c r="H45" i="9"/>
  <c r="H47" i="9" s="1"/>
  <c r="G45" i="9"/>
  <c r="G47" i="9" s="1"/>
  <c r="F45" i="9"/>
  <c r="F47" i="9" s="1"/>
  <c r="E45" i="9"/>
  <c r="E47" i="9" s="1"/>
  <c r="T44" i="9"/>
  <c r="K44" i="9"/>
  <c r="T43" i="9"/>
  <c r="K43" i="9"/>
  <c r="T42" i="9"/>
  <c r="K42" i="9"/>
  <c r="T41" i="9"/>
  <c r="K41" i="9"/>
  <c r="T40" i="9"/>
  <c r="K40" i="9"/>
  <c r="T39" i="9"/>
  <c r="K39" i="9"/>
  <c r="T38" i="9"/>
  <c r="K38" i="9"/>
  <c r="T37" i="9"/>
  <c r="K37" i="9"/>
  <c r="T36" i="9"/>
  <c r="K36" i="9"/>
  <c r="T35" i="9"/>
  <c r="K35" i="9"/>
  <c r="T34" i="9"/>
  <c r="K34" i="9"/>
  <c r="T33" i="9"/>
  <c r="K33" i="9"/>
  <c r="D21" i="1"/>
  <c r="D22" i="1" s="1"/>
  <c r="F18" i="9"/>
  <c r="F19" i="9" s="1"/>
  <c r="B17" i="9"/>
  <c r="B20" i="9" s="1"/>
  <c r="D9" i="9"/>
  <c r="G9" i="9" s="1"/>
  <c r="D8" i="9"/>
  <c r="E8" i="9" s="1"/>
  <c r="G7" i="9"/>
  <c r="D7" i="9"/>
  <c r="E2" i="1" s="1"/>
  <c r="D6" i="9"/>
  <c r="E6" i="9" s="1"/>
  <c r="B21" i="9" l="1"/>
  <c r="B23" i="9"/>
  <c r="E11" i="1"/>
  <c r="C17" i="9"/>
  <c r="F6" i="9"/>
  <c r="F8" i="9"/>
  <c r="K45" i="9"/>
  <c r="K47" i="9" s="1"/>
  <c r="E13" i="1"/>
  <c r="E14" i="1"/>
  <c r="E9" i="9"/>
  <c r="E30" i="1"/>
  <c r="F30" i="1" s="1"/>
  <c r="H30" i="1" s="1"/>
  <c r="E17" i="1"/>
  <c r="G6" i="9"/>
  <c r="G8" i="9"/>
  <c r="E7" i="9"/>
  <c r="E4" i="1"/>
  <c r="E5" i="1"/>
  <c r="E3" i="1"/>
  <c r="E6" i="1"/>
  <c r="E7" i="1"/>
  <c r="F7" i="9"/>
  <c r="F9" i="9"/>
  <c r="T45" i="9"/>
  <c r="T46" i="9" s="1"/>
  <c r="E8" i="1"/>
  <c r="O8" i="1" l="1"/>
  <c r="O7" i="1"/>
  <c r="O6" i="1"/>
  <c r="O5" i="1"/>
  <c r="O4" i="1"/>
  <c r="O2" i="1"/>
  <c r="O3" i="1"/>
  <c r="F14" i="1" l="1"/>
  <c r="O14" i="1" s="1"/>
  <c r="H14" i="1" l="1"/>
  <c r="O12" i="1" l="1"/>
  <c r="F13" i="1"/>
  <c r="O13" i="1" s="1"/>
  <c r="C61" i="7"/>
  <c r="E61" i="7" s="1"/>
  <c r="H60" i="7"/>
  <c r="H62" i="7" s="1"/>
  <c r="H64" i="7" s="1"/>
  <c r="D60" i="7"/>
  <c r="D59" i="7"/>
  <c r="C54" i="7"/>
  <c r="C53" i="7"/>
  <c r="C51" i="7"/>
  <c r="C50" i="7"/>
  <c r="C49" i="7"/>
  <c r="C47" i="7"/>
  <c r="C46" i="7"/>
  <c r="C45" i="7"/>
  <c r="C44" i="7"/>
  <c r="C42" i="7"/>
  <c r="C41" i="7"/>
  <c r="C40" i="7"/>
  <c r="C13" i="7"/>
  <c r="D13" i="7" s="1"/>
  <c r="C12" i="7"/>
  <c r="C11" i="7"/>
  <c r="C10" i="7"/>
  <c r="I10" i="7" s="1"/>
  <c r="C9" i="7"/>
  <c r="G9" i="7" s="1"/>
  <c r="C8" i="7"/>
  <c r="F8" i="7" s="1"/>
  <c r="C7" i="7"/>
  <c r="I7" i="7" s="1"/>
  <c r="D61" i="7" l="1"/>
  <c r="E10" i="7"/>
  <c r="F12" i="7"/>
  <c r="D9" i="7"/>
  <c r="F9" i="7"/>
  <c r="H9" i="7"/>
  <c r="G13" i="7"/>
  <c r="I11" i="7"/>
  <c r="E32" i="1"/>
  <c r="E33" i="1"/>
  <c r="E29" i="1"/>
  <c r="E31" i="1"/>
  <c r="F31" i="1" s="1"/>
  <c r="H31" i="1" s="1"/>
  <c r="E34" i="1"/>
  <c r="F34" i="1" s="1"/>
  <c r="H34" i="1" s="1"/>
  <c r="D7" i="7"/>
  <c r="D11" i="7"/>
  <c r="F13" i="7"/>
  <c r="F7" i="7"/>
  <c r="F11" i="7"/>
  <c r="H13" i="7"/>
  <c r="H7" i="7"/>
  <c r="H10" i="7"/>
  <c r="H11" i="7"/>
  <c r="H13" i="1"/>
  <c r="G7" i="7"/>
  <c r="D8" i="7"/>
  <c r="H8" i="7"/>
  <c r="E9" i="7"/>
  <c r="I9" i="7"/>
  <c r="F10" i="7"/>
  <c r="G11" i="7"/>
  <c r="D12" i="7"/>
  <c r="H12" i="7"/>
  <c r="E13" i="7"/>
  <c r="I13" i="7"/>
  <c r="C64" i="7"/>
  <c r="C65" i="7" s="1"/>
  <c r="C67" i="7" s="1"/>
  <c r="I8" i="7"/>
  <c r="G10" i="7"/>
  <c r="E12" i="7"/>
  <c r="I12" i="7"/>
  <c r="G8" i="7"/>
  <c r="G12" i="7"/>
  <c r="E8" i="7"/>
  <c r="E7" i="7"/>
  <c r="D10" i="7"/>
  <c r="E11" i="7"/>
  <c r="F29" i="1" l="1"/>
  <c r="H29" i="1" s="1"/>
  <c r="F11" i="1"/>
  <c r="F8" i="1"/>
  <c r="H8" i="1" s="1"/>
  <c r="F7" i="1"/>
  <c r="H7" i="1" s="1"/>
  <c r="F4" i="1"/>
  <c r="H4" i="1" s="1"/>
  <c r="F5" i="1"/>
  <c r="H5" i="1" s="1"/>
  <c r="F6" i="1"/>
  <c r="H6" i="1" s="1"/>
  <c r="F3" i="1"/>
  <c r="H3" i="1" s="1"/>
  <c r="O11" i="1" l="1"/>
  <c r="O9" i="1"/>
  <c r="F15" i="1"/>
  <c r="F17" i="1" l="1"/>
  <c r="F18" i="1" l="1"/>
  <c r="O17" i="1"/>
  <c r="F2" i="1"/>
  <c r="H2" i="1" s="1"/>
  <c r="H11" i="1" l="1"/>
  <c r="H15" i="1" s="1"/>
  <c r="H17" i="1" l="1"/>
  <c r="H18" i="1" s="1"/>
  <c r="H9" i="1" l="1"/>
  <c r="H19" i="1" s="1"/>
  <c r="D23" i="1" s="1"/>
  <c r="D24" i="1" l="1"/>
  <c r="I36" i="1"/>
  <c r="J36" i="1" s="1"/>
  <c r="K36" i="1" s="1"/>
  <c r="F9" i="1"/>
  <c r="F19" i="1" s="1"/>
  <c r="L36" i="1" l="1"/>
  <c r="N36" i="1" s="1"/>
  <c r="I38" i="1"/>
  <c r="J38" i="1" s="1"/>
  <c r="K38" i="1" s="1"/>
  <c r="L38" i="1" s="1"/>
  <c r="N38" i="1" s="1"/>
  <c r="I41" i="1"/>
  <c r="J41" i="1" s="1"/>
  <c r="K41" i="1" s="1"/>
  <c r="L41" i="1" s="1"/>
  <c r="N41" i="1" s="1"/>
  <c r="I40" i="1"/>
  <c r="J40" i="1" s="1"/>
  <c r="K40" i="1" s="1"/>
  <c r="L40" i="1" s="1"/>
  <c r="N40" i="1" s="1"/>
  <c r="I39" i="1"/>
  <c r="J39" i="1" s="1"/>
  <c r="K39" i="1" s="1"/>
  <c r="L39" i="1" s="1"/>
  <c r="N39" i="1" s="1"/>
  <c r="I37" i="1"/>
  <c r="J37" i="1" s="1"/>
  <c r="K37" i="1" s="1"/>
  <c r="L37" i="1" s="1"/>
  <c r="N37" i="1" s="1"/>
  <c r="I35" i="1"/>
  <c r="J35" i="1" s="1"/>
  <c r="K35" i="1" s="1"/>
  <c r="L35" i="1" s="1"/>
  <c r="N35" i="1" s="1"/>
  <c r="I32" i="1"/>
  <c r="J32" i="1" s="1"/>
  <c r="K32" i="1" s="1"/>
  <c r="L32" i="1" s="1"/>
  <c r="N32" i="1" s="1"/>
  <c r="I34" i="1"/>
  <c r="I30" i="1"/>
  <c r="J30" i="1" s="1"/>
  <c r="K30" i="1" s="1"/>
  <c r="I33" i="1"/>
  <c r="J33" i="1" s="1"/>
  <c r="K33" i="1" s="1"/>
  <c r="I31" i="1"/>
  <c r="J31" i="1" s="1"/>
  <c r="K31" i="1" s="1"/>
  <c r="L31" i="1" s="1"/>
  <c r="N31" i="1" s="1"/>
  <c r="I28" i="1"/>
  <c r="J28" i="1" s="1"/>
  <c r="K28" i="1" s="1"/>
  <c r="L28" i="1" s="1"/>
  <c r="N28" i="1" s="1"/>
  <c r="I29" i="1"/>
  <c r="J29" i="1" s="1"/>
  <c r="K29" i="1" s="1"/>
  <c r="I14" i="1"/>
  <c r="J14" i="1" s="1"/>
  <c r="K14" i="1" s="1"/>
  <c r="I12" i="1"/>
  <c r="J12" i="1" s="1"/>
  <c r="K12" i="1" s="1"/>
  <c r="L12" i="1" s="1"/>
  <c r="I13" i="1"/>
  <c r="I6" i="1"/>
  <c r="J6" i="1" s="1"/>
  <c r="K6" i="1" s="1"/>
  <c r="I7" i="1"/>
  <c r="J7" i="1" s="1"/>
  <c r="K7" i="1" s="1"/>
  <c r="L7" i="1" s="1"/>
  <c r="I4" i="1"/>
  <c r="J4" i="1" s="1"/>
  <c r="K4" i="1" s="1"/>
  <c r="I3" i="1"/>
  <c r="I8" i="1"/>
  <c r="J8" i="1" s="1"/>
  <c r="K8" i="1" s="1"/>
  <c r="L8" i="1" s="1"/>
  <c r="I5" i="1"/>
  <c r="J5" i="1" s="1"/>
  <c r="K5" i="1" s="1"/>
  <c r="I2" i="1"/>
  <c r="I17" i="1"/>
  <c r="J17" i="1" s="1"/>
  <c r="K17" i="1" s="1"/>
  <c r="I11" i="1"/>
  <c r="J11" i="1" s="1"/>
  <c r="K11" i="1" s="1"/>
  <c r="L11" i="1" s="1"/>
  <c r="L33" i="1" l="1"/>
  <c r="N33" i="1" s="1"/>
  <c r="J34" i="1"/>
  <c r="K34" i="1" s="1"/>
  <c r="L34" i="1" s="1"/>
  <c r="N34" i="1" s="1"/>
  <c r="L30" i="1"/>
  <c r="N30" i="1" s="1"/>
  <c r="L29" i="1"/>
  <c r="N29" i="1" s="1"/>
  <c r="L14" i="1"/>
  <c r="N14" i="1" s="1"/>
  <c r="P14" i="1" s="1"/>
  <c r="Q14" i="1" s="1"/>
  <c r="N11" i="1"/>
  <c r="J2" i="1"/>
  <c r="K2" i="1" s="1"/>
  <c r="J3" i="1"/>
  <c r="K3" i="1" s="1"/>
  <c r="L3" i="1" s="1"/>
  <c r="N3" i="1" s="1"/>
  <c r="P3" i="1" s="1"/>
  <c r="K18" i="1"/>
  <c r="J13" i="1"/>
  <c r="K13" i="1" s="1"/>
  <c r="I18" i="1"/>
  <c r="I15" i="1"/>
  <c r="L17" i="1"/>
  <c r="N17" i="1" s="1"/>
  <c r="P17" i="1" s="1"/>
  <c r="L4" i="1"/>
  <c r="N4" i="1" s="1"/>
  <c r="P4" i="1" s="1"/>
  <c r="I9" i="1"/>
  <c r="L5" i="1"/>
  <c r="N5" i="1" s="1"/>
  <c r="P5" i="1" s="1"/>
  <c r="N7" i="1"/>
  <c r="P7" i="1" s="1"/>
  <c r="L6" i="1"/>
  <c r="N6" i="1" s="1"/>
  <c r="P6" i="1" s="1"/>
  <c r="N8" i="1"/>
  <c r="P8" i="1" s="1"/>
  <c r="P11" i="1" l="1"/>
  <c r="Q11" i="1" s="1"/>
  <c r="N12" i="1"/>
  <c r="P12" i="1" s="1"/>
  <c r="Q12" i="1" s="1"/>
  <c r="L13" i="1"/>
  <c r="N13" i="1" s="1"/>
  <c r="P13" i="1" s="1"/>
  <c r="O18" i="1"/>
  <c r="Q7" i="1"/>
  <c r="Q8" i="1"/>
  <c r="Q5" i="1"/>
  <c r="Q4" i="1"/>
  <c r="Q17" i="1"/>
  <c r="Q3" i="1"/>
  <c r="Q6" i="1"/>
  <c r="I19" i="1"/>
  <c r="J9" i="1"/>
  <c r="J15" i="1"/>
  <c r="Q13" i="1" l="1"/>
  <c r="Q18" i="1"/>
  <c r="P18" i="1"/>
  <c r="K15" i="1"/>
  <c r="L2" i="1"/>
  <c r="N2" i="1" s="1"/>
  <c r="P2" i="1" s="1"/>
  <c r="K9" i="1"/>
  <c r="K19" i="1" l="1"/>
  <c r="Q2" i="1"/>
  <c r="Q9" i="1" l="1"/>
  <c r="P9" i="1"/>
  <c r="P15" i="1" l="1"/>
  <c r="P19" i="1" s="1"/>
  <c r="O15" i="1"/>
  <c r="O19" i="1" s="1"/>
  <c r="Q15" i="1" l="1"/>
  <c r="Q19" i="1" s="1"/>
  <c r="B25" i="9" l="1"/>
  <c r="B26" i="9" s="1"/>
  <c r="C72" i="7"/>
  <c r="C73" i="7" s="1"/>
  <c r="B28" i="9"/>
  <c r="B29" i="9" l="1"/>
  <c r="C29" i="9" s="1"/>
</calcChain>
</file>

<file path=xl/sharedStrings.xml><?xml version="1.0" encoding="utf-8"?>
<sst xmlns="http://schemas.openxmlformats.org/spreadsheetml/2006/main" count="305" uniqueCount="209">
  <si>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</si>
  <si>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</si>
  <si>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</si>
  <si>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</si>
  <si>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</si>
  <si>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</si>
  <si>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</si>
  <si>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</si>
  <si>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</si>
  <si>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Current Revenue</t>
  </si>
  <si>
    <t>Company Proposed Revenue</t>
  </si>
  <si>
    <t xml:space="preserve"> Company Over/(Under) collecting</t>
  </si>
  <si>
    <t>Residential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</si>
  <si>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</si>
  <si>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</si>
  <si>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</si>
  <si>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</si>
  <si>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</si>
  <si>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</si>
  <si>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</si>
  <si>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</si>
  <si>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</si>
  <si>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</si>
  <si>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</si>
  <si>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</si>
  <si>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</si>
  <si>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</si>
  <si>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</si>
  <si>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</si>
  <si>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</si>
  <si>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</si>
  <si>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</si>
  <si>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</si>
  <si>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</si>
  <si>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</si>
  <si>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</si>
  <si>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</si>
  <si>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</si>
  <si>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</si>
  <si>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</si>
  <si>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</si>
  <si>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*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</si>
  <si>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</si>
  <si>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</si>
  <si>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</si>
  <si>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</si>
  <si>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</si>
  <si>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</si>
  <si>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</si>
  <si>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</si>
  <si>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</si>
  <si>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</si>
  <si>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</si>
  <si>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2 yd packer/compactor</t>
  </si>
  <si>
    <t>3 yd packer/compactor</t>
  </si>
  <si>
    <t>4 yd packer/compactor</t>
  </si>
  <si>
    <t>6 yd packer/compactor</t>
  </si>
  <si>
    <t>Yards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</si>
  <si>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</si>
  <si>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</si>
  <si>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</si>
  <si>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</si>
  <si>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</si>
  <si>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</si>
  <si>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</si>
  <si>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</si>
  <si>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Total</t>
  </si>
  <si>
    <t>Increase per ton</t>
  </si>
  <si>
    <t>Factor</t>
  </si>
  <si>
    <t>Grossed Up Increase per ton</t>
  </si>
  <si>
    <t>Tons Collected</t>
  </si>
  <si>
    <t>Company Proposed Rates</t>
  </si>
  <si>
    <t>Res'l &amp; Com'l</t>
  </si>
  <si>
    <t>Collected Revenue Excess/(Deficiency)</t>
  </si>
  <si>
    <t>Monthly Pickups</t>
  </si>
  <si>
    <t>Meeks</t>
  </si>
  <si>
    <t>Ratio</t>
  </si>
  <si>
    <t>Revenue Inc from Co Proposed Rates</t>
  </si>
  <si>
    <t>Total Tonnage</t>
  </si>
  <si>
    <t>Total Annual Pounds</t>
  </si>
  <si>
    <t>Total Calculated Pounds</t>
  </si>
  <si>
    <t>Adjustment Factor</t>
  </si>
  <si>
    <t>TOTAL</t>
  </si>
  <si>
    <t>Company Over /(Under) Collecting</t>
  </si>
  <si>
    <t>Frequency</t>
  </si>
  <si>
    <t>Annual</t>
  </si>
  <si>
    <t>Scheduled Service- Residential</t>
  </si>
  <si>
    <t>Totals</t>
  </si>
  <si>
    <t>Immaterial</t>
  </si>
  <si>
    <t>INPUT CELLS</t>
  </si>
  <si>
    <t>Extra Units</t>
  </si>
  <si>
    <t>40 gallon Can</t>
  </si>
  <si>
    <t>Supercan 60</t>
  </si>
  <si>
    <t>Supercan 90</t>
  </si>
  <si>
    <t>Compaction Ratio:   2:25</t>
  </si>
  <si>
    <t>Compaction Ratio:   3:1</t>
  </si>
  <si>
    <t>Compaction Ratio:   4:1</t>
  </si>
  <si>
    <t>Compaction Ratio:   5:1</t>
  </si>
  <si>
    <t xml:space="preserve">* not on meeks - for compactors </t>
  </si>
  <si>
    <t xml:space="preserve">   calculated weight times compaction ratio</t>
  </si>
  <si>
    <t>Pierce County</t>
  </si>
  <si>
    <t>Transfer Station</t>
  </si>
  <si>
    <t>Disposal Fee Revenue Increase</t>
  </si>
  <si>
    <t>Multi-family</t>
  </si>
  <si>
    <t>monthly pickups</t>
  </si>
  <si>
    <t>frequency</t>
  </si>
  <si>
    <t>annual pick ups</t>
  </si>
  <si>
    <t>meeks</t>
  </si>
  <si>
    <t>Adjusted annual Pounds</t>
  </si>
  <si>
    <t>Gross up</t>
  </si>
  <si>
    <t>Tariff Increase</t>
  </si>
  <si>
    <t>Bainbridge Disposal</t>
  </si>
  <si>
    <t>Kitsap County</t>
  </si>
  <si>
    <t xml:space="preserve">Twice Weekly Pickup </t>
  </si>
  <si>
    <t>Yds. per ton</t>
  </si>
  <si>
    <t>Olympic View Transfer Station</t>
  </si>
  <si>
    <t>Current Rate</t>
  </si>
  <si>
    <t>New Rate</t>
  </si>
  <si>
    <t>Bad debt</t>
  </si>
  <si>
    <t>note: Include bad debt if it was included in Lurito model</t>
  </si>
  <si>
    <t>Revenue from Company Rates</t>
  </si>
  <si>
    <t>Rounding Factor</t>
  </si>
  <si>
    <t>Revenue from Revised Rates</t>
  </si>
  <si>
    <t>TS</t>
  </si>
  <si>
    <t>Reg</t>
  </si>
  <si>
    <t>Pass BI</t>
  </si>
  <si>
    <t>Pass PL</t>
  </si>
  <si>
    <t>Contractor DB</t>
  </si>
  <si>
    <t>Poulsbo TS</t>
  </si>
  <si>
    <t>Poulsbo Comm</t>
  </si>
  <si>
    <t>Port Gamble</t>
  </si>
  <si>
    <t>Jan</t>
  </si>
  <si>
    <t>$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</si>
  <si>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</si>
  <si>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</si>
  <si>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</si>
  <si>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</si>
  <si>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</si>
  <si>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</si>
  <si>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</si>
  <si>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</si>
  <si>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</si>
  <si>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</si>
  <si>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</si>
  <si>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Tons collected</t>
  </si>
  <si>
    <t>Increase from 2015</t>
  </si>
  <si>
    <t>Price per ton</t>
  </si>
  <si>
    <t>Regulated</t>
  </si>
  <si>
    <t>Drop Box Bainbridge</t>
  </si>
  <si>
    <t>Drop Box Poulsbo</t>
  </si>
  <si>
    <t>Contractor</t>
  </si>
  <si>
    <t>Drop Box</t>
  </si>
  <si>
    <t xml:space="preserve"> Current Tariff</t>
  </si>
  <si>
    <t>Current Tariff</t>
  </si>
  <si>
    <t>Staff Proposed Tariff Rate</t>
  </si>
  <si>
    <t>1 minican week</t>
  </si>
  <si>
    <t>1 can week</t>
  </si>
  <si>
    <t>2 cans week</t>
  </si>
  <si>
    <t>3 cans week</t>
  </si>
  <si>
    <t>4 cans week</t>
  </si>
  <si>
    <t>5 cans week</t>
  </si>
  <si>
    <t>6 cans week</t>
  </si>
  <si>
    <t>64 Gallon cart</t>
  </si>
  <si>
    <t>1 cont week - 2yd</t>
  </si>
  <si>
    <t>1 cont week - 2 yd temp</t>
  </si>
  <si>
    <t>1 cont week - 2 yd multi</t>
  </si>
  <si>
    <t>1 cont week - 2 yd cust owned</t>
  </si>
  <si>
    <t>1 cont EOW - 2yd</t>
  </si>
  <si>
    <t>Extras Residential and Commercial</t>
  </si>
  <si>
    <t>on call cont dumps</t>
  </si>
  <si>
    <t>Residential Extra cans</t>
  </si>
  <si>
    <t>Proposed Tariff Rate</t>
  </si>
  <si>
    <t>tariff pg #</t>
  </si>
  <si>
    <t>23,26</t>
  </si>
  <si>
    <t>tariff page#</t>
  </si>
  <si>
    <t>Tariff pg#</t>
  </si>
  <si>
    <t>No Customers</t>
  </si>
  <si>
    <t>1 can per month (on call)</t>
  </si>
  <si>
    <t>32 Gallon Cart per pick up</t>
  </si>
  <si>
    <t>Disposal Fee</t>
  </si>
  <si>
    <t>pass</t>
  </si>
  <si>
    <t>Disposal Fee Increases</t>
  </si>
  <si>
    <t>Based on previous rate case (including disposal fee filing)</t>
  </si>
  <si>
    <t>Customer count/price out</t>
  </si>
  <si>
    <t>disposal tons</t>
  </si>
  <si>
    <t>Allocation of regulated and non-regulated</t>
  </si>
  <si>
    <t>Based on Meeks weights, or allowed company alternative (used in last rate case)</t>
  </si>
  <si>
    <t>container size or service offering not on Meeks list</t>
  </si>
  <si>
    <t>Tariff Changes</t>
  </si>
  <si>
    <t>Tariff complies with tariff requirements</t>
  </si>
  <si>
    <t>only weight based rates are changed</t>
  </si>
  <si>
    <t>Other language changes  or new rates</t>
  </si>
  <si>
    <t>Order required granting exemption from work paper filing requirements WAC 480-07-520 (4)</t>
  </si>
  <si>
    <t>Commission's own motion or Company request</t>
  </si>
  <si>
    <t>order templates</t>
  </si>
  <si>
    <t>Order language:</t>
  </si>
  <si>
    <t>no significant changes since the last rate case i.e. customer counts, tonnage, collection methods</t>
  </si>
  <si>
    <t>fees are set by the county and are expenses of the company…</t>
  </si>
  <si>
    <t>company's financial information supports the increase</t>
  </si>
  <si>
    <t>Staff's conclusion is rate increase is fair, just, and reasonable</t>
  </si>
  <si>
    <t>Use applicable disposal fee description for agenda</t>
  </si>
  <si>
    <t>32 Gal</t>
  </si>
  <si>
    <t>64 gal</t>
  </si>
  <si>
    <t>Customer owned 30 gal litter receptacle</t>
  </si>
  <si>
    <t>Customer owned 30 gal litter receptacle - monthly min</t>
  </si>
  <si>
    <t>32 Gal special pickup</t>
  </si>
  <si>
    <t>64 Gal special pickup</t>
  </si>
  <si>
    <t>20-30 gal solar monthly minimum</t>
  </si>
  <si>
    <t xml:space="preserve">20-30 Gal big belly  solar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</si>
</sst>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444444"/>
      <name val="Calibri"/>
      <family val="2"/>
      <scheme val="minor"/>
    </font>
    <font>
      <sz val="11"/>
      <color indexed="8"/>
      <name val="Calibri"/>
      <family val="2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6" fillId="4" borderId="8" applyNumberFormat="0" applyFont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4" fillId="0" borderId="0"/>
    <xf numFmtId="43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</cellStyleXfs>
  <cellXfs count="168">
    <xf numFmtId="0" fontId="0" fillId="0" borderId="0" xfId="0"/>
    <xf numFmtId="0" fontId="3" fillId="2" borderId="1" xfId="0" applyFont="1" applyFill="1" applyBorder="1"/>
    <xf numFmtId="43" fontId="0" fillId="0" borderId="0" xfId="0" applyNumberFormat="1"/>
    <xf numFmtId="44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/>
    <xf numFmtId="2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3" fontId="9" fillId="0" borderId="0" xfId="3" applyNumberFormat="1" applyFont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/>
    <xf numFmtId="44" fontId="8" fillId="0" borderId="0" xfId="0" applyNumberFormat="1" applyFont="1"/>
    <xf numFmtId="0" fontId="0" fillId="6" borderId="9" xfId="0" applyFill="1" applyBorder="1"/>
    <xf numFmtId="0" fontId="0" fillId="5" borderId="9" xfId="0" applyFill="1" applyBorder="1"/>
    <xf numFmtId="1" fontId="8" fillId="0" borderId="0" xfId="1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2" fontId="7" fillId="3" borderId="10" xfId="0" applyNumberFormat="1" applyFont="1" applyFill="1" applyBorder="1"/>
    <xf numFmtId="3" fontId="10" fillId="3" borderId="10" xfId="3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4" xfId="0" applyBorder="1"/>
    <xf numFmtId="0" fontId="3" fillId="0" borderId="3" xfId="0" applyFont="1" applyBorder="1"/>
    <xf numFmtId="0" fontId="3" fillId="0" borderId="0" xfId="0" applyFont="1"/>
    <xf numFmtId="168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0" fontId="5" fillId="0" borderId="0" xfId="0" applyFont="1"/>
    <xf numFmtId="4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3" fontId="15" fillId="0" borderId="0" xfId="0" applyNumberFormat="1" applyFont="1"/>
    <xf numFmtId="10" fontId="2" fillId="0" borderId="0" xfId="4" applyNumberFormat="1" applyFont="1"/>
    <xf numFmtId="0" fontId="13" fillId="7" borderId="0" xfId="13" applyFont="1" applyFill="1"/>
    <xf numFmtId="3" fontId="11" fillId="7" borderId="0" xfId="0" applyNumberFormat="1" applyFont="1" applyFill="1" applyAlignment="1">
      <alignment horizontal="right"/>
    </xf>
    <xf numFmtId="2" fontId="11" fillId="7" borderId="0" xfId="0" applyNumberFormat="1" applyFont="1" applyFill="1"/>
    <xf numFmtId="3" fontId="11" fillId="7" borderId="0" xfId="3" applyNumberFormat="1" applyFont="1" applyFill="1" applyAlignment="1">
      <alignment horizontal="right"/>
    </xf>
    <xf numFmtId="1" fontId="11" fillId="7" borderId="0" xfId="0" applyNumberFormat="1" applyFont="1" applyFill="1" applyAlignment="1">
      <alignment horizontal="right"/>
    </xf>
    <xf numFmtId="164" fontId="11" fillId="7" borderId="0" xfId="0" applyNumberFormat="1" applyFont="1" applyFill="1"/>
    <xf numFmtId="0" fontId="11" fillId="7" borderId="0" xfId="0" applyFont="1" applyFill="1"/>
    <xf numFmtId="44" fontId="11" fillId="7" borderId="0" xfId="0" applyNumberFormat="1" applyFont="1" applyFill="1"/>
    <xf numFmtId="3" fontId="11" fillId="7" borderId="0" xfId="0" applyNumberFormat="1" applyFont="1" applyFill="1"/>
    <xf numFmtId="44" fontId="12" fillId="7" borderId="0" xfId="0" applyNumberFormat="1" applyFont="1" applyFill="1"/>
    <xf numFmtId="0" fontId="0" fillId="7" borderId="0" xfId="0" applyFill="1"/>
    <xf numFmtId="44" fontId="0" fillId="7" borderId="0" xfId="0" applyNumberFormat="1" applyFill="1"/>
    <xf numFmtId="0" fontId="3" fillId="8" borderId="0" xfId="0" applyFont="1" applyFill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41" fontId="0" fillId="0" borderId="0" xfId="1" applyNumberFormat="1" applyFont="1"/>
    <xf numFmtId="0" fontId="0" fillId="2" borderId="1" xfId="0" applyFill="1" applyBorder="1" applyAlignment="1">
      <alignment horizontal="center"/>
    </xf>
    <xf numFmtId="44" fontId="0" fillId="9" borderId="0" xfId="2" applyFont="1" applyFill="1" applyBorder="1"/>
    <xf numFmtId="165" fontId="0" fillId="0" borderId="0" xfId="2" applyNumberFormat="1" applyFont="1" applyFill="1"/>
    <xf numFmtId="166" fontId="0" fillId="0" borderId="0" xfId="1" applyNumberFormat="1" applyFont="1"/>
    <xf numFmtId="44" fontId="0" fillId="9" borderId="1" xfId="2" applyFont="1" applyFill="1" applyBorder="1"/>
    <xf numFmtId="165" fontId="0" fillId="0" borderId="1" xfId="2" applyNumberFormat="1" applyFont="1" applyFill="1" applyBorder="1"/>
    <xf numFmtId="166" fontId="0" fillId="0" borderId="0" xfId="1" applyNumberFormat="1" applyFont="1" applyBorder="1"/>
    <xf numFmtId="44" fontId="0" fillId="0" borderId="0" xfId="2" applyFont="1" applyFill="1"/>
    <xf numFmtId="167" fontId="0" fillId="0" borderId="0" xfId="2" applyNumberFormat="1" applyFont="1" applyFill="1"/>
    <xf numFmtId="166" fontId="0" fillId="0" borderId="1" xfId="1" applyNumberFormat="1" applyFont="1" applyBorder="1"/>
    <xf numFmtId="167" fontId="0" fillId="0" borderId="0" xfId="0" applyNumberFormat="1"/>
    <xf numFmtId="166" fontId="0" fillId="0" borderId="0" xfId="0" applyNumberFormat="1"/>
    <xf numFmtId="0" fontId="0" fillId="2" borderId="1" xfId="0" applyFill="1" applyBorder="1"/>
    <xf numFmtId="169" fontId="0" fillId="0" borderId="0" xfId="0" applyNumberFormat="1"/>
    <xf numFmtId="164" fontId="0" fillId="0" borderId="1" xfId="1" applyNumberFormat="1" applyFont="1" applyFill="1" applyBorder="1"/>
    <xf numFmtId="44" fontId="0" fillId="0" borderId="0" xfId="2" applyFont="1" applyFill="1" applyBorder="1"/>
    <xf numFmtId="42" fontId="3" fillId="0" borderId="0" xfId="0" applyNumberFormat="1" applyFont="1"/>
    <xf numFmtId="0" fontId="3" fillId="0" borderId="11" xfId="0" applyFont="1" applyBorder="1"/>
    <xf numFmtId="0" fontId="0" fillId="2" borderId="12" xfId="0" applyFill="1" applyBorder="1" applyAlignment="1">
      <alignment horizontal="center"/>
    </xf>
    <xf numFmtId="42" fontId="0" fillId="0" borderId="5" xfId="2" applyNumberFormat="1" applyFont="1" applyFill="1" applyBorder="1"/>
    <xf numFmtId="0" fontId="17" fillId="0" borderId="0" xfId="0" applyFont="1"/>
    <xf numFmtId="0" fontId="0" fillId="0" borderId="13" xfId="0" applyBorder="1"/>
    <xf numFmtId="0" fontId="0" fillId="0" borderId="7" xfId="0" applyBorder="1"/>
    <xf numFmtId="42" fontId="0" fillId="0" borderId="0" xfId="0" applyNumberFormat="1" applyAlignment="1">
      <alignment horizontal="right"/>
    </xf>
    <xf numFmtId="0" fontId="13" fillId="7" borderId="0" xfId="0" applyFont="1" applyFill="1" applyAlignment="1">
      <alignment horizontal="left" vertical="center"/>
    </xf>
    <xf numFmtId="164" fontId="13" fillId="7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right"/>
    </xf>
    <xf numFmtId="43" fontId="3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44" fontId="3" fillId="7" borderId="0" xfId="0" applyNumberFormat="1" applyFont="1" applyFill="1"/>
    <xf numFmtId="43" fontId="13" fillId="7" borderId="0" xfId="0" applyNumberFormat="1" applyFont="1" applyFill="1"/>
    <xf numFmtId="1" fontId="13" fillId="7" borderId="0" xfId="0" applyNumberFormat="1" applyFont="1" applyFill="1" applyAlignment="1">
      <alignment horizontal="right"/>
    </xf>
    <xf numFmtId="3" fontId="13" fillId="7" borderId="0" xfId="0" applyNumberFormat="1" applyFont="1" applyFill="1"/>
    <xf numFmtId="44" fontId="13" fillId="7" borderId="0" xfId="0" applyNumberFormat="1" applyFont="1" applyFill="1"/>
    <xf numFmtId="3" fontId="3" fillId="7" borderId="0" xfId="0" applyNumberFormat="1" applyFont="1" applyFill="1" applyAlignment="1">
      <alignment horizontal="center" vertical="center" wrapText="1"/>
    </xf>
    <xf numFmtId="3" fontId="3" fillId="7" borderId="0" xfId="0" applyNumberFormat="1" applyFont="1" applyFill="1" applyAlignment="1">
      <alignment horizontal="center" wrapText="1"/>
    </xf>
    <xf numFmtId="44" fontId="3" fillId="7" borderId="0" xfId="0" applyNumberFormat="1" applyFont="1" applyFill="1" applyAlignment="1">
      <alignment horizontal="center" wrapText="1"/>
    </xf>
    <xf numFmtId="0" fontId="18" fillId="0" borderId="0" xfId="0" applyFont="1"/>
    <xf numFmtId="0" fontId="5" fillId="0" borderId="1" xfId="0" applyFont="1" applyBorder="1" applyAlignment="1">
      <alignment horizontal="center"/>
    </xf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" xfId="0" applyFont="1" applyBorder="1"/>
    <xf numFmtId="0" fontId="5" fillId="0" borderId="1" xfId="0" applyFont="1" applyBorder="1"/>
    <xf numFmtId="44" fontId="5" fillId="0" borderId="0" xfId="2" applyFont="1" applyFill="1"/>
    <xf numFmtId="165" fontId="5" fillId="0" borderId="0" xfId="2" applyNumberFormat="1" applyFont="1"/>
    <xf numFmtId="169" fontId="5" fillId="0" borderId="0" xfId="0" applyNumberFormat="1" applyFont="1"/>
    <xf numFmtId="44" fontId="5" fillId="0" borderId="1" xfId="2" applyFont="1" applyFill="1" applyBorder="1"/>
    <xf numFmtId="165" fontId="5" fillId="0" borderId="1" xfId="2" applyNumberFormat="1" applyFont="1" applyBorder="1"/>
    <xf numFmtId="44" fontId="5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1" applyFont="1"/>
    <xf numFmtId="43" fontId="5" fillId="0" borderId="0" xfId="1" applyFont="1" applyFill="1"/>
    <xf numFmtId="43" fontId="5" fillId="0" borderId="1" xfId="1" applyFont="1" applyFill="1" applyBorder="1"/>
    <xf numFmtId="43" fontId="5" fillId="0" borderId="0" xfId="0" applyNumberFormat="1" applyFont="1"/>
    <xf numFmtId="43" fontId="5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0" fontId="4" fillId="0" borderId="0" xfId="3" applyAlignment="1">
      <alignment horizontal="left"/>
    </xf>
    <xf numFmtId="0" fontId="0" fillId="0" borderId="0" xfId="0" applyAlignment="1">
      <alignment vertical="center"/>
    </xf>
    <xf numFmtId="0" fontId="3" fillId="7" borderId="0" xfId="0" applyFont="1" applyFill="1"/>
    <xf numFmtId="0" fontId="18" fillId="7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left" wrapText="1" indent="2"/>
    </xf>
    <xf numFmtId="164" fontId="7" fillId="3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4" fontId="5" fillId="0" borderId="0" xfId="2" applyFont="1" applyFill="1" applyBorder="1"/>
    <xf numFmtId="43" fontId="5" fillId="0" borderId="1" xfId="0" applyNumberFormat="1" applyFont="1" applyBorder="1"/>
    <xf numFmtId="44" fontId="18" fillId="0" borderId="0" xfId="0" applyNumberFormat="1" applyFont="1"/>
    <xf numFmtId="0" fontId="5" fillId="0" borderId="0" xfId="0" applyFont="1" applyAlignment="1">
      <alignment horizontal="left"/>
    </xf>
    <xf numFmtId="44" fontId="18" fillId="0" borderId="1" xfId="0" applyNumberFormat="1" applyFont="1" applyBorder="1"/>
    <xf numFmtId="10" fontId="5" fillId="0" borderId="0" xfId="4" applyNumberFormat="1" applyFont="1" applyFill="1"/>
    <xf numFmtId="43" fontId="5" fillId="0" borderId="9" xfId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7" fillId="3" borderId="1" xfId="0" applyNumberFormat="1" applyFont="1" applyFill="1" applyBorder="1" applyAlignment="1">
      <alignment horizontal="center" wrapText="1"/>
    </xf>
    <xf numFmtId="0" fontId="19" fillId="0" borderId="0" xfId="0" applyFont="1"/>
    <xf numFmtId="43" fontId="5" fillId="0" borderId="0" xfId="1" applyFont="1" applyFill="1" applyAlignment="1"/>
    <xf numFmtId="43" fontId="19" fillId="0" borderId="0" xfId="0" applyNumberFormat="1" applyFont="1"/>
    <xf numFmtId="170" fontId="8" fillId="0" borderId="0" xfId="0" applyNumberFormat="1" applyFont="1"/>
    <xf numFmtId="0" fontId="5" fillId="0" borderId="0" xfId="0" applyFont="1" applyAlignment="1">
      <alignment vertical="center"/>
    </xf>
    <xf numFmtId="1" fontId="9" fillId="0" borderId="0" xfId="1" applyNumberFormat="1" applyFont="1" applyFill="1" applyBorder="1" applyAlignment="1">
      <alignment horizontal="right"/>
    </xf>
    <xf numFmtId="164" fontId="9" fillId="0" borderId="0" xfId="0" applyNumberFormat="1" applyFont="1"/>
    <xf numFmtId="3" fontId="9" fillId="0" borderId="0" xfId="0" applyNumberFormat="1" applyFont="1"/>
    <xf numFmtId="44" fontId="9" fillId="0" borderId="0" xfId="0" applyNumberFormat="1" applyFont="1"/>
    <xf numFmtId="164" fontId="5" fillId="0" borderId="0" xfId="8" applyNumberFormat="1" applyFont="1" applyFill="1"/>
    <xf numFmtId="2" fontId="9" fillId="0" borderId="0" xfId="1" applyNumberFormat="1" applyFont="1" applyFill="1" applyBorder="1" applyAlignment="1">
      <alignment horizontal="right"/>
    </xf>
    <xf numFmtId="1" fontId="9" fillId="0" borderId="0" xfId="3" applyNumberFormat="1" applyFont="1" applyAlignment="1">
      <alignment horizontal="right"/>
    </xf>
    <xf numFmtId="0" fontId="4" fillId="0" borderId="2" xfId="3" applyBorder="1" applyAlignment="1">
      <alignment horizontal="left"/>
    </xf>
    <xf numFmtId="164" fontId="5" fillId="0" borderId="0" xfId="1" applyNumberFormat="1" applyFont="1" applyFill="1" applyBorder="1"/>
    <xf numFmtId="2" fontId="9" fillId="0" borderId="0" xfId="1" applyNumberFormat="1" applyFont="1" applyFill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20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</cellXfs>
  <cellStyles count="18">
    <cellStyle name="Comma" xfId="1" builtinId="3"/>
    <cellStyle name="Comma 10" xfId="8" xr:uid="{64F91195-FE25-42CD-9556-FE4C457609A1}"/>
    <cellStyle name="Comma 12 2 3" xfId="15" xr:uid="{C9F6F13C-9D63-4CF2-9C19-03F8D8C09F54}"/>
    <cellStyle name="Comma 2" xfId="11" xr:uid="{72BEC5CC-2F9F-4FA0-9933-E394AF35743F}"/>
    <cellStyle name="Currency" xfId="2" builtinId="4"/>
    <cellStyle name="Currency 2" xfId="9" xr:uid="{27C0E0DB-A0D7-425B-A395-714017D9360D}"/>
    <cellStyle name="Currency 2 2" xfId="12" xr:uid="{7B9C465F-1B2B-4B04-8F30-86E58C04000F}"/>
    <cellStyle name="Normal" xfId="0" builtinId="0"/>
    <cellStyle name="Normal 10" xfId="16" xr:uid="{DD4E065D-9052-4C28-9DDA-EAF1F2A6BC21}"/>
    <cellStyle name="Normal 12 3" xfId="14" xr:uid="{B2174057-4B68-44FD-B9F6-B412BB06306E}"/>
    <cellStyle name="Normal 2" xfId="10" xr:uid="{9E842DE6-498F-4A94-BF1D-1339C46B2FCC}"/>
    <cellStyle name="Normal 21" xfId="7" xr:uid="{AD9132D8-2D37-4CC5-96A7-811134E3EC43}"/>
    <cellStyle name="Normal 90" xfId="6" xr:uid="{9E04665A-7950-477D-8EEC-904233E61ABB}"/>
    <cellStyle name="Normal_Murrey's Jan-Dec 2012" xfId="13" xr:uid="{7099720B-ED36-4C4B-BF07-FCE02F521F24}"/>
    <cellStyle name="Normal_Price out" xfId="3" xr:uid="{862E1CDB-81C3-4FC7-A2C7-8E19820808C6}"/>
    <cellStyle name="Note 2" xfId="5" xr:uid="{8DCABC03-F376-4793-B27F-C76BCECB111B}"/>
    <cellStyle name="Percent" xfId="4" builtinId="5"/>
    <cellStyle name="Percent 2" xfId="17" xr:uid="{E75DD9B2-BB2C-4A31-84A9-53A8C943B8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6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5DDD-420C-455D-B739-ADA1BE28D498}">
  <dimension ref="A2:C27"/>
  <sheetViews>
    <sheetView zoomScaleNormal="100" workbookViewId="0"/>
  </sheetViews>
  <sheetFormatPr defaultRowHeight="15" x14ac:dyDescent="0.25"/>
  <sheetData>
    <row r="2" spans="1:3" x14ac:dyDescent="0.25">
      <c r="A2" s="160" t="s">
        <v>181</v>
      </c>
    </row>
    <row r="4" spans="1:3" x14ac:dyDescent="0.25">
      <c r="B4" t="s">
        <v>182</v>
      </c>
    </row>
    <row r="5" spans="1:3" x14ac:dyDescent="0.25">
      <c r="C5" t="s">
        <v>183</v>
      </c>
    </row>
    <row r="6" spans="1:3" x14ac:dyDescent="0.25">
      <c r="C6" t="s">
        <v>184</v>
      </c>
    </row>
    <row r="7" spans="1:3" x14ac:dyDescent="0.25">
      <c r="C7" t="s">
        <v>185</v>
      </c>
    </row>
    <row r="9" spans="1:3" x14ac:dyDescent="0.25">
      <c r="B9" t="s">
        <v>186</v>
      </c>
    </row>
    <row r="10" spans="1:3" x14ac:dyDescent="0.25">
      <c r="C10" t="s">
        <v>187</v>
      </c>
    </row>
    <row r="12" spans="1:3" x14ac:dyDescent="0.25">
      <c r="B12" t="s">
        <v>188</v>
      </c>
    </row>
    <row r="13" spans="1:3" x14ac:dyDescent="0.25">
      <c r="C13" t="s">
        <v>189</v>
      </c>
    </row>
    <row r="14" spans="1:3" x14ac:dyDescent="0.25">
      <c r="C14" t="s">
        <v>190</v>
      </c>
    </row>
    <row r="15" spans="1:3" x14ac:dyDescent="0.25">
      <c r="C15" t="s">
        <v>191</v>
      </c>
    </row>
    <row r="17" spans="2:3" x14ac:dyDescent="0.25">
      <c r="B17" t="s">
        <v>192</v>
      </c>
    </row>
    <row r="18" spans="2:3" x14ac:dyDescent="0.25">
      <c r="C18" t="s">
        <v>193</v>
      </c>
    </row>
    <row r="19" spans="2:3" x14ac:dyDescent="0.25">
      <c r="C19" t="s">
        <v>194</v>
      </c>
    </row>
    <row r="21" spans="2:3" x14ac:dyDescent="0.25">
      <c r="B21" t="s">
        <v>195</v>
      </c>
    </row>
    <row r="22" spans="2:3" x14ac:dyDescent="0.25">
      <c r="C22" t="s">
        <v>196</v>
      </c>
    </row>
    <row r="23" spans="2:3" x14ac:dyDescent="0.25">
      <c r="C23" t="s">
        <v>197</v>
      </c>
    </row>
    <row r="24" spans="2:3" x14ac:dyDescent="0.25">
      <c r="C24" t="s">
        <v>198</v>
      </c>
    </row>
    <row r="25" spans="2:3" x14ac:dyDescent="0.25">
      <c r="C25" t="s">
        <v>199</v>
      </c>
    </row>
    <row r="27" spans="2:3" x14ac:dyDescent="0.25">
      <c r="B27" t="s">
        <v>200</v>
      </c>
    </row>
  </sheetData>
  <pageMargins left="0.7" right="0.7" top="0.75" bottom="0.75" header="0.3" footer="0.3"/>
  <pageSetup scale="8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CC7C-35E8-457B-BF53-59DD4A274AD2}">
  <sheetPr>
    <pageSetUpPr fitToPage="1"/>
  </sheetPr>
  <dimension ref="A1:U56"/>
  <sheetViews>
    <sheetView zoomScale="85" zoomScaleNormal="85" workbookViewId="0">
      <selection activeCell="B25" sqref="B25"/>
    </sheetView>
  </sheetViews>
  <sheetFormatPr defaultColWidth="9.140625" defaultRowHeight="15" x14ac:dyDescent="0.25"/>
  <cols>
    <col min="1" max="1" width="41.85546875" style="36" bestFit="1" customWidth="1"/>
    <col min="2" max="2" width="17.7109375" style="36" bestFit="1" customWidth="1"/>
    <col min="3" max="3" width="10.5703125" style="36" bestFit="1" customWidth="1"/>
    <col min="4" max="4" width="14.5703125" style="36" bestFit="1" customWidth="1"/>
    <col min="5" max="5" width="16.140625" style="36" customWidth="1"/>
    <col min="6" max="6" width="20.140625" style="36" bestFit="1" customWidth="1"/>
    <col min="7" max="7" width="12.5703125" style="36" bestFit="1" customWidth="1"/>
    <col min="8" max="8" width="11.85546875" style="36" bestFit="1" customWidth="1"/>
    <col min="9" max="9" width="13.5703125" style="36" bestFit="1" customWidth="1"/>
    <col min="10" max="10" width="3.140625" style="36" customWidth="1"/>
    <col min="11" max="11" width="13.42578125" style="36" bestFit="1" customWidth="1"/>
    <col min="12" max="13" width="3.7109375" style="36" customWidth="1"/>
    <col min="14" max="14" width="19.28515625" style="36" customWidth="1"/>
    <col min="15" max="16" width="11.140625" style="36" bestFit="1" customWidth="1"/>
    <col min="17" max="17" width="13.42578125" style="36" bestFit="1" customWidth="1"/>
    <col min="18" max="18" width="17.7109375" style="36" bestFit="1" customWidth="1"/>
    <col min="19" max="19" width="14.140625" style="36" bestFit="1" customWidth="1"/>
    <col min="20" max="20" width="11.28515625" style="36" bestFit="1" customWidth="1"/>
    <col min="21" max="21" width="13.28515625" style="36" bestFit="1" customWidth="1"/>
    <col min="22" max="16384" width="9.140625" style="36"/>
  </cols>
  <sheetData>
    <row r="1" spans="1:7" x14ac:dyDescent="0.25">
      <c r="A1" s="98" t="s">
        <v>111</v>
      </c>
    </row>
    <row r="2" spans="1:7" x14ac:dyDescent="0.25">
      <c r="A2" s="98" t="s">
        <v>179</v>
      </c>
    </row>
    <row r="3" spans="1:7" x14ac:dyDescent="0.25">
      <c r="A3" s="98" t="s">
        <v>112</v>
      </c>
    </row>
    <row r="4" spans="1:7" x14ac:dyDescent="0.25">
      <c r="A4" s="98"/>
      <c r="D4" s="162" t="s">
        <v>13</v>
      </c>
      <c r="E4" s="162"/>
      <c r="F4" s="162"/>
      <c r="G4" s="162"/>
    </row>
    <row r="5" spans="1:7" x14ac:dyDescent="0.25">
      <c r="D5" s="99" t="s">
        <v>15</v>
      </c>
      <c r="E5" s="99" t="s">
        <v>16</v>
      </c>
      <c r="F5" s="99" t="s">
        <v>17</v>
      </c>
      <c r="G5" s="99" t="s">
        <v>18</v>
      </c>
    </row>
    <row r="6" spans="1:7" x14ac:dyDescent="0.25">
      <c r="A6" s="36" t="s">
        <v>113</v>
      </c>
      <c r="D6" s="100">
        <f>52*2/12</f>
        <v>8.6666666666666661</v>
      </c>
      <c r="E6" s="100">
        <f>D6*2</f>
        <v>17.333333333333332</v>
      </c>
      <c r="F6" s="100">
        <f>D6*3</f>
        <v>26</v>
      </c>
      <c r="G6" s="100">
        <f>D6*4</f>
        <v>34.666666666666664</v>
      </c>
    </row>
    <row r="7" spans="1:7" x14ac:dyDescent="0.25">
      <c r="A7" s="36" t="s">
        <v>26</v>
      </c>
      <c r="D7" s="100">
        <f>52/12</f>
        <v>4.333333333333333</v>
      </c>
      <c r="E7" s="100">
        <f t="shared" ref="E7:E9" si="0">D7*2</f>
        <v>8.6666666666666661</v>
      </c>
      <c r="F7" s="100">
        <f t="shared" ref="F7:F9" si="1">D7*3</f>
        <v>13</v>
      </c>
      <c r="G7" s="100">
        <f t="shared" ref="G7:G9" si="2">D7*4</f>
        <v>17.333333333333332</v>
      </c>
    </row>
    <row r="8" spans="1:7" x14ac:dyDescent="0.25">
      <c r="A8" s="36" t="s">
        <v>27</v>
      </c>
      <c r="D8" s="100">
        <f>26/12</f>
        <v>2.1666666666666665</v>
      </c>
      <c r="E8" s="100">
        <f t="shared" si="0"/>
        <v>4.333333333333333</v>
      </c>
      <c r="F8" s="100">
        <f t="shared" si="1"/>
        <v>6.5</v>
      </c>
      <c r="G8" s="100">
        <f t="shared" si="2"/>
        <v>8.6666666666666661</v>
      </c>
    </row>
    <row r="9" spans="1:7" x14ac:dyDescent="0.25">
      <c r="A9" s="36" t="s">
        <v>28</v>
      </c>
      <c r="D9" s="100">
        <f>12/12</f>
        <v>1</v>
      </c>
      <c r="E9" s="100">
        <f t="shared" si="0"/>
        <v>2</v>
      </c>
      <c r="F9" s="100">
        <f t="shared" si="1"/>
        <v>3</v>
      </c>
      <c r="G9" s="100">
        <f t="shared" si="2"/>
        <v>4</v>
      </c>
    </row>
    <row r="11" spans="1:7" x14ac:dyDescent="0.25">
      <c r="A11" s="36" t="s">
        <v>35</v>
      </c>
      <c r="B11" s="36">
        <v>2000</v>
      </c>
    </row>
    <row r="12" spans="1:7" x14ac:dyDescent="0.25">
      <c r="A12" s="36" t="s">
        <v>114</v>
      </c>
      <c r="B12" s="101" t="s">
        <v>38</v>
      </c>
    </row>
    <row r="14" spans="1:7" x14ac:dyDescent="0.25">
      <c r="A14" s="102" t="s">
        <v>115</v>
      </c>
      <c r="B14" s="99" t="s">
        <v>58</v>
      </c>
      <c r="C14" s="103" t="s">
        <v>59</v>
      </c>
      <c r="E14" s="102" t="s">
        <v>60</v>
      </c>
      <c r="F14" s="103"/>
    </row>
    <row r="15" spans="1:7" x14ac:dyDescent="0.25">
      <c r="A15" s="36" t="s">
        <v>116</v>
      </c>
      <c r="B15" s="104">
        <v>118</v>
      </c>
      <c r="C15" s="105">
        <f>B15/2000</f>
        <v>5.8999999999999997E-2</v>
      </c>
      <c r="E15" s="36" t="s">
        <v>62</v>
      </c>
      <c r="F15" s="106">
        <v>1.7500000000000002E-2</v>
      </c>
    </row>
    <row r="16" spans="1:7" x14ac:dyDescent="0.25">
      <c r="A16" s="36" t="s">
        <v>117</v>
      </c>
      <c r="B16" s="107">
        <v>121.54</v>
      </c>
      <c r="C16" s="108">
        <f>B16/2000</f>
        <v>6.0770000000000005E-2</v>
      </c>
      <c r="E16" s="36" t="s">
        <v>64</v>
      </c>
      <c r="F16" s="36">
        <v>5.1000000000000004E-3</v>
      </c>
    </row>
    <row r="17" spans="1:21" x14ac:dyDescent="0.25">
      <c r="A17" s="36" t="s">
        <v>6</v>
      </c>
      <c r="B17" s="104">
        <f>B16-B15</f>
        <v>3.5400000000000063</v>
      </c>
      <c r="C17" s="105">
        <f>C16-C15</f>
        <v>1.7700000000000077E-3</v>
      </c>
      <c r="E17" s="36" t="s">
        <v>118</v>
      </c>
      <c r="F17" s="36">
        <v>1E-3</v>
      </c>
    </row>
    <row r="18" spans="1:21" x14ac:dyDescent="0.25">
      <c r="E18" s="36" t="s">
        <v>66</v>
      </c>
      <c r="F18" s="106">
        <f>SUM(F15:F16)+F17</f>
        <v>2.3600000000000003E-2</v>
      </c>
    </row>
    <row r="19" spans="1:21" x14ac:dyDescent="0.25">
      <c r="E19" s="36" t="s">
        <v>68</v>
      </c>
      <c r="F19" s="106">
        <f>1-F18</f>
        <v>0.97640000000000005</v>
      </c>
    </row>
    <row r="20" spans="1:21" x14ac:dyDescent="0.25">
      <c r="A20" s="36" t="s">
        <v>67</v>
      </c>
      <c r="B20" s="109">
        <f>B17</f>
        <v>3.5400000000000063</v>
      </c>
      <c r="C20" s="109"/>
      <c r="E20" s="36" t="s">
        <v>119</v>
      </c>
    </row>
    <row r="21" spans="1:21" x14ac:dyDescent="0.25">
      <c r="A21" s="36" t="s">
        <v>69</v>
      </c>
      <c r="B21" s="109">
        <f>B20/F19</f>
        <v>3.6255632937320832</v>
      </c>
    </row>
    <row r="22" spans="1:21" x14ac:dyDescent="0.25">
      <c r="A22" s="36" t="s">
        <v>70</v>
      </c>
      <c r="B22" s="132">
        <f>+F46</f>
        <v>7156.9</v>
      </c>
    </row>
    <row r="23" spans="1:21" x14ac:dyDescent="0.25">
      <c r="A23" s="98" t="s">
        <v>102</v>
      </c>
      <c r="B23" s="133">
        <f>B21*B22</f>
        <v>25947.793936911145</v>
      </c>
    </row>
    <row r="25" spans="1:21" x14ac:dyDescent="0.25">
      <c r="A25" s="36" t="s">
        <v>120</v>
      </c>
      <c r="B25" s="107">
        <f>'Staff Price Out'!Q19</f>
        <v>25947.793936911075</v>
      </c>
      <c r="C25" s="141"/>
    </row>
    <row r="26" spans="1:21" x14ac:dyDescent="0.25">
      <c r="A26" s="134" t="s">
        <v>73</v>
      </c>
      <c r="B26" s="109">
        <f>B25-B23</f>
        <v>-6.9121597334742546E-11</v>
      </c>
    </row>
    <row r="27" spans="1:21" x14ac:dyDescent="0.25">
      <c r="E27" s="110" t="s">
        <v>121</v>
      </c>
      <c r="F27" s="103"/>
    </row>
    <row r="28" spans="1:21" x14ac:dyDescent="0.25">
      <c r="A28" s="98" t="s">
        <v>122</v>
      </c>
      <c r="B28" s="135">
        <f>'Staff Price Out'!Q19</f>
        <v>25947.793936911075</v>
      </c>
      <c r="E28" s="36">
        <v>0.01</v>
      </c>
    </row>
    <row r="29" spans="1:21" x14ac:dyDescent="0.25">
      <c r="A29" s="134" t="s">
        <v>73</v>
      </c>
      <c r="B29" s="109">
        <f>B28-B23</f>
        <v>-6.9121597334742546E-11</v>
      </c>
      <c r="C29" s="136">
        <f>B29/B23</f>
        <v>-2.6638718305996713E-15</v>
      </c>
    </row>
    <row r="30" spans="1:21" x14ac:dyDescent="0.25">
      <c r="O30" s="98"/>
    </row>
    <row r="31" spans="1:21" x14ac:dyDescent="0.25">
      <c r="E31" s="162">
        <v>2015</v>
      </c>
      <c r="F31" s="162"/>
      <c r="G31" s="162"/>
      <c r="H31" s="162"/>
      <c r="I31" s="162"/>
      <c r="J31" s="162"/>
      <c r="K31" s="162"/>
      <c r="L31" s="101"/>
      <c r="M31" s="101"/>
      <c r="O31" s="162">
        <v>2022</v>
      </c>
      <c r="P31" s="162"/>
      <c r="Q31" s="162"/>
      <c r="R31" s="162"/>
      <c r="S31" s="162"/>
      <c r="T31" s="162"/>
    </row>
    <row r="32" spans="1:21" x14ac:dyDescent="0.25">
      <c r="E32" s="101" t="s">
        <v>123</v>
      </c>
      <c r="F32" s="101" t="s">
        <v>124</v>
      </c>
      <c r="G32" s="101" t="s">
        <v>125</v>
      </c>
      <c r="H32" s="101" t="s">
        <v>126</v>
      </c>
      <c r="I32" s="101" t="s">
        <v>127</v>
      </c>
      <c r="J32" s="101"/>
      <c r="K32" s="101" t="s">
        <v>66</v>
      </c>
      <c r="L32" s="101"/>
      <c r="M32" s="101"/>
      <c r="O32" s="101" t="s">
        <v>124</v>
      </c>
      <c r="P32" s="101" t="s">
        <v>123</v>
      </c>
      <c r="Q32" s="101" t="s">
        <v>128</v>
      </c>
      <c r="R32" s="101" t="s">
        <v>129</v>
      </c>
      <c r="S32" s="101" t="s">
        <v>130</v>
      </c>
      <c r="T32" s="101" t="s">
        <v>66</v>
      </c>
      <c r="U32" s="101"/>
    </row>
    <row r="33" spans="1:21" x14ac:dyDescent="0.25">
      <c r="A33" s="36" t="s">
        <v>131</v>
      </c>
      <c r="D33" s="111" t="s">
        <v>132</v>
      </c>
      <c r="E33" s="112">
        <v>16596.080000000002</v>
      </c>
      <c r="F33" s="113">
        <v>40643.599999999999</v>
      </c>
      <c r="G33" s="113">
        <v>6364.52</v>
      </c>
      <c r="H33" s="113">
        <v>6961.84</v>
      </c>
      <c r="I33" s="113">
        <v>2955.08</v>
      </c>
      <c r="J33" s="113"/>
      <c r="K33" s="112">
        <f t="shared" ref="K33:K44" si="3">SUM(E33:J33)</f>
        <v>73521.119999999995</v>
      </c>
      <c r="L33" s="112"/>
      <c r="M33" s="112"/>
      <c r="N33" s="111"/>
      <c r="O33" s="113">
        <v>850</v>
      </c>
      <c r="P33" s="113">
        <v>404</v>
      </c>
      <c r="Q33" s="113">
        <v>0</v>
      </c>
      <c r="R33" s="113">
        <v>95</v>
      </c>
      <c r="S33" s="113">
        <v>4</v>
      </c>
      <c r="T33" s="113">
        <f>+O33+P33+Q33+R33+S33</f>
        <v>1353</v>
      </c>
      <c r="U33" s="113"/>
    </row>
    <row r="34" spans="1:21" x14ac:dyDescent="0.25">
      <c r="A34" s="36" t="s">
        <v>133</v>
      </c>
      <c r="D34" s="111" t="s">
        <v>132</v>
      </c>
      <c r="E34" s="112">
        <v>17074.12</v>
      </c>
      <c r="F34" s="113">
        <v>34442.68</v>
      </c>
      <c r="G34" s="113">
        <v>6253.28</v>
      </c>
      <c r="H34" s="113">
        <v>4932.1499999999996</v>
      </c>
      <c r="I34" s="113">
        <v>3525.12</v>
      </c>
      <c r="J34" s="113"/>
      <c r="K34" s="112">
        <f t="shared" si="3"/>
        <v>66227.350000000006</v>
      </c>
      <c r="L34" s="112"/>
      <c r="M34" s="112"/>
      <c r="N34" s="111"/>
      <c r="O34" s="113">
        <v>693</v>
      </c>
      <c r="P34" s="113">
        <v>364</v>
      </c>
      <c r="Q34" s="113">
        <v>0</v>
      </c>
      <c r="R34" s="113">
        <v>83</v>
      </c>
      <c r="S34" s="113">
        <v>0</v>
      </c>
      <c r="T34" s="113">
        <f t="shared" ref="T34:T44" si="4">+O34+P34+Q34+R34+S34</f>
        <v>1140</v>
      </c>
      <c r="U34" s="113"/>
    </row>
    <row r="35" spans="1:21" x14ac:dyDescent="0.25">
      <c r="A35" s="36" t="s">
        <v>134</v>
      </c>
      <c r="D35" s="111" t="s">
        <v>132</v>
      </c>
      <c r="E35" s="112">
        <v>19858.22</v>
      </c>
      <c r="F35" s="113">
        <v>41672.44</v>
      </c>
      <c r="G35" s="113">
        <v>8369.44</v>
      </c>
      <c r="H35" s="113">
        <v>4815.76</v>
      </c>
      <c r="I35" s="113">
        <v>2827.44</v>
      </c>
      <c r="J35" s="113"/>
      <c r="K35" s="112">
        <f t="shared" si="3"/>
        <v>77543.3</v>
      </c>
      <c r="L35" s="112"/>
      <c r="M35" s="112"/>
      <c r="N35" s="111"/>
      <c r="O35" s="113">
        <v>780</v>
      </c>
      <c r="P35" s="113">
        <v>370</v>
      </c>
      <c r="Q35" s="113">
        <v>0</v>
      </c>
      <c r="R35" s="113">
        <v>76</v>
      </c>
      <c r="S35" s="113">
        <v>0</v>
      </c>
      <c r="T35" s="113">
        <f t="shared" si="4"/>
        <v>1226</v>
      </c>
      <c r="U35" s="113"/>
    </row>
    <row r="36" spans="1:21" x14ac:dyDescent="0.25">
      <c r="A36" s="36" t="s">
        <v>135</v>
      </c>
      <c r="D36" s="111" t="s">
        <v>132</v>
      </c>
      <c r="E36" s="112">
        <v>19367.080000000002</v>
      </c>
      <c r="F36" s="113">
        <v>39791.56</v>
      </c>
      <c r="G36" s="113">
        <v>12167.92</v>
      </c>
      <c r="H36" s="113">
        <v>5656.92</v>
      </c>
      <c r="I36" s="113">
        <v>1682.32</v>
      </c>
      <c r="J36" s="113"/>
      <c r="K36" s="112">
        <f t="shared" si="3"/>
        <v>78665.8</v>
      </c>
      <c r="L36" s="112"/>
      <c r="M36" s="112"/>
      <c r="N36" s="111"/>
      <c r="O36" s="113">
        <v>719</v>
      </c>
      <c r="P36" s="113">
        <v>309</v>
      </c>
      <c r="Q36" s="113">
        <v>0</v>
      </c>
      <c r="R36" s="113">
        <v>58</v>
      </c>
      <c r="S36" s="113">
        <v>30</v>
      </c>
      <c r="T36" s="113">
        <f t="shared" si="4"/>
        <v>1116</v>
      </c>
      <c r="U36" s="113"/>
    </row>
    <row r="37" spans="1:21" x14ac:dyDescent="0.25">
      <c r="A37" s="36" t="s">
        <v>136</v>
      </c>
      <c r="D37" s="111" t="s">
        <v>132</v>
      </c>
      <c r="E37" s="112">
        <v>21241.84</v>
      </c>
      <c r="F37" s="113">
        <v>40453.879999999997</v>
      </c>
      <c r="G37" s="113">
        <v>8789.43</v>
      </c>
      <c r="H37" s="113">
        <v>4324.12</v>
      </c>
      <c r="I37" s="113">
        <v>2263.04</v>
      </c>
      <c r="J37" s="113"/>
      <c r="K37" s="112">
        <f t="shared" si="3"/>
        <v>77072.309999999983</v>
      </c>
      <c r="L37" s="112"/>
      <c r="M37" s="112"/>
      <c r="N37" s="111"/>
      <c r="O37" s="113">
        <v>761</v>
      </c>
      <c r="P37" s="113">
        <v>450</v>
      </c>
      <c r="Q37" s="113">
        <v>0</v>
      </c>
      <c r="R37" s="113">
        <v>145</v>
      </c>
      <c r="S37" s="113">
        <v>4</v>
      </c>
      <c r="T37" s="113">
        <f t="shared" si="4"/>
        <v>1360</v>
      </c>
      <c r="U37" s="113"/>
    </row>
    <row r="38" spans="1:21" x14ac:dyDescent="0.25">
      <c r="A38" s="36" t="s">
        <v>137</v>
      </c>
      <c r="D38" s="111" t="s">
        <v>132</v>
      </c>
      <c r="E38" s="112">
        <v>24840.400000000001</v>
      </c>
      <c r="F38" s="113">
        <v>38587.96</v>
      </c>
      <c r="G38" s="113">
        <v>10702.86</v>
      </c>
      <c r="H38" s="113">
        <v>4989.16</v>
      </c>
      <c r="I38" s="113">
        <v>2900.2</v>
      </c>
      <c r="J38" s="113"/>
      <c r="K38" s="112">
        <f t="shared" si="3"/>
        <v>82020.58</v>
      </c>
      <c r="L38" s="112"/>
      <c r="M38" s="112"/>
      <c r="N38" s="111"/>
      <c r="O38" s="113">
        <v>874</v>
      </c>
      <c r="P38" s="113">
        <v>458</v>
      </c>
      <c r="Q38" s="113">
        <v>0</v>
      </c>
      <c r="R38" s="113">
        <v>140</v>
      </c>
      <c r="S38" s="113">
        <v>25</v>
      </c>
      <c r="T38" s="113">
        <f t="shared" si="4"/>
        <v>1497</v>
      </c>
      <c r="U38" s="113"/>
    </row>
    <row r="39" spans="1:21" x14ac:dyDescent="0.25">
      <c r="A39" s="36" t="s">
        <v>138</v>
      </c>
      <c r="D39" s="111" t="s">
        <v>132</v>
      </c>
      <c r="E39" s="112">
        <v>24567.040000000001</v>
      </c>
      <c r="F39" s="113">
        <v>41062.480000000003</v>
      </c>
      <c r="G39" s="113">
        <v>16251.63</v>
      </c>
      <c r="H39" s="113">
        <v>5360.44</v>
      </c>
      <c r="I39" s="113">
        <v>2744.48</v>
      </c>
      <c r="J39" s="113"/>
      <c r="K39" s="112">
        <f t="shared" si="3"/>
        <v>89986.07</v>
      </c>
      <c r="L39" s="112"/>
      <c r="M39" s="112"/>
      <c r="N39" s="111"/>
      <c r="O39" s="113">
        <v>864</v>
      </c>
      <c r="P39" s="113">
        <v>481</v>
      </c>
      <c r="Q39" s="113">
        <v>0</v>
      </c>
      <c r="R39" s="113">
        <v>85</v>
      </c>
      <c r="S39" s="113">
        <v>0</v>
      </c>
      <c r="T39" s="113">
        <f t="shared" si="4"/>
        <v>1430</v>
      </c>
      <c r="U39" s="113"/>
    </row>
    <row r="40" spans="1:21" x14ac:dyDescent="0.25">
      <c r="A40" s="36" t="s">
        <v>139</v>
      </c>
      <c r="D40" s="111" t="s">
        <v>132</v>
      </c>
      <c r="E40" s="112">
        <v>21223.66</v>
      </c>
      <c r="F40" s="113">
        <v>41915.199999999997</v>
      </c>
      <c r="G40" s="113">
        <v>14806.4</v>
      </c>
      <c r="H40" s="113">
        <v>4863.3599999999997</v>
      </c>
      <c r="I40" s="113">
        <v>1629.28</v>
      </c>
      <c r="J40" s="113"/>
      <c r="K40" s="112">
        <f t="shared" si="3"/>
        <v>84437.9</v>
      </c>
      <c r="L40" s="112"/>
      <c r="M40" s="112"/>
      <c r="N40" s="111"/>
      <c r="O40" s="113">
        <v>845</v>
      </c>
      <c r="P40" s="113">
        <v>395</v>
      </c>
      <c r="Q40" s="113">
        <v>0</v>
      </c>
      <c r="R40" s="113">
        <v>81</v>
      </c>
      <c r="S40" s="113">
        <v>36</v>
      </c>
      <c r="T40" s="113">
        <f t="shared" si="4"/>
        <v>1357</v>
      </c>
      <c r="U40" s="113"/>
    </row>
    <row r="41" spans="1:21" x14ac:dyDescent="0.25">
      <c r="A41" s="36" t="s">
        <v>140</v>
      </c>
      <c r="D41" s="111" t="s">
        <v>132</v>
      </c>
      <c r="E41" s="112">
        <v>19591.48</v>
      </c>
      <c r="F41" s="113">
        <v>42640.08</v>
      </c>
      <c r="G41" s="113">
        <v>3346.28</v>
      </c>
      <c r="H41" s="113">
        <v>4338.3999999999996</v>
      </c>
      <c r="I41" s="113">
        <v>1381.08</v>
      </c>
      <c r="J41" s="113"/>
      <c r="K41" s="112">
        <f t="shared" si="3"/>
        <v>71297.319999999992</v>
      </c>
      <c r="L41" s="112"/>
      <c r="M41" s="112"/>
      <c r="N41" s="111"/>
      <c r="O41" s="113">
        <v>824</v>
      </c>
      <c r="P41" s="113">
        <v>372</v>
      </c>
      <c r="Q41" s="113">
        <v>0</v>
      </c>
      <c r="R41" s="113">
        <v>75</v>
      </c>
      <c r="S41" s="113">
        <v>31</v>
      </c>
      <c r="T41" s="113">
        <f t="shared" si="4"/>
        <v>1302</v>
      </c>
      <c r="U41" s="113"/>
    </row>
    <row r="42" spans="1:21" x14ac:dyDescent="0.25">
      <c r="A42" s="36" t="s">
        <v>141</v>
      </c>
      <c r="D42" s="111" t="s">
        <v>132</v>
      </c>
      <c r="E42" s="112">
        <v>14528.88</v>
      </c>
      <c r="F42" s="113">
        <v>42577.52</v>
      </c>
      <c r="G42" s="113">
        <v>5631.06</v>
      </c>
      <c r="H42" s="113">
        <v>5031.32</v>
      </c>
      <c r="I42" s="113">
        <v>1090.72</v>
      </c>
      <c r="J42" s="113"/>
      <c r="K42" s="112">
        <f t="shared" si="3"/>
        <v>68859.5</v>
      </c>
      <c r="L42" s="112"/>
      <c r="M42" s="112"/>
      <c r="N42" s="111"/>
      <c r="O42" s="113">
        <v>738</v>
      </c>
      <c r="P42" s="113">
        <v>347</v>
      </c>
      <c r="Q42" s="113">
        <v>0</v>
      </c>
      <c r="R42" s="113">
        <v>97</v>
      </c>
      <c r="S42" s="113">
        <v>2</v>
      </c>
      <c r="T42" s="113">
        <f t="shared" si="4"/>
        <v>1184</v>
      </c>
      <c r="U42" s="113"/>
    </row>
    <row r="43" spans="1:21" x14ac:dyDescent="0.25">
      <c r="A43" s="36" t="s">
        <v>142</v>
      </c>
      <c r="D43" s="111" t="s">
        <v>132</v>
      </c>
      <c r="E43" s="112">
        <v>15349.64</v>
      </c>
      <c r="F43" s="113">
        <v>37771.96</v>
      </c>
      <c r="G43" s="113">
        <v>5969.72</v>
      </c>
      <c r="H43" s="113">
        <v>4413.2</v>
      </c>
      <c r="I43" s="113">
        <v>2095.7600000000002</v>
      </c>
      <c r="J43" s="113"/>
      <c r="K43" s="112">
        <f t="shared" si="3"/>
        <v>65600.28</v>
      </c>
      <c r="L43" s="112"/>
      <c r="M43" s="112"/>
      <c r="N43" s="111"/>
      <c r="O43" s="113">
        <v>827</v>
      </c>
      <c r="P43" s="113">
        <v>342</v>
      </c>
      <c r="Q43" s="113">
        <v>0</v>
      </c>
      <c r="R43" s="113">
        <v>115</v>
      </c>
      <c r="S43" s="113">
        <v>0</v>
      </c>
      <c r="T43" s="113">
        <f t="shared" si="4"/>
        <v>1284</v>
      </c>
      <c r="U43" s="113"/>
    </row>
    <row r="44" spans="1:21" x14ac:dyDescent="0.25">
      <c r="A44" s="36" t="s">
        <v>143</v>
      </c>
      <c r="D44" s="111" t="s">
        <v>132</v>
      </c>
      <c r="E44" s="112">
        <v>15478.16</v>
      </c>
      <c r="F44" s="113">
        <v>42950.16</v>
      </c>
      <c r="G44" s="113">
        <v>6768.84</v>
      </c>
      <c r="H44" s="113">
        <v>6620.48</v>
      </c>
      <c r="I44" s="113">
        <v>2173.2800000000002</v>
      </c>
      <c r="J44" s="113"/>
      <c r="K44" s="112">
        <f t="shared" si="3"/>
        <v>73990.92</v>
      </c>
      <c r="L44" s="112"/>
      <c r="M44" s="112"/>
      <c r="N44" s="111"/>
      <c r="O44" s="114">
        <v>707</v>
      </c>
      <c r="P44" s="114">
        <v>269</v>
      </c>
      <c r="Q44" s="114">
        <v>0</v>
      </c>
      <c r="R44" s="114">
        <v>77</v>
      </c>
      <c r="S44" s="114">
        <v>4</v>
      </c>
      <c r="T44" s="114">
        <f t="shared" si="4"/>
        <v>1057</v>
      </c>
      <c r="U44" s="113"/>
    </row>
    <row r="45" spans="1:21" x14ac:dyDescent="0.25">
      <c r="D45" s="111" t="s">
        <v>132</v>
      </c>
      <c r="E45" s="115">
        <f>SUM(E33:E44)</f>
        <v>229716.6</v>
      </c>
      <c r="F45" s="115">
        <f t="shared" ref="F45:K45" si="5">SUM(F33:F44)</f>
        <v>484509.52</v>
      </c>
      <c r="G45" s="115">
        <f t="shared" si="5"/>
        <v>105421.37999999999</v>
      </c>
      <c r="H45" s="115">
        <f t="shared" si="5"/>
        <v>62307.149999999994</v>
      </c>
      <c r="I45" s="115">
        <f t="shared" si="5"/>
        <v>27267.800000000003</v>
      </c>
      <c r="K45" s="115">
        <f t="shared" si="5"/>
        <v>909222.45000000007</v>
      </c>
      <c r="L45" s="115"/>
      <c r="M45" s="115"/>
      <c r="N45" s="111"/>
      <c r="O45" s="113">
        <f>SUM(O33:O44)</f>
        <v>9482</v>
      </c>
      <c r="P45" s="113">
        <f t="shared" ref="P45:T45" si="6">SUM(P33:P44)</f>
        <v>4561</v>
      </c>
      <c r="Q45" s="113">
        <f t="shared" si="6"/>
        <v>0</v>
      </c>
      <c r="R45" s="113">
        <f t="shared" si="6"/>
        <v>1127</v>
      </c>
      <c r="S45" s="113">
        <f t="shared" si="6"/>
        <v>136</v>
      </c>
      <c r="T45" s="113">
        <f t="shared" si="6"/>
        <v>15306</v>
      </c>
      <c r="U45" s="113"/>
    </row>
    <row r="46" spans="1:21" x14ac:dyDescent="0.25">
      <c r="D46" s="111" t="s">
        <v>144</v>
      </c>
      <c r="E46" s="113">
        <v>3546.72</v>
      </c>
      <c r="F46" s="137">
        <v>7156.9</v>
      </c>
      <c r="G46" s="113">
        <v>1738.57</v>
      </c>
      <c r="H46" s="113">
        <v>953.15</v>
      </c>
      <c r="I46" s="113">
        <v>410.94</v>
      </c>
      <c r="K46" s="113">
        <f>SUM(E46:I46)</f>
        <v>13806.279999999999</v>
      </c>
      <c r="L46" s="113"/>
      <c r="M46" s="113"/>
      <c r="N46" s="116" t="s">
        <v>145</v>
      </c>
      <c r="O46" s="113">
        <f>+O45-F46</f>
        <v>2325.1000000000004</v>
      </c>
      <c r="P46" s="113">
        <f>+P45-E46</f>
        <v>1014.2800000000002</v>
      </c>
      <c r="Q46" s="113"/>
      <c r="R46" s="113"/>
      <c r="S46" s="113"/>
      <c r="T46" s="113">
        <f>+T45-K46</f>
        <v>1499.7200000000012</v>
      </c>
    </row>
    <row r="47" spans="1:21" ht="15" customHeight="1" x14ac:dyDescent="0.25">
      <c r="D47" s="111" t="s">
        <v>146</v>
      </c>
      <c r="E47" s="115">
        <f>+E45/E46</f>
        <v>64.768744079036409</v>
      </c>
      <c r="F47" s="115">
        <f>+F45/F46</f>
        <v>67.698238063966244</v>
      </c>
      <c r="G47" s="115">
        <f>+G45/G46</f>
        <v>60.636833719666157</v>
      </c>
      <c r="H47" s="115">
        <f>+H45/H46</f>
        <v>65.369721449929173</v>
      </c>
      <c r="I47" s="115">
        <f>+I45/I46</f>
        <v>66.354698982819883</v>
      </c>
      <c r="K47" s="115">
        <f>+K45/K46</f>
        <v>65.855715659830182</v>
      </c>
      <c r="L47" s="115"/>
      <c r="M47" s="115"/>
      <c r="N47" s="113"/>
      <c r="O47" s="142" t="s">
        <v>180</v>
      </c>
      <c r="P47" s="142"/>
      <c r="Q47" s="142"/>
      <c r="R47" s="142"/>
      <c r="S47" s="117"/>
      <c r="T47" s="117"/>
    </row>
    <row r="48" spans="1:21" x14ac:dyDescent="0.25">
      <c r="O48" s="142"/>
      <c r="P48" s="142"/>
      <c r="Q48" s="142"/>
      <c r="R48" s="142"/>
      <c r="S48" s="117"/>
      <c r="T48" s="117"/>
    </row>
    <row r="49" spans="3:21" x14ac:dyDescent="0.25">
      <c r="O49" s="142"/>
      <c r="P49" s="142"/>
      <c r="Q49" s="142"/>
      <c r="R49" s="142"/>
      <c r="S49" s="117"/>
      <c r="T49" s="117"/>
      <c r="U49" s="115"/>
    </row>
    <row r="50" spans="3:21" x14ac:dyDescent="0.25">
      <c r="C50" s="36" t="s">
        <v>147</v>
      </c>
      <c r="F50" s="115">
        <f>SUM(F46:I46)</f>
        <v>10259.56</v>
      </c>
      <c r="O50" s="143"/>
    </row>
    <row r="52" spans="3:21" x14ac:dyDescent="0.25">
      <c r="E52" s="36" t="s">
        <v>124</v>
      </c>
      <c r="F52" s="36" t="s">
        <v>147</v>
      </c>
    </row>
    <row r="53" spans="3:21" x14ac:dyDescent="0.25">
      <c r="E53" s="36" t="s">
        <v>123</v>
      </c>
      <c r="F53" s="36" t="s">
        <v>101</v>
      </c>
    </row>
    <row r="54" spans="3:21" x14ac:dyDescent="0.25">
      <c r="E54" s="36" t="s">
        <v>125</v>
      </c>
      <c r="F54" s="36" t="s">
        <v>148</v>
      </c>
    </row>
    <row r="55" spans="3:21" x14ac:dyDescent="0.25">
      <c r="E55" s="36" t="s">
        <v>126</v>
      </c>
      <c r="F55" s="36" t="s">
        <v>149</v>
      </c>
    </row>
    <row r="56" spans="3:21" x14ac:dyDescent="0.25">
      <c r="E56" s="36" t="s">
        <v>150</v>
      </c>
      <c r="F56" s="36" t="s">
        <v>151</v>
      </c>
    </row>
  </sheetData>
  <mergeCells count="3">
    <mergeCell ref="D4:G4"/>
    <mergeCell ref="E31:K31"/>
    <mergeCell ref="O31:T31"/>
  </mergeCells>
  <pageMargins left="0.25" right="0.25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8CE5-1AF9-4B24-B830-FEE8047C7052}">
  <sheetPr>
    <pageSetUpPr fitToPage="1"/>
  </sheetPr>
  <dimension ref="A1:J75"/>
  <sheetViews>
    <sheetView showGridLines="0" topLeftCell="A49" zoomScale="85" zoomScaleNormal="85" zoomScaleSheetLayoutView="90" workbookViewId="0">
      <selection activeCell="D62" sqref="D62"/>
    </sheetView>
  </sheetViews>
  <sheetFormatPr defaultRowHeight="15" x14ac:dyDescent="0.25"/>
  <cols>
    <col min="1" max="1" width="31.28515625" customWidth="1"/>
    <col min="2" max="2" width="7" customWidth="1"/>
    <col min="3" max="3" width="19" bestFit="1" customWidth="1"/>
    <col min="4" max="4" width="16" bestFit="1" customWidth="1"/>
    <col min="5" max="5" width="10.5703125" bestFit="1" customWidth="1"/>
    <col min="6" max="6" width="9.85546875" customWidth="1"/>
    <col min="7" max="7" width="11.42578125" bestFit="1" customWidth="1"/>
    <col min="8" max="8" width="13.28515625" customWidth="1"/>
    <col min="9" max="9" width="10.42578125" customWidth="1"/>
    <col min="10" max="10" width="15.85546875" bestFit="1" customWidth="1"/>
    <col min="11" max="11" width="14.5703125" customWidth="1"/>
  </cols>
  <sheetData>
    <row r="1" spans="1:10" x14ac:dyDescent="0.25">
      <c r="A1" s="31"/>
    </row>
    <row r="2" spans="1:10" x14ac:dyDescent="0.25">
      <c r="A2" s="31"/>
      <c r="J2" s="53" t="s">
        <v>89</v>
      </c>
    </row>
    <row r="5" spans="1:10" x14ac:dyDescent="0.25">
      <c r="A5" s="163" t="s">
        <v>13</v>
      </c>
      <c r="B5" s="163"/>
      <c r="C5" s="163"/>
      <c r="D5" s="163"/>
      <c r="E5" s="163"/>
      <c r="F5" s="163"/>
      <c r="G5" s="163"/>
      <c r="H5" s="163"/>
      <c r="I5" s="163"/>
    </row>
    <row r="6" spans="1:10" x14ac:dyDescent="0.25">
      <c r="A6" t="s">
        <v>14</v>
      </c>
      <c r="C6" s="38" t="s">
        <v>15</v>
      </c>
      <c r="D6" s="38" t="s">
        <v>16</v>
      </c>
      <c r="E6" s="38" t="s">
        <v>17</v>
      </c>
      <c r="F6" s="38" t="s">
        <v>18</v>
      </c>
      <c r="G6" s="38" t="s">
        <v>19</v>
      </c>
      <c r="H6" s="38" t="s">
        <v>20</v>
      </c>
      <c r="I6" s="38" t="s">
        <v>21</v>
      </c>
    </row>
    <row r="7" spans="1:10" x14ac:dyDescent="0.25">
      <c r="A7" t="s">
        <v>22</v>
      </c>
      <c r="C7" s="54">
        <f>52*5/12</f>
        <v>21.666666666666668</v>
      </c>
      <c r="D7" s="37">
        <f>$C$7*2</f>
        <v>43.333333333333336</v>
      </c>
      <c r="E7" s="37">
        <f>$C$7*3</f>
        <v>65</v>
      </c>
      <c r="F7" s="37">
        <f>$C$7*4</f>
        <v>86.666666666666671</v>
      </c>
      <c r="G7" s="37">
        <f>$C$7*5</f>
        <v>108.33333333333334</v>
      </c>
      <c r="H7" s="37">
        <f>$C$7*6</f>
        <v>130</v>
      </c>
      <c r="I7" s="37">
        <f>$C$7*7</f>
        <v>151.66666666666669</v>
      </c>
    </row>
    <row r="8" spans="1:10" x14ac:dyDescent="0.25">
      <c r="A8" t="s">
        <v>23</v>
      </c>
      <c r="C8" s="54">
        <f>52*4/12</f>
        <v>17.333333333333332</v>
      </c>
      <c r="D8" s="37">
        <f>$C$8*2</f>
        <v>34.666666666666664</v>
      </c>
      <c r="E8" s="37">
        <f>$C$8*3</f>
        <v>52</v>
      </c>
      <c r="F8" s="37">
        <f>$C$8*4</f>
        <v>69.333333333333329</v>
      </c>
      <c r="G8" s="37">
        <f>$C$8*5</f>
        <v>86.666666666666657</v>
      </c>
      <c r="H8" s="37">
        <f>$C$8*6</f>
        <v>104</v>
      </c>
      <c r="I8" s="37">
        <f>$C$8*7</f>
        <v>121.33333333333333</v>
      </c>
    </row>
    <row r="9" spans="1:10" x14ac:dyDescent="0.25">
      <c r="A9" t="s">
        <v>24</v>
      </c>
      <c r="C9" s="54">
        <f>52*3/12</f>
        <v>13</v>
      </c>
      <c r="D9" s="37">
        <f>$C$9*2</f>
        <v>26</v>
      </c>
      <c r="E9" s="37">
        <f>$C$9*3</f>
        <v>39</v>
      </c>
      <c r="F9" s="37">
        <f>$C$9*4</f>
        <v>52</v>
      </c>
      <c r="G9" s="37">
        <f>$C$9*5</f>
        <v>65</v>
      </c>
      <c r="H9" s="37">
        <f>$C$9*6</f>
        <v>78</v>
      </c>
      <c r="I9" s="37">
        <f>$C$9*7</f>
        <v>91</v>
      </c>
    </row>
    <row r="10" spans="1:10" x14ac:dyDescent="0.25">
      <c r="A10" t="s">
        <v>25</v>
      </c>
      <c r="C10" s="54">
        <f>52*2/12</f>
        <v>8.6666666666666661</v>
      </c>
      <c r="D10" s="2">
        <f>$C$10*2</f>
        <v>17.333333333333332</v>
      </c>
      <c r="E10" s="2">
        <f>$C$10*3</f>
        <v>26</v>
      </c>
      <c r="F10" s="2">
        <f>$C$10*4</f>
        <v>34.666666666666664</v>
      </c>
      <c r="G10" s="2">
        <f>$C$10*5</f>
        <v>43.333333333333329</v>
      </c>
      <c r="H10" s="2">
        <f>$C$10*6</f>
        <v>52</v>
      </c>
      <c r="I10" s="2">
        <f>$C$10*7</f>
        <v>60.666666666666664</v>
      </c>
    </row>
    <row r="11" spans="1:10" x14ac:dyDescent="0.25">
      <c r="A11" t="s">
        <v>26</v>
      </c>
      <c r="C11" s="54">
        <f>52/12</f>
        <v>4.333333333333333</v>
      </c>
      <c r="D11" s="2">
        <f>$C$11*2</f>
        <v>8.6666666666666661</v>
      </c>
      <c r="E11" s="2">
        <f>$C$11*3</f>
        <v>13</v>
      </c>
      <c r="F11" s="2">
        <f>$C$11*4</f>
        <v>17.333333333333332</v>
      </c>
      <c r="G11" s="2">
        <f>$C$11*5</f>
        <v>21.666666666666664</v>
      </c>
      <c r="H11" s="2">
        <f>$C$11*6</f>
        <v>26</v>
      </c>
      <c r="I11" s="2">
        <f>$C$11*7</f>
        <v>30.333333333333332</v>
      </c>
    </row>
    <row r="12" spans="1:10" x14ac:dyDescent="0.25">
      <c r="A12" t="s">
        <v>27</v>
      </c>
      <c r="C12" s="54">
        <f>26/12</f>
        <v>2.1666666666666665</v>
      </c>
      <c r="D12" s="2">
        <f>$C$12*2</f>
        <v>4.333333333333333</v>
      </c>
      <c r="E12" s="2">
        <f>$C$12*3</f>
        <v>6.5</v>
      </c>
      <c r="F12" s="2">
        <f>$C$12*4</f>
        <v>8.6666666666666661</v>
      </c>
      <c r="G12" s="2">
        <f>$C$12*5</f>
        <v>10.833333333333332</v>
      </c>
      <c r="H12" s="2">
        <f>$C$12*6</f>
        <v>13</v>
      </c>
      <c r="I12" s="2">
        <f>$C$12*7</f>
        <v>15.166666666666666</v>
      </c>
    </row>
    <row r="13" spans="1:10" x14ac:dyDescent="0.25">
      <c r="A13" t="s">
        <v>28</v>
      </c>
      <c r="C13" s="54">
        <f>12/12</f>
        <v>1</v>
      </c>
      <c r="D13" s="2">
        <f>$C$13*2</f>
        <v>2</v>
      </c>
      <c r="E13" s="2">
        <f>$C$13*3</f>
        <v>3</v>
      </c>
      <c r="F13" s="2">
        <f>$C$13*4</f>
        <v>4</v>
      </c>
      <c r="G13" s="2">
        <f>$C$13*5</f>
        <v>5</v>
      </c>
      <c r="H13" s="2">
        <f>$C$13*6</f>
        <v>6</v>
      </c>
      <c r="I13" s="2">
        <f>$C$13*7</f>
        <v>7</v>
      </c>
    </row>
    <row r="14" spans="1:10" x14ac:dyDescent="0.25">
      <c r="A14" t="s">
        <v>90</v>
      </c>
      <c r="C14" s="54">
        <v>1</v>
      </c>
      <c r="D14" s="2"/>
      <c r="E14" s="2"/>
      <c r="F14" s="2"/>
      <c r="G14" s="2"/>
      <c r="H14" s="2"/>
      <c r="I14" s="2"/>
    </row>
    <row r="15" spans="1:10" x14ac:dyDescent="0.25">
      <c r="A15" s="163" t="s">
        <v>3</v>
      </c>
      <c r="B15" s="163"/>
      <c r="C15" s="163"/>
      <c r="D15" s="2"/>
      <c r="E15" s="2"/>
      <c r="F15" s="2"/>
      <c r="G15" s="2"/>
      <c r="H15" s="2"/>
      <c r="I15" s="2"/>
    </row>
    <row r="16" spans="1:10" x14ac:dyDescent="0.25">
      <c r="A16" s="31" t="s">
        <v>29</v>
      </c>
      <c r="B16" s="31"/>
      <c r="C16" s="55" t="s">
        <v>30</v>
      </c>
      <c r="D16" s="2"/>
      <c r="E16" s="2"/>
      <c r="F16" s="2"/>
      <c r="G16" s="2"/>
      <c r="H16" s="2"/>
      <c r="I16" s="2"/>
    </row>
    <row r="17" spans="1:9" x14ac:dyDescent="0.25">
      <c r="A17" s="34" t="s">
        <v>31</v>
      </c>
      <c r="B17" s="34"/>
      <c r="C17" s="56">
        <v>20</v>
      </c>
      <c r="D17" s="2"/>
      <c r="E17" s="2"/>
      <c r="F17" s="2"/>
      <c r="G17" s="2"/>
      <c r="H17" s="2"/>
      <c r="I17" s="2"/>
    </row>
    <row r="18" spans="1:9" x14ac:dyDescent="0.25">
      <c r="A18" s="34" t="s">
        <v>32</v>
      </c>
      <c r="B18" s="34"/>
      <c r="C18" s="56">
        <v>34</v>
      </c>
      <c r="D18" s="2"/>
      <c r="E18" s="2"/>
      <c r="F18" s="2"/>
      <c r="G18" s="2"/>
      <c r="H18" s="2"/>
      <c r="I18" s="2"/>
    </row>
    <row r="19" spans="1:9" x14ac:dyDescent="0.25">
      <c r="A19" s="34" t="s">
        <v>33</v>
      </c>
      <c r="B19" s="34"/>
      <c r="C19" s="56">
        <v>51</v>
      </c>
      <c r="D19" s="2"/>
      <c r="E19" s="2"/>
      <c r="F19" s="2"/>
      <c r="G19" s="2"/>
      <c r="H19" s="2"/>
      <c r="I19" s="2"/>
    </row>
    <row r="20" spans="1:9" x14ac:dyDescent="0.25">
      <c r="A20" s="34" t="s">
        <v>34</v>
      </c>
      <c r="B20" s="34"/>
      <c r="C20" s="56">
        <v>77</v>
      </c>
      <c r="D20" s="2"/>
      <c r="E20" s="2"/>
      <c r="F20" s="2"/>
      <c r="G20" t="s">
        <v>35</v>
      </c>
      <c r="H20" s="56">
        <v>2000</v>
      </c>
      <c r="I20" s="2"/>
    </row>
    <row r="21" spans="1:9" x14ac:dyDescent="0.25">
      <c r="A21" s="34" t="s">
        <v>36</v>
      </c>
      <c r="B21" s="34"/>
      <c r="C21" s="56">
        <v>97</v>
      </c>
      <c r="D21" s="2"/>
      <c r="E21" s="2"/>
      <c r="F21" s="2"/>
      <c r="G21" t="s">
        <v>37</v>
      </c>
      <c r="H21" s="138" t="s">
        <v>38</v>
      </c>
      <c r="I21" s="2"/>
    </row>
    <row r="22" spans="1:9" x14ac:dyDescent="0.25">
      <c r="A22" s="34" t="s">
        <v>39</v>
      </c>
      <c r="B22" s="34"/>
      <c r="C22" s="56">
        <v>117</v>
      </c>
      <c r="D22" s="2"/>
      <c r="E22" s="2"/>
      <c r="F22" s="2"/>
      <c r="I22" s="2"/>
    </row>
    <row r="23" spans="1:9" x14ac:dyDescent="0.25">
      <c r="A23" s="34" t="s">
        <v>40</v>
      </c>
      <c r="B23" s="34"/>
      <c r="C23" s="56">
        <v>137</v>
      </c>
      <c r="D23" s="2"/>
      <c r="E23" s="2"/>
      <c r="F23" s="2"/>
      <c r="G23" s="36" t="s">
        <v>85</v>
      </c>
      <c r="H23" s="111">
        <v>12</v>
      </c>
      <c r="I23" s="2"/>
    </row>
    <row r="24" spans="1:9" x14ac:dyDescent="0.25">
      <c r="A24" s="34" t="s">
        <v>91</v>
      </c>
      <c r="B24" s="34"/>
      <c r="C24" s="56">
        <v>40</v>
      </c>
      <c r="D24" s="2" t="s">
        <v>41</v>
      </c>
      <c r="E24" s="2"/>
      <c r="F24" s="2"/>
      <c r="G24" s="35"/>
      <c r="H24" s="139"/>
      <c r="I24" s="2"/>
    </row>
    <row r="25" spans="1:9" x14ac:dyDescent="0.25">
      <c r="A25" s="34" t="s">
        <v>92</v>
      </c>
      <c r="B25" s="34"/>
      <c r="C25" s="56">
        <v>47</v>
      </c>
      <c r="D25" s="2"/>
      <c r="E25" s="2"/>
      <c r="F25" s="2"/>
      <c r="G25" s="2"/>
      <c r="H25" s="2"/>
      <c r="I25" s="2"/>
    </row>
    <row r="26" spans="1:9" x14ac:dyDescent="0.25">
      <c r="A26" s="34" t="s">
        <v>93</v>
      </c>
      <c r="B26" s="34"/>
      <c r="C26" s="56">
        <v>68</v>
      </c>
      <c r="D26" s="2"/>
      <c r="E26" s="2"/>
      <c r="F26" s="2"/>
      <c r="G26" s="2"/>
      <c r="H26" s="2"/>
      <c r="I26" s="2"/>
    </row>
    <row r="27" spans="1:9" x14ac:dyDescent="0.25">
      <c r="A27" s="34" t="s">
        <v>42</v>
      </c>
      <c r="B27" s="34"/>
      <c r="C27" s="56">
        <v>34</v>
      </c>
      <c r="D27" s="2"/>
      <c r="E27" s="2"/>
      <c r="F27" s="2"/>
      <c r="G27" s="2"/>
      <c r="H27" s="2"/>
      <c r="I27" s="2"/>
    </row>
    <row r="28" spans="1:9" x14ac:dyDescent="0.25">
      <c r="A28" s="34" t="s">
        <v>43</v>
      </c>
      <c r="B28" s="34"/>
      <c r="C28" s="56">
        <v>34</v>
      </c>
      <c r="D28" s="2"/>
      <c r="E28" s="2"/>
      <c r="F28" s="2"/>
      <c r="G28" s="2"/>
      <c r="H28" s="2"/>
      <c r="I28" s="2"/>
    </row>
    <row r="29" spans="1:9" x14ac:dyDescent="0.25">
      <c r="A29" s="31" t="s">
        <v>44</v>
      </c>
      <c r="B29" s="31"/>
      <c r="C29" s="56"/>
      <c r="D29" s="2"/>
      <c r="E29" s="2"/>
      <c r="F29" s="2"/>
      <c r="G29" s="2"/>
      <c r="H29" s="2"/>
      <c r="I29" s="2"/>
    </row>
    <row r="30" spans="1:9" x14ac:dyDescent="0.25">
      <c r="A30" s="34" t="s">
        <v>45</v>
      </c>
      <c r="B30" s="34"/>
      <c r="C30" s="56">
        <v>29</v>
      </c>
      <c r="D30" s="2"/>
      <c r="E30" s="2"/>
      <c r="F30" s="2"/>
      <c r="G30" s="2"/>
      <c r="H30" s="2"/>
      <c r="I30" s="2"/>
    </row>
    <row r="31" spans="1:9" x14ac:dyDescent="0.25">
      <c r="A31" s="34" t="s">
        <v>57</v>
      </c>
      <c r="B31" s="34"/>
      <c r="C31" s="56">
        <v>125</v>
      </c>
      <c r="D31" s="2"/>
      <c r="E31" s="2"/>
      <c r="F31" s="2"/>
      <c r="G31" s="2"/>
      <c r="H31" s="2"/>
      <c r="I31" s="2"/>
    </row>
    <row r="32" spans="1:9" x14ac:dyDescent="0.25">
      <c r="A32" s="34" t="s">
        <v>46</v>
      </c>
      <c r="B32" s="34"/>
      <c r="C32" s="56">
        <v>175</v>
      </c>
      <c r="D32" s="2"/>
      <c r="E32" s="2"/>
      <c r="F32" s="2"/>
      <c r="G32" s="2"/>
      <c r="H32" s="2"/>
      <c r="I32" s="2"/>
    </row>
    <row r="33" spans="1:9" x14ac:dyDescent="0.25">
      <c r="A33" s="34" t="s">
        <v>47</v>
      </c>
      <c r="B33" s="34"/>
      <c r="C33" s="57">
        <v>250</v>
      </c>
      <c r="D33" s="2"/>
      <c r="E33" s="2"/>
      <c r="F33" s="2"/>
      <c r="G33" s="2"/>
      <c r="H33" s="2"/>
      <c r="I33" s="2"/>
    </row>
    <row r="34" spans="1:9" x14ac:dyDescent="0.25">
      <c r="A34" s="34" t="s">
        <v>48</v>
      </c>
      <c r="B34" s="34"/>
      <c r="C34" s="57">
        <v>324</v>
      </c>
      <c r="D34" s="2"/>
      <c r="E34" s="2"/>
      <c r="F34" s="2"/>
      <c r="G34" s="2"/>
      <c r="H34" s="2"/>
      <c r="I34" s="2"/>
    </row>
    <row r="35" spans="1:9" x14ac:dyDescent="0.25">
      <c r="A35" s="34" t="s">
        <v>49</v>
      </c>
      <c r="B35" s="34"/>
      <c r="C35" s="57">
        <v>473</v>
      </c>
      <c r="D35" s="2"/>
      <c r="E35" s="2"/>
      <c r="F35" s="2"/>
      <c r="G35" s="2"/>
      <c r="H35" s="2"/>
      <c r="I35" s="2"/>
    </row>
    <row r="36" spans="1:9" x14ac:dyDescent="0.25">
      <c r="A36" s="34" t="s">
        <v>50</v>
      </c>
      <c r="B36" s="34"/>
      <c r="C36" s="57">
        <v>613</v>
      </c>
      <c r="D36" s="2"/>
      <c r="E36" s="2"/>
      <c r="F36" s="2"/>
      <c r="G36" s="2"/>
      <c r="H36" s="2"/>
      <c r="I36" s="2"/>
    </row>
    <row r="37" spans="1:9" x14ac:dyDescent="0.25">
      <c r="A37" s="34" t="s">
        <v>51</v>
      </c>
      <c r="B37" s="34"/>
      <c r="C37" s="57">
        <v>840</v>
      </c>
      <c r="D37" s="2"/>
      <c r="E37" s="2"/>
      <c r="F37" s="2"/>
      <c r="G37" s="2"/>
      <c r="H37" s="2"/>
      <c r="I37" s="2"/>
    </row>
    <row r="38" spans="1:9" x14ac:dyDescent="0.25">
      <c r="A38" s="34" t="s">
        <v>52</v>
      </c>
      <c r="B38" s="34"/>
      <c r="C38" s="57">
        <v>980</v>
      </c>
      <c r="D38" s="58"/>
      <c r="E38" s="2"/>
      <c r="F38" s="2"/>
      <c r="G38" s="2"/>
      <c r="H38" s="2"/>
      <c r="I38" s="2"/>
    </row>
    <row r="39" spans="1:9" x14ac:dyDescent="0.25">
      <c r="A39" s="59" t="s">
        <v>94</v>
      </c>
      <c r="B39" s="59">
        <v>2.25</v>
      </c>
      <c r="C39" s="56"/>
      <c r="D39" s="58"/>
      <c r="E39" s="2"/>
      <c r="F39" s="2"/>
      <c r="G39" s="2"/>
      <c r="H39" s="2"/>
      <c r="I39" s="2"/>
    </row>
    <row r="40" spans="1:9" x14ac:dyDescent="0.25">
      <c r="A40" s="34" t="s">
        <v>53</v>
      </c>
      <c r="B40" s="34"/>
      <c r="C40" s="56">
        <f>C34*$B$39</f>
        <v>729</v>
      </c>
      <c r="D40" s="2" t="s">
        <v>41</v>
      </c>
      <c r="E40" s="2"/>
      <c r="F40" s="2"/>
      <c r="G40" s="2"/>
      <c r="H40" s="2"/>
      <c r="I40" s="2"/>
    </row>
    <row r="41" spans="1:9" x14ac:dyDescent="0.25">
      <c r="A41" s="34" t="s">
        <v>55</v>
      </c>
      <c r="B41" s="34"/>
      <c r="C41" s="56">
        <f>C36*$B$39</f>
        <v>1379.25</v>
      </c>
      <c r="D41" s="2" t="s">
        <v>41</v>
      </c>
      <c r="E41" s="2"/>
      <c r="F41" s="2"/>
      <c r="G41" s="2"/>
      <c r="H41" s="2"/>
      <c r="I41" s="2"/>
    </row>
    <row r="42" spans="1:9" x14ac:dyDescent="0.25">
      <c r="A42" s="34" t="s">
        <v>56</v>
      </c>
      <c r="B42" s="34"/>
      <c r="C42" s="56">
        <f>C37*$B$39</f>
        <v>1890</v>
      </c>
      <c r="D42" s="2" t="s">
        <v>41</v>
      </c>
      <c r="E42" s="2"/>
      <c r="F42" s="2"/>
      <c r="G42" s="2"/>
      <c r="H42" s="2"/>
      <c r="I42" s="2"/>
    </row>
    <row r="43" spans="1:9" x14ac:dyDescent="0.25">
      <c r="A43" s="59" t="s">
        <v>95</v>
      </c>
      <c r="B43" s="59">
        <v>3</v>
      </c>
      <c r="C43" s="56"/>
      <c r="D43" s="2"/>
      <c r="E43" s="2"/>
      <c r="F43" s="2"/>
      <c r="G43" s="2"/>
      <c r="H43" s="2"/>
      <c r="I43" s="2"/>
    </row>
    <row r="44" spans="1:9" x14ac:dyDescent="0.25">
      <c r="A44" s="34" t="s">
        <v>53</v>
      </c>
      <c r="B44" s="34"/>
      <c r="C44" s="60">
        <f>C34*$B$43</f>
        <v>972</v>
      </c>
      <c r="D44" s="2" t="s">
        <v>41</v>
      </c>
      <c r="E44" s="2"/>
      <c r="F44" s="2"/>
      <c r="G44" s="2"/>
      <c r="H44" s="2"/>
      <c r="I44" s="2"/>
    </row>
    <row r="45" spans="1:9" x14ac:dyDescent="0.25">
      <c r="A45" s="34" t="s">
        <v>54</v>
      </c>
      <c r="B45" s="34"/>
      <c r="C45" s="60">
        <f t="shared" ref="C45:C47" si="0">C35*$B$43</f>
        <v>1419</v>
      </c>
      <c r="D45" s="2" t="s">
        <v>41</v>
      </c>
      <c r="E45" s="2"/>
      <c r="F45" s="2"/>
      <c r="G45" s="2"/>
      <c r="H45" s="2"/>
      <c r="I45" s="2"/>
    </row>
    <row r="46" spans="1:9" x14ac:dyDescent="0.25">
      <c r="A46" s="34" t="s">
        <v>55</v>
      </c>
      <c r="B46" s="34"/>
      <c r="C46" s="60">
        <f t="shared" si="0"/>
        <v>1839</v>
      </c>
      <c r="D46" s="2" t="s">
        <v>41</v>
      </c>
      <c r="E46" s="2"/>
      <c r="F46" s="2"/>
      <c r="G46" s="2"/>
      <c r="H46" s="2"/>
      <c r="I46" s="2"/>
    </row>
    <row r="47" spans="1:9" x14ac:dyDescent="0.25">
      <c r="A47" s="34" t="s">
        <v>56</v>
      </c>
      <c r="B47" s="34"/>
      <c r="C47" s="60">
        <f t="shared" si="0"/>
        <v>2520</v>
      </c>
      <c r="D47" s="2" t="s">
        <v>41</v>
      </c>
      <c r="E47" s="2"/>
      <c r="F47" s="2"/>
      <c r="G47" s="2"/>
      <c r="H47" s="2"/>
      <c r="I47" s="2"/>
    </row>
    <row r="48" spans="1:9" x14ac:dyDescent="0.25">
      <c r="A48" s="59" t="s">
        <v>96</v>
      </c>
      <c r="B48" s="59">
        <v>4</v>
      </c>
      <c r="C48" s="56"/>
      <c r="D48" s="2"/>
      <c r="E48" s="2"/>
      <c r="F48" s="2"/>
      <c r="G48" s="2"/>
      <c r="H48" s="2"/>
      <c r="I48" s="2"/>
    </row>
    <row r="49" spans="1:10" x14ac:dyDescent="0.25">
      <c r="A49" s="34" t="s">
        <v>54</v>
      </c>
      <c r="B49" s="34"/>
      <c r="C49" s="60">
        <f t="shared" ref="C49:C51" si="1">C35*$B$48</f>
        <v>1892</v>
      </c>
      <c r="D49" s="2" t="s">
        <v>41</v>
      </c>
      <c r="E49" s="2"/>
      <c r="F49" s="2"/>
      <c r="G49" s="2"/>
      <c r="H49" s="2"/>
      <c r="I49" s="2"/>
    </row>
    <row r="50" spans="1:10" x14ac:dyDescent="0.25">
      <c r="A50" s="34" t="s">
        <v>55</v>
      </c>
      <c r="B50" s="34"/>
      <c r="C50" s="60">
        <f t="shared" si="1"/>
        <v>2452</v>
      </c>
      <c r="D50" s="2" t="s">
        <v>41</v>
      </c>
      <c r="E50" s="2"/>
      <c r="F50" s="2"/>
      <c r="G50" s="2"/>
      <c r="H50" s="2"/>
      <c r="I50" s="2"/>
    </row>
    <row r="51" spans="1:10" x14ac:dyDescent="0.25">
      <c r="A51" s="34" t="s">
        <v>56</v>
      </c>
      <c r="B51" s="34"/>
      <c r="C51" s="60">
        <f t="shared" si="1"/>
        <v>3360</v>
      </c>
      <c r="D51" s="2" t="s">
        <v>41</v>
      </c>
      <c r="E51" s="2"/>
      <c r="F51" s="2"/>
      <c r="G51" s="2"/>
      <c r="H51" s="2"/>
      <c r="I51" s="2"/>
    </row>
    <row r="52" spans="1:10" x14ac:dyDescent="0.25">
      <c r="A52" s="59" t="s">
        <v>97</v>
      </c>
      <c r="B52" s="59">
        <v>5</v>
      </c>
      <c r="C52" s="56"/>
      <c r="D52" s="2"/>
      <c r="E52" s="2"/>
      <c r="F52" s="2"/>
      <c r="G52" s="2"/>
      <c r="H52" s="2"/>
      <c r="I52" s="2"/>
    </row>
    <row r="53" spans="1:10" x14ac:dyDescent="0.25">
      <c r="A53" s="34" t="s">
        <v>55</v>
      </c>
      <c r="B53" s="34"/>
      <c r="C53" s="60">
        <f>C36*$B$52</f>
        <v>3065</v>
      </c>
      <c r="D53" s="2" t="s">
        <v>41</v>
      </c>
      <c r="E53" s="2"/>
      <c r="F53" s="2"/>
      <c r="G53" s="2"/>
      <c r="H53" s="2"/>
      <c r="I53" s="2"/>
    </row>
    <row r="54" spans="1:10" x14ac:dyDescent="0.25">
      <c r="A54" s="34" t="s">
        <v>56</v>
      </c>
      <c r="B54" s="34"/>
      <c r="C54" s="60">
        <f>C37*$B$52</f>
        <v>4200</v>
      </c>
      <c r="D54" s="2" t="s">
        <v>41</v>
      </c>
      <c r="E54" s="2"/>
      <c r="F54" s="2"/>
      <c r="G54" s="2"/>
      <c r="H54" s="2"/>
      <c r="I54" s="2"/>
    </row>
    <row r="55" spans="1:10" x14ac:dyDescent="0.25">
      <c r="C55" s="164" t="s">
        <v>98</v>
      </c>
      <c r="D55" s="164"/>
    </row>
    <row r="56" spans="1:10" x14ac:dyDescent="0.25">
      <c r="C56" t="s">
        <v>99</v>
      </c>
    </row>
    <row r="58" spans="1:10" x14ac:dyDescent="0.25">
      <c r="A58" s="1" t="s">
        <v>100</v>
      </c>
      <c r="B58" s="1"/>
      <c r="C58" s="61" t="s">
        <v>58</v>
      </c>
      <c r="D58" s="61" t="s">
        <v>59</v>
      </c>
      <c r="G58" s="165" t="s">
        <v>60</v>
      </c>
      <c r="H58" s="165"/>
    </row>
    <row r="59" spans="1:10" x14ac:dyDescent="0.25">
      <c r="A59" s="27" t="s">
        <v>61</v>
      </c>
      <c r="B59" s="27"/>
      <c r="C59" s="62">
        <v>118</v>
      </c>
      <c r="D59" s="63">
        <f>C59/2000</f>
        <v>5.8999999999999997E-2</v>
      </c>
      <c r="G59" t="s">
        <v>62</v>
      </c>
      <c r="H59" s="64">
        <v>1.7500000000000002E-2</v>
      </c>
    </row>
    <row r="60" spans="1:10" x14ac:dyDescent="0.25">
      <c r="A60" s="27" t="s">
        <v>63</v>
      </c>
      <c r="B60" s="27"/>
      <c r="C60" s="65">
        <v>121.54</v>
      </c>
      <c r="D60" s="66">
        <f>C60/2000</f>
        <v>6.0770000000000005E-2</v>
      </c>
      <c r="G60" t="s">
        <v>64</v>
      </c>
      <c r="H60" s="67">
        <f>0.0051</f>
        <v>5.1000000000000004E-3</v>
      </c>
    </row>
    <row r="61" spans="1:10" x14ac:dyDescent="0.25">
      <c r="A61" s="34" t="s">
        <v>6</v>
      </c>
      <c r="B61" s="34"/>
      <c r="C61" s="68">
        <f>C60-C59</f>
        <v>3.5400000000000063</v>
      </c>
      <c r="D61" s="69">
        <f>D60-D59</f>
        <v>1.7700000000000077E-3</v>
      </c>
      <c r="E61" s="33">
        <f>C61/C59</f>
        <v>3.0000000000000054E-2</v>
      </c>
      <c r="G61" t="s">
        <v>65</v>
      </c>
      <c r="H61" s="70">
        <v>1E-3</v>
      </c>
    </row>
    <row r="62" spans="1:10" x14ac:dyDescent="0.25">
      <c r="D62" s="71"/>
      <c r="G62" t="s">
        <v>66</v>
      </c>
      <c r="H62" s="32">
        <f>SUM(H59:H61)</f>
        <v>2.3600000000000003E-2</v>
      </c>
      <c r="J62" s="72"/>
    </row>
    <row r="63" spans="1:10" x14ac:dyDescent="0.25">
      <c r="C63" s="73" t="s">
        <v>101</v>
      </c>
    </row>
    <row r="64" spans="1:10" x14ac:dyDescent="0.25">
      <c r="A64" t="s">
        <v>67</v>
      </c>
      <c r="C64" s="3">
        <f>C61</f>
        <v>3.5400000000000063</v>
      </c>
      <c r="D64" s="71"/>
      <c r="G64" t="s">
        <v>68</v>
      </c>
      <c r="H64" s="74">
        <f>1-H62</f>
        <v>0.97640000000000005</v>
      </c>
    </row>
    <row r="65" spans="1:5" x14ac:dyDescent="0.25">
      <c r="A65" t="s">
        <v>69</v>
      </c>
      <c r="C65" s="3">
        <f>C64/$H$64</f>
        <v>3.6255632937320832</v>
      </c>
      <c r="D65" s="71"/>
    </row>
    <row r="66" spans="1:5" x14ac:dyDescent="0.25">
      <c r="A66" t="s">
        <v>70</v>
      </c>
      <c r="C66" s="75">
        <v>7156.9</v>
      </c>
      <c r="D66" s="3"/>
      <c r="E66" s="76"/>
    </row>
    <row r="67" spans="1:5" x14ac:dyDescent="0.25">
      <c r="A67" s="31" t="s">
        <v>102</v>
      </c>
      <c r="B67" s="31"/>
      <c r="C67" s="77">
        <f>C65*C66</f>
        <v>25947.793936911145</v>
      </c>
      <c r="E67" s="76"/>
    </row>
    <row r="70" spans="1:5" ht="15.75" thickBot="1" x14ac:dyDescent="0.3"/>
    <row r="71" spans="1:5" x14ac:dyDescent="0.25">
      <c r="A71" s="30" t="s">
        <v>71</v>
      </c>
      <c r="B71" s="78"/>
      <c r="C71" s="79" t="s">
        <v>72</v>
      </c>
      <c r="E71" s="3"/>
    </row>
    <row r="72" spans="1:5" x14ac:dyDescent="0.25">
      <c r="A72" s="29" t="s">
        <v>77</v>
      </c>
      <c r="C72" s="80">
        <f>'Staff Price Out'!Q19</f>
        <v>25947.793936911075</v>
      </c>
    </row>
    <row r="73" spans="1:5" x14ac:dyDescent="0.25">
      <c r="A73" s="29" t="s">
        <v>73</v>
      </c>
      <c r="C73" s="80">
        <f>C72-C67</f>
        <v>-6.9121597334742546E-11</v>
      </c>
      <c r="D73" s="81" t="s">
        <v>88</v>
      </c>
    </row>
    <row r="74" spans="1:5" ht="15.75" thickBot="1" x14ac:dyDescent="0.3">
      <c r="A74" s="28"/>
      <c r="B74" s="82"/>
      <c r="C74" s="83"/>
    </row>
    <row r="75" spans="1:5" x14ac:dyDescent="0.25">
      <c r="B75" s="31"/>
      <c r="C75" s="84"/>
    </row>
  </sheetData>
  <mergeCells count="4">
    <mergeCell ref="A5:I5"/>
    <mergeCell ref="A15:C15"/>
    <mergeCell ref="C55:D55"/>
    <mergeCell ref="G58:H58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63" orientation="portrait" r:id="rId1"/>
  <headerFooter>
    <oddFooter>&amp;L&amp;F - 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45A1-7416-4DCD-917F-9E37A02AD52C}">
  <sheetPr>
    <pageSetUpPr fitToPage="1"/>
  </sheetPr>
  <dimension ref="A1:R41"/>
  <sheetViews>
    <sheetView tabSelected="1" topLeftCell="B1" zoomScaleNormal="100" workbookViewId="0">
      <pane xSplit="2" topLeftCell="D1" activePane="topRight" state="frozen"/>
      <selection activeCell="B1" sqref="B1"/>
      <selection pane="topRight" activeCell="C32" sqref="C32"/>
    </sheetView>
  </sheetViews>
  <sheetFormatPr defaultRowHeight="15" x14ac:dyDescent="0.25"/>
  <cols>
    <col min="1" max="1" width="0" hidden="1" customWidth="1"/>
    <col min="2" max="2" width="11.140625" customWidth="1"/>
    <col min="3" max="3" width="46.85546875" bestFit="1" customWidth="1"/>
    <col min="4" max="4" width="16.42578125" customWidth="1"/>
    <col min="5" max="5" width="16.85546875" customWidth="1"/>
    <col min="6" max="6" width="16.140625" style="4" customWidth="1"/>
    <col min="7" max="7" width="14.140625" customWidth="1"/>
    <col min="8" max="8" width="14.42578125" customWidth="1"/>
    <col min="9" max="9" width="13.5703125" customWidth="1"/>
    <col min="10" max="10" width="15.140625" bestFit="1" customWidth="1"/>
    <col min="11" max="11" width="16" bestFit="1" customWidth="1"/>
    <col min="12" max="13" width="10.7109375" customWidth="1"/>
    <col min="14" max="14" width="11" bestFit="1" customWidth="1"/>
    <col min="15" max="15" width="17.85546875" customWidth="1"/>
    <col min="16" max="16" width="21.42578125" bestFit="1" customWidth="1"/>
    <col min="17" max="17" width="16.42578125" customWidth="1"/>
    <col min="18" max="18" width="13.42578125" bestFit="1" customWidth="1"/>
  </cols>
  <sheetData>
    <row r="1" spans="1:18" ht="44.25" customHeight="1" x14ac:dyDescent="0.25">
      <c r="A1" s="1"/>
      <c r="B1" s="125" t="s">
        <v>172</v>
      </c>
      <c r="C1" s="126" t="s">
        <v>86</v>
      </c>
      <c r="D1" s="10" t="s">
        <v>0</v>
      </c>
      <c r="E1" s="10" t="s">
        <v>1</v>
      </c>
      <c r="F1" s="127" t="s">
        <v>2</v>
      </c>
      <c r="G1" s="128" t="s">
        <v>3</v>
      </c>
      <c r="H1" s="10" t="s">
        <v>4</v>
      </c>
      <c r="I1" s="129" t="s">
        <v>5</v>
      </c>
      <c r="J1" s="130" t="s">
        <v>6</v>
      </c>
      <c r="K1" s="10" t="s">
        <v>7</v>
      </c>
      <c r="L1" s="10" t="s">
        <v>8</v>
      </c>
      <c r="M1" s="10" t="s">
        <v>152</v>
      </c>
      <c r="N1" s="10" t="s">
        <v>154</v>
      </c>
      <c r="O1" s="10" t="s">
        <v>9</v>
      </c>
      <c r="P1" s="10" t="s">
        <v>10</v>
      </c>
      <c r="Q1" s="10" t="s">
        <v>11</v>
      </c>
      <c r="R1" s="26"/>
    </row>
    <row r="2" spans="1:18" s="36" customFormat="1" x14ac:dyDescent="0.25">
      <c r="A2" s="166" t="s">
        <v>12</v>
      </c>
      <c r="B2" s="145">
        <v>22</v>
      </c>
      <c r="C2" s="118" t="s">
        <v>155</v>
      </c>
      <c r="D2" s="150">
        <v>920</v>
      </c>
      <c r="E2" s="151">
        <f>'Company Ref. '!D7</f>
        <v>4.333333333333333</v>
      </c>
      <c r="F2" s="11">
        <f>D2*E2*12</f>
        <v>47840</v>
      </c>
      <c r="G2" s="146">
        <f>References!C17</f>
        <v>20</v>
      </c>
      <c r="H2" s="147">
        <f>G2*F2</f>
        <v>956800</v>
      </c>
      <c r="I2" s="148">
        <f t="shared" ref="I2:I8" si="0">H2*D$24</f>
        <v>647146.45023678325</v>
      </c>
      <c r="J2" s="149">
        <f>I2*References!D$61</f>
        <v>1145.4492169191112</v>
      </c>
      <c r="K2" s="149">
        <f>J2/References!H$64</f>
        <v>1173.1352078237517</v>
      </c>
      <c r="L2" s="149">
        <f>K2/F2*E2</f>
        <v>0.10626224708548475</v>
      </c>
      <c r="M2" s="131">
        <v>6.86</v>
      </c>
      <c r="N2" s="131">
        <f>M2+L2</f>
        <v>6.9662622470854849</v>
      </c>
      <c r="O2" s="149">
        <f t="shared" ref="O2:O8" si="1">M2*D2*12</f>
        <v>75734.400000000009</v>
      </c>
      <c r="P2" s="149">
        <f>N2*D2*12</f>
        <v>76907.535207823748</v>
      </c>
      <c r="Q2" s="149">
        <f>P2-O2</f>
        <v>1173.1352078237396</v>
      </c>
    </row>
    <row r="3" spans="1:18" s="36" customFormat="1" x14ac:dyDescent="0.25">
      <c r="A3" s="167"/>
      <c r="B3" s="145">
        <v>22</v>
      </c>
      <c r="C3" s="118" t="s">
        <v>156</v>
      </c>
      <c r="D3" s="150">
        <v>5264</v>
      </c>
      <c r="E3" s="151">
        <f>'Company Ref. '!$D$7</f>
        <v>4.333333333333333</v>
      </c>
      <c r="F3" s="11">
        <f t="shared" ref="F3:F8" si="2">D3*E3*12</f>
        <v>273728</v>
      </c>
      <c r="G3" s="146">
        <f>References!C18</f>
        <v>34</v>
      </c>
      <c r="H3" s="147">
        <f t="shared" ref="H3:H8" si="3">G3*F3</f>
        <v>9306752</v>
      </c>
      <c r="I3" s="148">
        <f t="shared" si="0"/>
        <v>6294765.3846510062</v>
      </c>
      <c r="J3" s="149">
        <f>I3*References!D$61</f>
        <v>11141.73473083233</v>
      </c>
      <c r="K3" s="149">
        <f>J3/References!H$64</f>
        <v>11411.035160623032</v>
      </c>
      <c r="L3" s="149">
        <f t="shared" ref="L3:L8" si="4">K3/F3*E3</f>
        <v>0.18064582004532409</v>
      </c>
      <c r="M3" s="131">
        <v>15.49</v>
      </c>
      <c r="N3" s="131">
        <f t="shared" ref="N3:N8" si="5">M3+L3</f>
        <v>15.670645820045324</v>
      </c>
      <c r="O3" s="149">
        <f t="shared" si="1"/>
        <v>978472.32000000007</v>
      </c>
      <c r="P3" s="149">
        <f t="shared" ref="P3:P8" si="6">N3*D3*12</f>
        <v>989883.35516062297</v>
      </c>
      <c r="Q3" s="149">
        <f t="shared" ref="Q3:Q8" si="7">P3-O3</f>
        <v>11411.035160622909</v>
      </c>
    </row>
    <row r="4" spans="1:18" s="36" customFormat="1" x14ac:dyDescent="0.25">
      <c r="A4" s="167"/>
      <c r="B4" s="145">
        <v>22</v>
      </c>
      <c r="C4" s="118" t="s">
        <v>157</v>
      </c>
      <c r="D4" s="150">
        <v>130</v>
      </c>
      <c r="E4" s="151">
        <f>'Company Ref. '!$D$7</f>
        <v>4.333333333333333</v>
      </c>
      <c r="F4" s="11">
        <f t="shared" si="2"/>
        <v>6759.9999999999991</v>
      </c>
      <c r="G4" s="146">
        <f>References!C19</f>
        <v>51</v>
      </c>
      <c r="H4" s="147">
        <f t="shared" si="3"/>
        <v>344759.99999999994</v>
      </c>
      <c r="I4" s="148">
        <f t="shared" si="0"/>
        <v>233183.74810162347</v>
      </c>
      <c r="J4" s="149">
        <f>I4*References!D$61</f>
        <v>412.73523413987533</v>
      </c>
      <c r="K4" s="149">
        <f>J4/References!H$64</f>
        <v>422.71121890605826</v>
      </c>
      <c r="L4" s="149">
        <f t="shared" si="4"/>
        <v>0.27096873006798605</v>
      </c>
      <c r="M4" s="131">
        <v>21.35</v>
      </c>
      <c r="N4" s="131">
        <f t="shared" si="5"/>
        <v>21.620968730067986</v>
      </c>
      <c r="O4" s="149">
        <f t="shared" si="1"/>
        <v>33306</v>
      </c>
      <c r="P4" s="149">
        <f t="shared" si="6"/>
        <v>33728.711218906057</v>
      </c>
      <c r="Q4" s="149">
        <f t="shared" si="7"/>
        <v>422.71121890605718</v>
      </c>
    </row>
    <row r="5" spans="1:18" s="36" customFormat="1" x14ac:dyDescent="0.25">
      <c r="A5" s="167"/>
      <c r="B5" s="145">
        <v>22</v>
      </c>
      <c r="C5" s="118" t="s">
        <v>158</v>
      </c>
      <c r="D5" s="150">
        <v>61</v>
      </c>
      <c r="E5" s="151">
        <f>'Company Ref. '!$D$7</f>
        <v>4.333333333333333</v>
      </c>
      <c r="F5" s="11">
        <f t="shared" si="2"/>
        <v>3172</v>
      </c>
      <c r="G5" s="146">
        <f>References!C20</f>
        <v>77</v>
      </c>
      <c r="H5" s="147">
        <f t="shared" si="3"/>
        <v>244244</v>
      </c>
      <c r="I5" s="148">
        <f t="shared" si="0"/>
        <v>165198.19982403101</v>
      </c>
      <c r="J5" s="149">
        <f>I5*References!D$61</f>
        <v>292.40081368853618</v>
      </c>
      <c r="K5" s="149">
        <f>J5/References!H$64</f>
        <v>299.46826473631313</v>
      </c>
      <c r="L5" s="149">
        <f t="shared" si="4"/>
        <v>0.4091096512791163</v>
      </c>
      <c r="M5" s="131">
        <v>27.67</v>
      </c>
      <c r="N5" s="131">
        <f t="shared" si="5"/>
        <v>28.079109651279119</v>
      </c>
      <c r="O5" s="149">
        <f t="shared" si="1"/>
        <v>20254.440000000002</v>
      </c>
      <c r="P5" s="149">
        <f t="shared" si="6"/>
        <v>20553.908264736318</v>
      </c>
      <c r="Q5" s="149">
        <f t="shared" si="7"/>
        <v>299.46826473631518</v>
      </c>
    </row>
    <row r="6" spans="1:18" s="36" customFormat="1" x14ac:dyDescent="0.25">
      <c r="A6" s="167"/>
      <c r="B6" s="145">
        <v>22</v>
      </c>
      <c r="C6" s="118" t="s">
        <v>159</v>
      </c>
      <c r="D6" s="150">
        <v>13</v>
      </c>
      <c r="E6" s="151">
        <f>'Company Ref. '!$D$7</f>
        <v>4.333333333333333</v>
      </c>
      <c r="F6" s="11">
        <f t="shared" si="2"/>
        <v>676</v>
      </c>
      <c r="G6" s="146">
        <f>References!C21</f>
        <v>97</v>
      </c>
      <c r="H6" s="147">
        <f t="shared" si="3"/>
        <v>65572</v>
      </c>
      <c r="I6" s="148">
        <f t="shared" si="0"/>
        <v>44350.634442857801</v>
      </c>
      <c r="J6" s="149">
        <f>I6*References!D$61</f>
        <v>78.500622963858646</v>
      </c>
      <c r="K6" s="149">
        <f>J6/References!H$64</f>
        <v>80.398016144877758</v>
      </c>
      <c r="L6" s="149">
        <f t="shared" si="4"/>
        <v>0.51537189836460096</v>
      </c>
      <c r="M6" s="131">
        <v>33.72</v>
      </c>
      <c r="N6" s="131">
        <f t="shared" si="5"/>
        <v>34.235371898364598</v>
      </c>
      <c r="O6" s="149">
        <f t="shared" si="1"/>
        <v>5260.32</v>
      </c>
      <c r="P6" s="149">
        <f t="shared" si="6"/>
        <v>5340.7180161448778</v>
      </c>
      <c r="Q6" s="149">
        <f t="shared" si="7"/>
        <v>80.398016144878056</v>
      </c>
    </row>
    <row r="7" spans="1:18" s="36" customFormat="1" x14ac:dyDescent="0.25">
      <c r="A7" s="167"/>
      <c r="B7" s="145">
        <v>22</v>
      </c>
      <c r="C7" s="118" t="s">
        <v>160</v>
      </c>
      <c r="D7" s="150">
        <v>1</v>
      </c>
      <c r="E7" s="151">
        <f>'Company Ref. '!$D$7</f>
        <v>4.333333333333333</v>
      </c>
      <c r="F7" s="11">
        <f t="shared" si="2"/>
        <v>52</v>
      </c>
      <c r="G7" s="146">
        <f>References!C22</f>
        <v>117</v>
      </c>
      <c r="H7" s="147">
        <f t="shared" si="3"/>
        <v>6084</v>
      </c>
      <c r="I7" s="148">
        <f t="shared" si="0"/>
        <v>4115.0073194404149</v>
      </c>
      <c r="J7" s="149">
        <f>I7*References!D$61</f>
        <v>7.2835629554095656</v>
      </c>
      <c r="K7" s="149">
        <f>J7/References!H$64</f>
        <v>7.4596097454010293</v>
      </c>
      <c r="L7" s="149">
        <f>K7/F7*E7</f>
        <v>0.62163414545008566</v>
      </c>
      <c r="M7" s="131">
        <v>39.67</v>
      </c>
      <c r="N7" s="131">
        <f t="shared" si="5"/>
        <v>40.291634145450089</v>
      </c>
      <c r="O7" s="149">
        <f t="shared" si="1"/>
        <v>476.04</v>
      </c>
      <c r="P7" s="149">
        <f t="shared" si="6"/>
        <v>483.49960974540107</v>
      </c>
      <c r="Q7" s="149">
        <f t="shared" si="7"/>
        <v>7.4596097454010533</v>
      </c>
    </row>
    <row r="8" spans="1:18" s="36" customFormat="1" x14ac:dyDescent="0.25">
      <c r="A8" s="167"/>
      <c r="B8" s="145">
        <v>23</v>
      </c>
      <c r="C8" s="118" t="s">
        <v>177</v>
      </c>
      <c r="D8" s="150">
        <v>203</v>
      </c>
      <c r="E8" s="151">
        <f>'Company Ref. '!D9</f>
        <v>1</v>
      </c>
      <c r="F8" s="11">
        <f t="shared" si="2"/>
        <v>2436</v>
      </c>
      <c r="G8" s="146">
        <f>References!C18</f>
        <v>34</v>
      </c>
      <c r="H8" s="147">
        <f t="shared" si="3"/>
        <v>82824</v>
      </c>
      <c r="I8" s="148">
        <f t="shared" si="0"/>
        <v>56019.290964058666</v>
      </c>
      <c r="J8" s="149">
        <f>I8*References!D$61</f>
        <v>99.154145006384269</v>
      </c>
      <c r="K8" s="149">
        <f>J8/References!H$64</f>
        <v>101.5507425300945</v>
      </c>
      <c r="L8" s="149">
        <f t="shared" si="4"/>
        <v>4.1687496933536329E-2</v>
      </c>
      <c r="M8" s="131">
        <v>10.050000000000001</v>
      </c>
      <c r="N8" s="131">
        <f t="shared" si="5"/>
        <v>10.091687496933536</v>
      </c>
      <c r="O8" s="149">
        <f t="shared" si="1"/>
        <v>24481.800000000003</v>
      </c>
      <c r="P8" s="149">
        <f t="shared" si="6"/>
        <v>24583.350742530092</v>
      </c>
      <c r="Q8" s="149">
        <f t="shared" si="7"/>
        <v>101.55074253008934</v>
      </c>
    </row>
    <row r="9" spans="1:18" x14ac:dyDescent="0.25">
      <c r="B9" s="51"/>
      <c r="C9" s="47" t="s">
        <v>82</v>
      </c>
      <c r="D9" s="42">
        <f>SUM(D2:D8)</f>
        <v>6592</v>
      </c>
      <c r="E9" s="43"/>
      <c r="F9" s="44">
        <f>SUM(F2:F8)</f>
        <v>334664</v>
      </c>
      <c r="G9" s="45"/>
      <c r="H9" s="46">
        <f>SUM(H2:H8)</f>
        <v>11007036</v>
      </c>
      <c r="I9" s="49">
        <f>SUM(I2:I8)</f>
        <v>7444778.7155398009</v>
      </c>
      <c r="J9" s="48">
        <f>SUM(J2:J8)</f>
        <v>13177.258326505505</v>
      </c>
      <c r="K9" s="48">
        <f>SUM(K2:K8)</f>
        <v>13495.758220509531</v>
      </c>
      <c r="L9" s="47"/>
      <c r="M9" s="47"/>
      <c r="N9" s="48"/>
      <c r="O9" s="50">
        <f>SUM(O2:O8)</f>
        <v>1137985.32</v>
      </c>
      <c r="P9" s="48">
        <f>SUM(P2:P8)</f>
        <v>1151481.0782205095</v>
      </c>
      <c r="Q9" s="48">
        <f>SUM(Q2:Q8)</f>
        <v>13495.75822050939</v>
      </c>
    </row>
    <row r="10" spans="1:18" ht="39" x14ac:dyDescent="0.25">
      <c r="B10" s="123" t="s">
        <v>175</v>
      </c>
      <c r="C10" s="122" t="s">
        <v>103</v>
      </c>
      <c r="D10" s="18" t="s">
        <v>0</v>
      </c>
      <c r="E10" s="19" t="s">
        <v>1</v>
      </c>
      <c r="F10" s="20" t="s">
        <v>2</v>
      </c>
      <c r="G10" s="21" t="s">
        <v>75</v>
      </c>
      <c r="H10" s="22" t="s">
        <v>4</v>
      </c>
      <c r="I10" s="23" t="s">
        <v>5</v>
      </c>
      <c r="J10" s="24" t="s">
        <v>6</v>
      </c>
      <c r="K10" s="24" t="s">
        <v>7</v>
      </c>
      <c r="L10" s="23" t="s">
        <v>8</v>
      </c>
      <c r="M10" s="23" t="s">
        <v>153</v>
      </c>
      <c r="N10" s="25" t="s">
        <v>154</v>
      </c>
      <c r="O10" s="23" t="s">
        <v>9</v>
      </c>
      <c r="P10" s="23" t="s">
        <v>10</v>
      </c>
      <c r="Q10" s="23" t="s">
        <v>83</v>
      </c>
    </row>
    <row r="11" spans="1:18" s="36" customFormat="1" ht="13.5" customHeight="1" x14ac:dyDescent="0.25">
      <c r="B11" s="156">
        <v>26</v>
      </c>
      <c r="C11" s="153" t="s">
        <v>156</v>
      </c>
      <c r="D11" s="154">
        <v>302</v>
      </c>
      <c r="E11" s="155">
        <f>'Company Ref. '!D7</f>
        <v>4.333333333333333</v>
      </c>
      <c r="F11" s="11">
        <f t="shared" ref="F11:F14" si="8">D11*E11*12</f>
        <v>15703.999999999998</v>
      </c>
      <c r="G11" s="152">
        <f>References!C30</f>
        <v>29</v>
      </c>
      <c r="H11" s="147">
        <f t="shared" ref="H11:H14" si="9">G11*F11</f>
        <v>455415.99999999994</v>
      </c>
      <c r="I11" s="148">
        <f>H11*D$24</f>
        <v>308027.64191161667</v>
      </c>
      <c r="J11" s="149">
        <f>I11*References!D$61</f>
        <v>545.2089261835639</v>
      </c>
      <c r="K11" s="149">
        <f>J11/References!H$64</f>
        <v>558.38685598480527</v>
      </c>
      <c r="L11" s="149">
        <f>K11/F11*References!C$11</f>
        <v>0.15408025827395289</v>
      </c>
      <c r="M11" s="131">
        <v>10.63</v>
      </c>
      <c r="N11" s="131">
        <f>M11+L11</f>
        <v>10.784080258273953</v>
      </c>
      <c r="O11" s="149">
        <f>(F11/References!C11)*M11</f>
        <v>38523.120000000003</v>
      </c>
      <c r="P11" s="149">
        <f>(F11/References!C11)*N11</f>
        <v>39081.506855984808</v>
      </c>
      <c r="Q11" s="149">
        <f>P11-O11</f>
        <v>558.38685598480515</v>
      </c>
    </row>
    <row r="12" spans="1:18" s="36" customFormat="1" x14ac:dyDescent="0.25">
      <c r="B12" s="145">
        <v>36</v>
      </c>
      <c r="C12" s="118" t="s">
        <v>208</v>
      </c>
      <c r="D12" s="154">
        <v>7</v>
      </c>
      <c r="E12" s="155">
        <v>1</v>
      </c>
      <c r="F12" s="11">
        <f>D12*E12*12</f>
        <v>84</v>
      </c>
      <c r="G12" s="152">
        <f>References!C18</f>
        <v>34</v>
      </c>
      <c r="H12" s="147">
        <f>G12*F12</f>
        <v>2856</v>
      </c>
      <c r="I12" s="148">
        <f>H12*D$24</f>
        <v>1931.6996884158161</v>
      </c>
      <c r="J12" s="149">
        <f>I12*References!D$61</f>
        <v>3.4191084484960093</v>
      </c>
      <c r="K12" s="149">
        <f>J12/References!H$64</f>
        <v>3.5017497424170516</v>
      </c>
      <c r="L12" s="149">
        <f>K12/F12*E12</f>
        <v>4.1687496933536329E-2</v>
      </c>
      <c r="M12" s="131">
        <v>3.03</v>
      </c>
      <c r="N12" s="131">
        <f t="shared" ref="N12:N14" si="10">M12+L12</f>
        <v>3.0716874969335359</v>
      </c>
      <c r="O12" s="149">
        <f>M12*F12</f>
        <v>254.51999999999998</v>
      </c>
      <c r="P12" s="149">
        <f>N12*F12</f>
        <v>258.021749742417</v>
      </c>
      <c r="Q12" s="149">
        <f t="shared" ref="Q12:Q14" si="11">P12-O12</f>
        <v>3.5017497424170188</v>
      </c>
    </row>
    <row r="13" spans="1:18" s="36" customFormat="1" ht="13.5" customHeight="1" x14ac:dyDescent="0.25">
      <c r="B13" s="145">
        <v>35</v>
      </c>
      <c r="C13" s="118" t="s">
        <v>163</v>
      </c>
      <c r="D13" s="154">
        <v>535</v>
      </c>
      <c r="E13" s="155">
        <f>'Company Ref. '!D7</f>
        <v>4.333333333333333</v>
      </c>
      <c r="F13" s="11">
        <f t="shared" si="8"/>
        <v>27819.999999999996</v>
      </c>
      <c r="G13" s="152">
        <f>References!C34</f>
        <v>324</v>
      </c>
      <c r="H13" s="147">
        <f t="shared" si="9"/>
        <v>9013679.9999999981</v>
      </c>
      <c r="I13" s="148">
        <f>H13*D$24</f>
        <v>6096541.6132632596</v>
      </c>
      <c r="J13" s="149">
        <f>I13*References!D$61</f>
        <v>10790.878655476017</v>
      </c>
      <c r="K13" s="149">
        <f>J13/References!H$64</f>
        <v>11051.698745878755</v>
      </c>
      <c r="L13" s="149">
        <f>K13/F13</f>
        <v>0.3972573237195815</v>
      </c>
      <c r="M13" s="131">
        <v>25.34</v>
      </c>
      <c r="N13" s="131">
        <f t="shared" si="10"/>
        <v>25.737257323719582</v>
      </c>
      <c r="O13" s="149">
        <f>M13*F13</f>
        <v>704958.79999999993</v>
      </c>
      <c r="P13" s="149">
        <f>N13*F13</f>
        <v>716010.49874587869</v>
      </c>
      <c r="Q13" s="149">
        <f t="shared" si="11"/>
        <v>11051.698745878763</v>
      </c>
    </row>
    <row r="14" spans="1:18" s="36" customFormat="1" x14ac:dyDescent="0.25">
      <c r="B14" s="145">
        <v>35</v>
      </c>
      <c r="C14" s="118" t="s">
        <v>167</v>
      </c>
      <c r="D14" s="154">
        <v>31</v>
      </c>
      <c r="E14" s="155">
        <f>'Company Ref. '!D8</f>
        <v>2.1666666666666665</v>
      </c>
      <c r="F14" s="11">
        <f t="shared" si="8"/>
        <v>805.99999999999989</v>
      </c>
      <c r="G14" s="152">
        <f>References!C34</f>
        <v>324</v>
      </c>
      <c r="H14" s="147">
        <f t="shared" si="9"/>
        <v>261143.99999999997</v>
      </c>
      <c r="I14" s="148">
        <f>H14*D$24</f>
        <v>176628.77571136548</v>
      </c>
      <c r="J14" s="149">
        <f>I14*References!D$61</f>
        <v>312.63293300911823</v>
      </c>
      <c r="K14" s="149">
        <f>J14/References!H$64</f>
        <v>320.18940291798259</v>
      </c>
      <c r="L14" s="149">
        <f>K14/F14</f>
        <v>0.39725732371958145</v>
      </c>
      <c r="M14" s="131">
        <v>25.34</v>
      </c>
      <c r="N14" s="131">
        <f t="shared" si="10"/>
        <v>25.737257323719582</v>
      </c>
      <c r="O14" s="149">
        <f>M14*F14</f>
        <v>20424.039999999997</v>
      </c>
      <c r="P14" s="149">
        <f>N14*F14</f>
        <v>20744.229402917979</v>
      </c>
      <c r="Q14" s="149">
        <f t="shared" si="11"/>
        <v>320.18940291798208</v>
      </c>
    </row>
    <row r="15" spans="1:18" x14ac:dyDescent="0.25">
      <c r="B15" s="51"/>
      <c r="C15" s="41" t="s">
        <v>87</v>
      </c>
      <c r="D15" s="42">
        <f>SUM(D11:D14)</f>
        <v>875</v>
      </c>
      <c r="E15" s="43"/>
      <c r="F15" s="44">
        <f>SUM(F11:F14)</f>
        <v>44413.999999999993</v>
      </c>
      <c r="G15" s="45"/>
      <c r="H15" s="46">
        <f>SUM(H11:H14)</f>
        <v>9733095.9999999981</v>
      </c>
      <c r="I15" s="49">
        <f>SUM(I11:I14)</f>
        <v>6583129.7305746572</v>
      </c>
      <c r="J15" s="48">
        <f>SUM(J11:J14)</f>
        <v>11652.139623117195</v>
      </c>
      <c r="K15" s="48">
        <f>SUM(K11:K14)</f>
        <v>11933.77675452396</v>
      </c>
      <c r="L15" s="47"/>
      <c r="M15" s="47"/>
      <c r="N15" s="48"/>
      <c r="O15" s="48">
        <f>SUM(O11:O14)</f>
        <v>764160.48</v>
      </c>
      <c r="P15" s="48">
        <f>SUM(P11:P14)</f>
        <v>776094.25675452396</v>
      </c>
      <c r="Q15" s="48">
        <f>SUM(Q11:Q14)</f>
        <v>11933.776754523968</v>
      </c>
    </row>
    <row r="16" spans="1:18" ht="45.75" customHeight="1" x14ac:dyDescent="0.25">
      <c r="B16" s="123" t="s">
        <v>175</v>
      </c>
      <c r="C16" s="124" t="s">
        <v>168</v>
      </c>
      <c r="D16" s="13" t="s">
        <v>74</v>
      </c>
      <c r="E16" s="8" t="s">
        <v>84</v>
      </c>
      <c r="F16" s="12" t="s">
        <v>2</v>
      </c>
      <c r="G16" s="9" t="s">
        <v>75</v>
      </c>
      <c r="H16" s="10" t="s">
        <v>4</v>
      </c>
      <c r="I16" s="10" t="s">
        <v>5</v>
      </c>
      <c r="J16" s="8" t="s">
        <v>6</v>
      </c>
      <c r="K16" s="8" t="s">
        <v>7</v>
      </c>
      <c r="L16" s="10" t="s">
        <v>8</v>
      </c>
      <c r="M16" s="10" t="s">
        <v>152</v>
      </c>
      <c r="N16" s="140" t="s">
        <v>154</v>
      </c>
      <c r="O16" s="10" t="s">
        <v>9</v>
      </c>
      <c r="P16" s="10"/>
      <c r="Q16" s="10"/>
    </row>
    <row r="17" spans="2:18" s="36" customFormat="1" x14ac:dyDescent="0.25">
      <c r="B17" s="157" t="s">
        <v>173</v>
      </c>
      <c r="C17" s="153" t="s">
        <v>170</v>
      </c>
      <c r="D17" s="158">
        <v>1036</v>
      </c>
      <c r="E17" s="115">
        <f>'Company Ref. '!$D$9</f>
        <v>1</v>
      </c>
      <c r="F17" s="158">
        <f>D17*E17*12</f>
        <v>12432</v>
      </c>
      <c r="G17" s="159">
        <f>References!C18</f>
        <v>34</v>
      </c>
      <c r="H17" s="159">
        <f>F17*G17</f>
        <v>422688</v>
      </c>
      <c r="I17" s="159">
        <f>H17*D$24</f>
        <v>285891.55388554075</v>
      </c>
      <c r="J17" s="109">
        <f>I17*References!D$61</f>
        <v>506.02805037740933</v>
      </c>
      <c r="K17" s="109">
        <f>J17/References!H$64</f>
        <v>518.25896187772355</v>
      </c>
      <c r="L17" s="109">
        <f>K17/F17*E17</f>
        <v>4.1687496933536322E-2</v>
      </c>
      <c r="M17" s="131">
        <v>3.69</v>
      </c>
      <c r="N17" s="131">
        <f>M17+L17</f>
        <v>3.7316874969335361</v>
      </c>
      <c r="O17" s="109">
        <f>M17*F17</f>
        <v>45874.080000000002</v>
      </c>
      <c r="P17" s="109">
        <f>N17*F17</f>
        <v>46392.338961877722</v>
      </c>
      <c r="Q17" s="109">
        <f>P17-O17</f>
        <v>518.25896187772014</v>
      </c>
    </row>
    <row r="18" spans="2:18" s="51" customFormat="1" x14ac:dyDescent="0.25">
      <c r="C18" s="85" t="s">
        <v>66</v>
      </c>
      <c r="D18" s="86">
        <f>SUM(D17:D17)</f>
        <v>1036</v>
      </c>
      <c r="E18" s="86"/>
      <c r="F18" s="86">
        <f>SUM(F17:F17)</f>
        <v>12432</v>
      </c>
      <c r="G18" s="86"/>
      <c r="H18" s="86">
        <f>SUM(H17:H17)</f>
        <v>422688</v>
      </c>
      <c r="I18" s="86">
        <f>SUM(I17:I17)</f>
        <v>285891.55388554075</v>
      </c>
      <c r="J18" s="86"/>
      <c r="K18" s="86">
        <f>SUM(K17:K17)</f>
        <v>518.25896187772355</v>
      </c>
      <c r="L18" s="86"/>
      <c r="M18" s="86"/>
      <c r="N18" s="86"/>
      <c r="O18" s="86">
        <f>SUM(O17:O17)</f>
        <v>45874.080000000002</v>
      </c>
      <c r="P18" s="86">
        <f>SUM(P17:P17)</f>
        <v>46392.338961877722</v>
      </c>
      <c r="Q18" s="94">
        <f>SUM(Q17:Q17)</f>
        <v>518.25896187772014</v>
      </c>
    </row>
    <row r="19" spans="2:18" s="51" customFormat="1" x14ac:dyDescent="0.25">
      <c r="C19" s="85" t="s">
        <v>87</v>
      </c>
      <c r="D19" s="86">
        <f>D18+D15+D9</f>
        <v>8503</v>
      </c>
      <c r="E19" s="91"/>
      <c r="F19" s="92">
        <f>F18+F15+F9</f>
        <v>391510</v>
      </c>
      <c r="G19" s="93"/>
      <c r="H19" s="93">
        <f>H9+H15+H18</f>
        <v>21162820</v>
      </c>
      <c r="I19" s="93">
        <f>I9+I15+I18</f>
        <v>14313799.999999998</v>
      </c>
      <c r="J19" s="94"/>
      <c r="K19" s="94">
        <f>K18+K15+K9</f>
        <v>25947.793936911214</v>
      </c>
      <c r="L19" s="94"/>
      <c r="M19" s="94"/>
      <c r="N19" s="94"/>
      <c r="O19" s="94">
        <f>O18+O15+O9</f>
        <v>1948019.88</v>
      </c>
      <c r="P19" s="94">
        <f>P18+P15+P9</f>
        <v>1973967.6739369112</v>
      </c>
      <c r="Q19" s="94">
        <f>SUM(Q9+Q15+Q18)</f>
        <v>25947.793936911075</v>
      </c>
    </row>
    <row r="20" spans="2:18" x14ac:dyDescent="0.25">
      <c r="C20" s="15" t="s">
        <v>81</v>
      </c>
      <c r="N20" s="14"/>
    </row>
    <row r="21" spans="2:18" x14ac:dyDescent="0.25">
      <c r="C21" s="16" t="s">
        <v>78</v>
      </c>
      <c r="D21" s="39">
        <f>'Company Ref. '!B22</f>
        <v>7156.9</v>
      </c>
      <c r="E21" s="35"/>
      <c r="N21" s="14"/>
    </row>
    <row r="22" spans="2:18" x14ac:dyDescent="0.25">
      <c r="C22" s="16" t="s">
        <v>79</v>
      </c>
      <c r="D22" s="2">
        <f>D21*2000</f>
        <v>14313800</v>
      </c>
      <c r="F22" s="119"/>
      <c r="G22" s="118"/>
      <c r="I22" s="6"/>
      <c r="J22" s="11"/>
      <c r="K22" s="17"/>
      <c r="L22" s="7"/>
      <c r="M22" s="144"/>
      <c r="N22" s="14"/>
      <c r="O22" s="14"/>
      <c r="P22" s="14"/>
      <c r="Q22" s="76"/>
      <c r="R22" s="131"/>
    </row>
    <row r="23" spans="2:18" x14ac:dyDescent="0.25">
      <c r="C23" s="16" t="s">
        <v>80</v>
      </c>
      <c r="D23" s="5">
        <f>H19</f>
        <v>21162820</v>
      </c>
      <c r="N23" s="14"/>
    </row>
    <row r="24" spans="2:18" x14ac:dyDescent="0.25">
      <c r="C24" s="16" t="s">
        <v>76</v>
      </c>
      <c r="D24" s="40">
        <f>D22/D23</f>
        <v>0.67636543712038377</v>
      </c>
      <c r="N24" s="14"/>
    </row>
    <row r="25" spans="2:18" x14ac:dyDescent="0.25">
      <c r="N25" s="14"/>
    </row>
    <row r="26" spans="2:18" x14ac:dyDescent="0.25">
      <c r="N26" s="14"/>
    </row>
    <row r="27" spans="2:18" s="51" customFormat="1" ht="45" x14ac:dyDescent="0.25">
      <c r="B27" s="120" t="s">
        <v>174</v>
      </c>
      <c r="C27" s="121" t="s">
        <v>176</v>
      </c>
      <c r="D27" s="87" t="s">
        <v>104</v>
      </c>
      <c r="E27" s="88" t="s">
        <v>105</v>
      </c>
      <c r="F27" s="89" t="s">
        <v>106</v>
      </c>
      <c r="G27" s="95" t="s">
        <v>107</v>
      </c>
      <c r="H27" s="96" t="s">
        <v>4</v>
      </c>
      <c r="I27" s="96" t="s">
        <v>108</v>
      </c>
      <c r="J27" s="90" t="s">
        <v>6</v>
      </c>
      <c r="K27" s="90" t="s">
        <v>109</v>
      </c>
      <c r="L27" s="97" t="s">
        <v>110</v>
      </c>
      <c r="M27" s="97" t="s">
        <v>116</v>
      </c>
      <c r="N27" s="97" t="s">
        <v>171</v>
      </c>
      <c r="O27" s="52"/>
      <c r="P27" s="52"/>
      <c r="Q27" s="52"/>
    </row>
    <row r="28" spans="2:18" s="36" customFormat="1" x14ac:dyDescent="0.25">
      <c r="B28" s="145">
        <v>35</v>
      </c>
      <c r="C28" s="118" t="s">
        <v>164</v>
      </c>
      <c r="D28" s="36">
        <v>1</v>
      </c>
      <c r="E28" s="115">
        <f>References!C14</f>
        <v>1</v>
      </c>
      <c r="F28" s="11">
        <f>D28*E28*12</f>
        <v>12</v>
      </c>
      <c r="G28" s="152">
        <f>References!$C$34</f>
        <v>324</v>
      </c>
      <c r="H28" s="147">
        <f t="shared" ref="H28:H33" si="12">G28*F28</f>
        <v>3888</v>
      </c>
      <c r="I28" s="148">
        <f t="shared" ref="I28:I38" si="13">H28*D$24</f>
        <v>2629.7088195240522</v>
      </c>
      <c r="J28" s="149">
        <f>I28*References!D$61</f>
        <v>4.6545846105575928</v>
      </c>
      <c r="K28" s="149">
        <f>J28/References!H$64</f>
        <v>4.7670878846349778</v>
      </c>
      <c r="L28" s="115">
        <f t="shared" ref="L28:L32" si="14">K28/F28</f>
        <v>0.3972573237195815</v>
      </c>
      <c r="M28" s="131">
        <v>28.51</v>
      </c>
      <c r="N28" s="131">
        <f t="shared" ref="N28:N38" si="15">M28+L28</f>
        <v>28.907257323719584</v>
      </c>
      <c r="O28" s="149"/>
      <c r="P28" s="149"/>
      <c r="Q28" s="149"/>
    </row>
    <row r="29" spans="2:18" s="36" customFormat="1" x14ac:dyDescent="0.25">
      <c r="B29" s="145">
        <v>26</v>
      </c>
      <c r="C29" s="118" t="s">
        <v>165</v>
      </c>
      <c r="D29" s="36">
        <v>1</v>
      </c>
      <c r="E29" s="115">
        <f>References!C11</f>
        <v>4.333333333333333</v>
      </c>
      <c r="F29" s="11">
        <f>D29*E29*12</f>
        <v>52</v>
      </c>
      <c r="G29" s="152">
        <f>References!$C$34</f>
        <v>324</v>
      </c>
      <c r="H29" s="147">
        <f t="shared" si="12"/>
        <v>16848</v>
      </c>
      <c r="I29" s="148">
        <f t="shared" si="13"/>
        <v>11395.404884604226</v>
      </c>
      <c r="J29" s="149">
        <f>I29*References!D$61</f>
        <v>20.169866645749568</v>
      </c>
      <c r="K29" s="149">
        <f>J29/References!H$64</f>
        <v>20.657380833418237</v>
      </c>
      <c r="L29" s="115">
        <f>K29/F29</f>
        <v>0.3972573237195815</v>
      </c>
      <c r="M29" s="131">
        <v>92.03</v>
      </c>
      <c r="N29" s="131">
        <f t="shared" si="15"/>
        <v>92.427257323719587</v>
      </c>
      <c r="O29" s="149"/>
      <c r="P29" s="149"/>
      <c r="Q29" s="149"/>
    </row>
    <row r="30" spans="2:18" s="36" customFormat="1" x14ac:dyDescent="0.25">
      <c r="B30" s="145">
        <v>26</v>
      </c>
      <c r="C30" s="118" t="s">
        <v>169</v>
      </c>
      <c r="D30" s="36">
        <v>1</v>
      </c>
      <c r="E30" s="115">
        <f>'Company Ref. '!$D$9</f>
        <v>1</v>
      </c>
      <c r="F30" s="158">
        <f>D30*E30*12</f>
        <v>12</v>
      </c>
      <c r="G30" s="152">
        <f>References!$C$34</f>
        <v>324</v>
      </c>
      <c r="H30" s="147">
        <f t="shared" si="12"/>
        <v>3888</v>
      </c>
      <c r="I30" s="159">
        <f>H30*D$24</f>
        <v>2629.7088195240522</v>
      </c>
      <c r="J30" s="109">
        <f>I30*References!D$61</f>
        <v>4.6545846105575928</v>
      </c>
      <c r="K30" s="109">
        <f>J30/References!H$64</f>
        <v>4.7670878846349778</v>
      </c>
      <c r="L30" s="115">
        <f>K30/F30</f>
        <v>0.3972573237195815</v>
      </c>
      <c r="M30" s="131">
        <v>38.32</v>
      </c>
      <c r="N30" s="131">
        <f>M30+L30</f>
        <v>38.717257323719579</v>
      </c>
    </row>
    <row r="31" spans="2:18" s="36" customFormat="1" x14ac:dyDescent="0.25">
      <c r="B31" s="145">
        <v>37</v>
      </c>
      <c r="C31" s="118" t="s">
        <v>166</v>
      </c>
      <c r="D31" s="36">
        <v>1</v>
      </c>
      <c r="E31" s="115">
        <f>References!C11</f>
        <v>4.333333333333333</v>
      </c>
      <c r="F31" s="11">
        <f t="shared" ref="F31:F34" si="16">D31*E31*12</f>
        <v>52</v>
      </c>
      <c r="G31" s="152">
        <f>References!$C$34</f>
        <v>324</v>
      </c>
      <c r="H31" s="147">
        <f t="shared" si="12"/>
        <v>16848</v>
      </c>
      <c r="I31" s="148">
        <f t="shared" si="13"/>
        <v>11395.404884604226</v>
      </c>
      <c r="J31" s="149">
        <f>I31*References!D$61</f>
        <v>20.169866645749568</v>
      </c>
      <c r="K31" s="149">
        <f>J31/References!H$64</f>
        <v>20.657380833418237</v>
      </c>
      <c r="L31" s="115">
        <f t="shared" si="14"/>
        <v>0.3972573237195815</v>
      </c>
      <c r="M31" s="131">
        <v>81.93</v>
      </c>
      <c r="N31" s="131">
        <f>M31+L31</f>
        <v>82.327257323719593</v>
      </c>
      <c r="O31" s="149"/>
      <c r="P31" s="149"/>
      <c r="Q31" s="149"/>
    </row>
    <row r="32" spans="2:18" s="36" customFormat="1" ht="14.25" customHeight="1" x14ac:dyDescent="0.25">
      <c r="B32" s="145">
        <v>36</v>
      </c>
      <c r="C32" s="118" t="s">
        <v>178</v>
      </c>
      <c r="D32" s="36">
        <v>1</v>
      </c>
      <c r="E32" s="115">
        <f>References!$C$11</f>
        <v>4.333333333333333</v>
      </c>
      <c r="F32" s="11">
        <v>12</v>
      </c>
      <c r="G32" s="152">
        <f>References!C18</f>
        <v>34</v>
      </c>
      <c r="H32" s="147">
        <f t="shared" si="12"/>
        <v>408</v>
      </c>
      <c r="I32" s="148">
        <f>H32*D$24</f>
        <v>275.95709834511661</v>
      </c>
      <c r="J32" s="149">
        <f>I32*References!D$61</f>
        <v>0.4884440640708585</v>
      </c>
      <c r="K32" s="149">
        <f>J32/References!H$64</f>
        <v>0.50024996320243598</v>
      </c>
      <c r="L32" s="115">
        <f t="shared" si="14"/>
        <v>4.1687496933536329E-2</v>
      </c>
      <c r="M32" s="131">
        <v>2.4500000000000002</v>
      </c>
      <c r="N32" s="131">
        <f>M32+L32</f>
        <v>2.4916874969335363</v>
      </c>
      <c r="O32" s="149"/>
      <c r="P32" s="149"/>
      <c r="Q32" s="149"/>
    </row>
    <row r="33" spans="2:17" s="36" customFormat="1" x14ac:dyDescent="0.25">
      <c r="B33" s="145">
        <v>36</v>
      </c>
      <c r="C33" s="118" t="s">
        <v>162</v>
      </c>
      <c r="D33" s="36">
        <v>1</v>
      </c>
      <c r="E33" s="115">
        <f>References!$C$11</f>
        <v>4.333333333333333</v>
      </c>
      <c r="F33" s="11">
        <v>12</v>
      </c>
      <c r="G33" s="152">
        <f>+References!C19</f>
        <v>51</v>
      </c>
      <c r="H33" s="147">
        <f t="shared" si="12"/>
        <v>612</v>
      </c>
      <c r="I33" s="148">
        <f t="shared" si="13"/>
        <v>413.93564751767485</v>
      </c>
      <c r="J33" s="149">
        <f>I33*References!D$61</f>
        <v>0.73266609610628763</v>
      </c>
      <c r="K33" s="149">
        <f>J33/References!H$64</f>
        <v>0.75037494480365385</v>
      </c>
      <c r="L33" s="115">
        <f>K33/F33</f>
        <v>6.2531245400304483E-2</v>
      </c>
      <c r="M33" s="131">
        <v>4.71</v>
      </c>
      <c r="N33" s="131">
        <f>M33+L33</f>
        <v>4.7725312454003044</v>
      </c>
      <c r="O33" s="149"/>
      <c r="P33" s="149"/>
      <c r="Q33" s="149"/>
    </row>
    <row r="34" spans="2:17" s="36" customFormat="1" x14ac:dyDescent="0.25">
      <c r="B34" s="145">
        <v>22</v>
      </c>
      <c r="C34" s="118" t="s">
        <v>161</v>
      </c>
      <c r="D34" s="36">
        <v>1</v>
      </c>
      <c r="E34" s="115">
        <f>References!C11</f>
        <v>4.333333333333333</v>
      </c>
      <c r="F34" s="11">
        <f t="shared" si="16"/>
        <v>52</v>
      </c>
      <c r="G34" s="146">
        <f>References!C23</f>
        <v>137</v>
      </c>
      <c r="H34" s="147">
        <f t="shared" ref="H34:H38" si="17">G34*F34</f>
        <v>7124</v>
      </c>
      <c r="I34" s="148">
        <f t="shared" si="13"/>
        <v>4818.4273740456138</v>
      </c>
      <c r="J34" s="149">
        <f>I34*References!D$61</f>
        <v>8.5286164520607741</v>
      </c>
      <c r="K34" s="149">
        <f>J34/References!H$64</f>
        <v>8.7347567104268471</v>
      </c>
      <c r="L34" s="149">
        <f t="shared" ref="L34:L39" si="18">K34/F34*E34</f>
        <v>0.72789639253557059</v>
      </c>
      <c r="M34" s="131">
        <v>46.72</v>
      </c>
      <c r="N34" s="131">
        <f t="shared" si="15"/>
        <v>47.447896392535569</v>
      </c>
      <c r="O34" s="149"/>
      <c r="P34" s="149"/>
      <c r="Q34" s="149"/>
    </row>
    <row r="35" spans="2:17" x14ac:dyDescent="0.25">
      <c r="B35" s="145">
        <v>36</v>
      </c>
      <c r="C35" s="118" t="s">
        <v>207</v>
      </c>
      <c r="D35" s="36">
        <v>1</v>
      </c>
      <c r="E35" s="115">
        <v>4.33</v>
      </c>
      <c r="F35" s="4">
        <v>52</v>
      </c>
      <c r="G35" s="161">
        <f>G12</f>
        <v>34</v>
      </c>
      <c r="H35" s="147">
        <f t="shared" si="17"/>
        <v>1768</v>
      </c>
      <c r="I35" s="148">
        <f>H35*D$24</f>
        <v>1195.8140928288385</v>
      </c>
      <c r="J35" s="149">
        <f>I35*References!D$61</f>
        <v>2.1165909443070534</v>
      </c>
      <c r="K35" s="149">
        <f>J35/References!H$64</f>
        <v>2.1677498405438893</v>
      </c>
      <c r="L35" s="149">
        <f>K35/F35*E35</f>
        <v>0.18050686172221234</v>
      </c>
      <c r="M35" s="131">
        <v>13.15</v>
      </c>
      <c r="N35" s="131">
        <f t="shared" si="15"/>
        <v>13.330506861722213</v>
      </c>
      <c r="O35" s="2"/>
    </row>
    <row r="36" spans="2:17" x14ac:dyDescent="0.25">
      <c r="B36" s="145">
        <v>36</v>
      </c>
      <c r="C36" s="118" t="s">
        <v>201</v>
      </c>
      <c r="D36" s="36">
        <v>1</v>
      </c>
      <c r="E36" s="115">
        <v>4.33</v>
      </c>
      <c r="F36" s="4">
        <v>52</v>
      </c>
      <c r="G36" s="161">
        <f>G32</f>
        <v>34</v>
      </c>
      <c r="H36" s="147">
        <f t="shared" si="17"/>
        <v>1768</v>
      </c>
      <c r="I36" s="148">
        <f t="shared" si="13"/>
        <v>1195.8140928288385</v>
      </c>
      <c r="J36" s="149">
        <f>I36*References!D$61</f>
        <v>2.1165909443070534</v>
      </c>
      <c r="K36" s="149">
        <f>J36/References!H$64</f>
        <v>2.1677498405438893</v>
      </c>
      <c r="L36" s="149">
        <f>K36/F36*E36</f>
        <v>0.18050686172221234</v>
      </c>
      <c r="M36" s="131">
        <v>10.73</v>
      </c>
      <c r="N36" s="131">
        <f t="shared" si="15"/>
        <v>10.910506861722213</v>
      </c>
      <c r="O36" s="2"/>
      <c r="P36" s="3"/>
    </row>
    <row r="37" spans="2:17" x14ac:dyDescent="0.25">
      <c r="B37" s="145">
        <v>36</v>
      </c>
      <c r="C37" s="118" t="s">
        <v>202</v>
      </c>
      <c r="D37" s="36">
        <v>1</v>
      </c>
      <c r="E37" s="115">
        <v>4.33</v>
      </c>
      <c r="F37" s="4">
        <v>52</v>
      </c>
      <c r="G37" s="161">
        <f>G33</f>
        <v>51</v>
      </c>
      <c r="H37" s="147">
        <f t="shared" si="17"/>
        <v>2652</v>
      </c>
      <c r="I37" s="148">
        <f t="shared" si="13"/>
        <v>1793.7211392432578</v>
      </c>
      <c r="J37" s="149">
        <f>I37*References!D$61</f>
        <v>3.1748864164605801</v>
      </c>
      <c r="K37" s="149">
        <f>J37/References!H$64</f>
        <v>3.2516247608158335</v>
      </c>
      <c r="L37" s="149">
        <f t="shared" si="18"/>
        <v>0.27076029258331846</v>
      </c>
      <c r="M37" s="131">
        <v>20.399999999999999</v>
      </c>
      <c r="N37" s="131">
        <f t="shared" si="15"/>
        <v>20.670760292583317</v>
      </c>
      <c r="O37" s="2"/>
      <c r="P37" s="3"/>
    </row>
    <row r="38" spans="2:17" x14ac:dyDescent="0.25">
      <c r="B38" s="145">
        <v>28</v>
      </c>
      <c r="C38" s="118" t="s">
        <v>203</v>
      </c>
      <c r="D38" s="36">
        <v>1</v>
      </c>
      <c r="E38" s="115">
        <v>4.33</v>
      </c>
      <c r="F38" s="4">
        <v>52</v>
      </c>
      <c r="G38">
        <f>+References!C18</f>
        <v>34</v>
      </c>
      <c r="H38" s="147">
        <f t="shared" si="17"/>
        <v>1768</v>
      </c>
      <c r="I38" s="148">
        <f t="shared" si="13"/>
        <v>1195.8140928288385</v>
      </c>
      <c r="J38" s="149">
        <f>I38*References!D$61</f>
        <v>2.1165909443070534</v>
      </c>
      <c r="K38" s="149">
        <f>J38/References!H$64</f>
        <v>2.1677498405438893</v>
      </c>
      <c r="L38" s="149">
        <f t="shared" si="18"/>
        <v>0.18050686172221234</v>
      </c>
      <c r="M38" s="131">
        <v>3.59</v>
      </c>
      <c r="N38" s="131">
        <f t="shared" si="15"/>
        <v>3.7705068617222124</v>
      </c>
    </row>
    <row r="39" spans="2:17" x14ac:dyDescent="0.25">
      <c r="B39" s="145">
        <v>28</v>
      </c>
      <c r="C39" s="118" t="s">
        <v>204</v>
      </c>
      <c r="D39" s="36">
        <v>1</v>
      </c>
      <c r="E39" s="115">
        <v>4.33</v>
      </c>
      <c r="F39" s="4">
        <v>52</v>
      </c>
      <c r="G39" s="161">
        <f>+References!C18</f>
        <v>34</v>
      </c>
      <c r="H39" s="147">
        <f t="shared" ref="H39:H41" si="19">G39*F39</f>
        <v>1768</v>
      </c>
      <c r="I39" s="148">
        <f t="shared" ref="I39:I41" si="20">H39*D$24</f>
        <v>1195.8140928288385</v>
      </c>
      <c r="J39" s="149">
        <f>I39*References!D$61</f>
        <v>2.1165909443070534</v>
      </c>
      <c r="K39" s="149">
        <f>J39/References!H$64</f>
        <v>2.1677498405438893</v>
      </c>
      <c r="L39" s="149">
        <f t="shared" si="18"/>
        <v>0.18050686172221234</v>
      </c>
      <c r="M39" s="131">
        <v>15.56</v>
      </c>
      <c r="N39" s="131">
        <f>M39+L39</f>
        <v>15.740506861722213</v>
      </c>
      <c r="O39" s="2"/>
      <c r="P39" s="3"/>
    </row>
    <row r="40" spans="2:17" x14ac:dyDescent="0.25">
      <c r="B40" s="145">
        <v>36</v>
      </c>
      <c r="C40" s="118" t="s">
        <v>205</v>
      </c>
      <c r="D40" s="36">
        <v>1</v>
      </c>
      <c r="E40" s="115">
        <v>4.33</v>
      </c>
      <c r="F40" s="4">
        <v>52</v>
      </c>
      <c r="G40" s="161">
        <f>+References!C18</f>
        <v>34</v>
      </c>
      <c r="H40" s="147">
        <f t="shared" si="19"/>
        <v>1768</v>
      </c>
      <c r="I40" s="148">
        <f t="shared" si="20"/>
        <v>1195.8140928288385</v>
      </c>
      <c r="J40" s="149">
        <f>I40*References!D$61</f>
        <v>2.1165909443070534</v>
      </c>
      <c r="K40" s="149">
        <f>J40/References!H$64</f>
        <v>2.1677498405438893</v>
      </c>
      <c r="L40" s="149">
        <f t="shared" ref="L40:L41" si="21">K40/F40*E40</f>
        <v>0.18050686172221234</v>
      </c>
      <c r="M40" s="131">
        <v>14.37</v>
      </c>
      <c r="N40" s="131">
        <f t="shared" ref="N40:N41" si="22">M40+L40</f>
        <v>14.550506861722212</v>
      </c>
    </row>
    <row r="41" spans="2:17" x14ac:dyDescent="0.25">
      <c r="B41" s="145">
        <v>36</v>
      </c>
      <c r="C41" s="118" t="s">
        <v>206</v>
      </c>
      <c r="D41" s="36">
        <v>1</v>
      </c>
      <c r="E41" s="115">
        <v>4.33</v>
      </c>
      <c r="F41" s="4">
        <v>52</v>
      </c>
      <c r="G41" s="161">
        <f>+References!C19</f>
        <v>51</v>
      </c>
      <c r="H41" s="147">
        <f t="shared" si="19"/>
        <v>2652</v>
      </c>
      <c r="I41" s="148">
        <f t="shared" si="20"/>
        <v>1793.7211392432578</v>
      </c>
      <c r="J41" s="149">
        <f>I41*References!D$61</f>
        <v>3.1748864164605801</v>
      </c>
      <c r="K41" s="149">
        <f>J41/References!H$64</f>
        <v>3.2516247608158335</v>
      </c>
      <c r="L41" s="149">
        <f t="shared" si="21"/>
        <v>0.27076029258331846</v>
      </c>
      <c r="M41" s="131">
        <v>28.11</v>
      </c>
      <c r="N41" s="131">
        <f t="shared" si="22"/>
        <v>28.380760292583318</v>
      </c>
    </row>
  </sheetData>
  <mergeCells count="1">
    <mergeCell ref="A2:A8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BA7A6A0228E146B64B2E135E1E5231" ma:contentTypeVersion="16" ma:contentTypeDescription="" ma:contentTypeScope="" ma:versionID="991a4bcfbdfe0d6f6e97e53cd80114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2023-11-17T08:00:00+00:00</OpenedDate>
    <SignificantOrder xmlns="dc463f71-b30c-4ab2-9473-d307f9d35888">false</SignificantOrder>
    <Date1 xmlns="dc463f71-b30c-4ab2-9473-d307f9d35888">2023-11-17T08:00:00+00:00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230976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FA9DF7-DDB3-490E-BBD5-4572DD52EF34}"/>
</file>

<file path=customXml/itemProps2.xml><?xml version="1.0" encoding="utf-8"?>
<ds:datastoreItem xmlns:ds="http://schemas.openxmlformats.org/officeDocument/2006/customXml" ds:itemID="{78A9235D-A68E-47E1-8D0A-74727B9E37A7}"/>
</file>

<file path=customXml/itemProps3.xml><?xml version="1.0" encoding="utf-8"?>
<ds:datastoreItem xmlns:ds="http://schemas.openxmlformats.org/officeDocument/2006/customXml" ds:itemID="{4782033C-412E-432C-9EF6-175B33B63C78}"/>
</file>

<file path=customXml/itemProps4.xml><?xml version="1.0" encoding="utf-8"?>
<ds:datastoreItem xmlns:ds="http://schemas.openxmlformats.org/officeDocument/2006/customXml" ds:itemID="{78E0AE08-6364-4891-9F8E-87189EB8E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Notes</vt:lpstr>
      <vt:lpstr>Company Ref. </vt:lpstr>
      <vt:lpstr>References</vt:lpstr>
      <vt:lpstr>Staff Price Out</vt:lpstr>
      <vt:lpstr>'Company Ref.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Booth, Avery (UTC)</cp:lastModifiedBy>
  <cp:lastPrinted>2023-11-17T20:48:42Z</cp:lastPrinted>
  <dcterms:created xsi:type="dcterms:W3CDTF">2021-11-12T22:53:39Z</dcterms:created>
  <dcterms:modified xsi:type="dcterms:W3CDTF">2023-11-28T23:36:30Z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0x0101006E56B4D1795A2E4DB2F0B01679ED314A00C4BA7A6A0228E146B64B2E135E1E5231</vt:lpwstr>
  </property>
  <property fmtid="{D5CDD505-2E9C-101B-9397-08002B2CF9AE}" pid="3" name="_docset_NoMedatataSyncRequired">
    <vt:lpwstr>False</vt:lpwstr>
  </property>
</Properties>
</file>