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\2024 01-01 Commodity &amp; Disposal Filing - FILE 11-15-23 - IN PROCESS\"/>
    </mc:Choice>
  </mc:AlternateContent>
  <xr:revisionPtr revIDLastSave="0" documentId="13_ncr:1_{D42F6E5D-2E13-4B65-8E47-D14053815AFA}" xr6:coauthVersionLast="36" xr6:coauthVersionMax="36" xr10:uidLastSave="{00000000-0000-0000-0000-000000000000}"/>
  <bookViews>
    <workbookView xWindow="360" yWindow="225" windowWidth="15570" windowHeight="9855" xr2:uid="{00000000-000D-0000-FFFF-FFFF00000000}"/>
  </bookViews>
  <sheets>
    <sheet name="per lb increase" sheetId="6" r:id="rId1"/>
    <sheet name="Calculation" sheetId="13" r:id="rId2"/>
    <sheet name="% spread" sheetId="14" r:id="rId3"/>
  </sheets>
  <definedNames>
    <definedName name="_xlnm.Print_Area" localSheetId="1">Calculation!$A$1:$S$158</definedName>
    <definedName name="_xlnm.Print_Area" localSheetId="0">'per lb increase'!$A$1:$H$36</definedName>
    <definedName name="_xlnm.Print_Titles" localSheetId="1">Calculation!$1:$10</definedName>
  </definedNames>
  <calcPr calcId="191029"/>
</workbook>
</file>

<file path=xl/calcChain.xml><?xml version="1.0" encoding="utf-8"?>
<calcChain xmlns="http://schemas.openxmlformats.org/spreadsheetml/2006/main">
  <c r="D155" i="13" l="1"/>
  <c r="C155" i="13"/>
  <c r="B155" i="13"/>
  <c r="D27" i="6" l="1"/>
  <c r="H7" i="13" l="1"/>
  <c r="D154" i="13"/>
  <c r="C154" i="13"/>
  <c r="B154" i="13"/>
  <c r="B148" i="13"/>
  <c r="H145" i="13"/>
  <c r="E145" i="13"/>
  <c r="C19" i="6"/>
  <c r="C20" i="6"/>
  <c r="A5" i="13" l="1"/>
  <c r="A3" i="13" l="1"/>
  <c r="H11" i="13" l="1"/>
  <c r="E19" i="13" l="1"/>
  <c r="H19" i="13"/>
  <c r="E11" i="13"/>
  <c r="E12" i="13"/>
  <c r="H12" i="13"/>
  <c r="E13" i="13"/>
  <c r="H13" i="13"/>
  <c r="I7" i="13"/>
  <c r="C23" i="6" l="1"/>
  <c r="B27" i="13" l="1"/>
  <c r="E33" i="13" l="1"/>
  <c r="E34" i="13"/>
  <c r="H45" i="13" l="1"/>
  <c r="H34" i="13"/>
  <c r="H33" i="13"/>
  <c r="H35" i="13"/>
  <c r="E57" i="13"/>
  <c r="E55" i="13"/>
  <c r="E45" i="13"/>
  <c r="E89" i="13"/>
  <c r="E78" i="13"/>
  <c r="E68" i="13"/>
  <c r="E56" i="13"/>
  <c r="B156" i="13" l="1"/>
  <c r="E138" i="13" l="1"/>
  <c r="F138" i="13"/>
  <c r="H138" i="13" s="1"/>
  <c r="B139" i="13"/>
  <c r="E139" i="13" s="1"/>
  <c r="F139" i="13"/>
  <c r="H139" i="13" s="1"/>
  <c r="E140" i="13"/>
  <c r="F140" i="13"/>
  <c r="H140" i="13" s="1"/>
  <c r="E141" i="13"/>
  <c r="E142" i="13"/>
  <c r="F142" i="13"/>
  <c r="H142" i="13" s="1"/>
  <c r="E143" i="13"/>
  <c r="F143" i="13"/>
  <c r="H143" i="13" s="1"/>
  <c r="E144" i="13"/>
  <c r="F144" i="13"/>
  <c r="H144" i="13" s="1"/>
  <c r="E112" i="13"/>
  <c r="H113" i="13"/>
  <c r="H112" i="13"/>
  <c r="H111" i="13"/>
  <c r="H89" i="13"/>
  <c r="E113" i="13"/>
  <c r="E90" i="13"/>
  <c r="F78" i="13"/>
  <c r="H78" i="13" s="1"/>
  <c r="F79" i="13"/>
  <c r="H68" i="13"/>
  <c r="H57" i="13"/>
  <c r="E35" i="13" l="1"/>
  <c r="E46" i="13"/>
  <c r="C156" i="13"/>
  <c r="D156" i="13"/>
  <c r="F137" i="13" l="1"/>
  <c r="E137" i="13"/>
  <c r="H137" i="13" l="1"/>
  <c r="F130" i="13" l="1"/>
  <c r="H130" i="13" s="1"/>
  <c r="F129" i="13"/>
  <c r="H129" i="13" s="1"/>
  <c r="M10" i="13"/>
  <c r="H44" i="13" l="1"/>
  <c r="E44" i="13"/>
  <c r="E38" i="13"/>
  <c r="E123" i="13" l="1"/>
  <c r="E52" i="13" l="1"/>
  <c r="E41" i="13"/>
  <c r="E79" i="13" l="1"/>
  <c r="G30" i="6" l="1"/>
  <c r="H20" i="6" s="1"/>
  <c r="B14" i="6" l="1"/>
  <c r="H127" i="13"/>
  <c r="E127" i="13"/>
  <c r="E126" i="13"/>
  <c r="E125" i="13"/>
  <c r="H120" i="13"/>
  <c r="H121" i="13"/>
  <c r="E121" i="13"/>
  <c r="E120" i="13"/>
  <c r="E111" i="13"/>
  <c r="H104" i="13"/>
  <c r="H102" i="13"/>
  <c r="E104" i="13"/>
  <c r="E102" i="13"/>
  <c r="H99" i="13"/>
  <c r="E99" i="13"/>
  <c r="H90" i="13"/>
  <c r="H75" i="13"/>
  <c r="H73" i="13"/>
  <c r="E75" i="13"/>
  <c r="E73" i="13"/>
  <c r="H56" i="13"/>
  <c r="H53" i="13"/>
  <c r="H54" i="13"/>
  <c r="E54" i="13"/>
  <c r="E53" i="13"/>
  <c r="H42" i="13"/>
  <c r="H43" i="13"/>
  <c r="E43" i="13"/>
  <c r="E42" i="13"/>
  <c r="E65" i="13"/>
  <c r="E64" i="13"/>
  <c r="E128" i="13"/>
  <c r="B23" i="6" l="1"/>
  <c r="B24" i="6"/>
  <c r="H10" i="6" l="1"/>
  <c r="F14" i="6"/>
  <c r="H14" i="6" s="1"/>
  <c r="H16" i="6" l="1"/>
  <c r="D10" i="6" l="1"/>
  <c r="C21" i="6" s="1"/>
  <c r="D14" i="6"/>
  <c r="C24" i="6" s="1"/>
  <c r="C25" i="6" s="1"/>
  <c r="E134" i="13"/>
  <c r="E48" i="13"/>
  <c r="H103" i="13"/>
  <c r="H118" i="13"/>
  <c r="H114" i="13"/>
  <c r="E115" i="13"/>
  <c r="E93" i="13"/>
  <c r="E136" i="13"/>
  <c r="E81" i="13"/>
  <c r="E80" i="13"/>
  <c r="E69" i="13"/>
  <c r="E77" i="13"/>
  <c r="E59" i="13"/>
  <c r="H65" i="13"/>
  <c r="G64" i="13"/>
  <c r="G52" i="13"/>
  <c r="B132" i="13"/>
  <c r="E132" i="13" s="1"/>
  <c r="E36" i="13"/>
  <c r="E17" i="13"/>
  <c r="E24" i="13"/>
  <c r="E20" i="13"/>
  <c r="E14" i="13"/>
  <c r="E15" i="13"/>
  <c r="E23" i="13"/>
  <c r="C27" i="6" l="1"/>
  <c r="C29" i="6"/>
  <c r="C28" i="6"/>
  <c r="D16" i="6"/>
  <c r="H67" i="13"/>
  <c r="E67" i="13"/>
  <c r="H55" i="13"/>
  <c r="H64" i="13"/>
  <c r="H41" i="13"/>
  <c r="H52" i="13"/>
  <c r="H79" i="13"/>
  <c r="E21" i="13"/>
  <c r="E16" i="13"/>
  <c r="E22" i="13"/>
  <c r="E91" i="13"/>
  <c r="E106" i="13"/>
  <c r="E131" i="13"/>
  <c r="E37" i="13"/>
  <c r="E47" i="13"/>
  <c r="E133" i="13"/>
  <c r="E60" i="13"/>
  <c r="E76" i="13"/>
  <c r="E135" i="13"/>
  <c r="E82" i="13"/>
  <c r="E92" i="13"/>
  <c r="H101" i="13"/>
  <c r="E25" i="13"/>
  <c r="E18" i="13"/>
  <c r="E58" i="13"/>
  <c r="H18" i="6" l="1"/>
  <c r="H29" i="6" s="1"/>
  <c r="H30" i="6" s="1"/>
  <c r="H169" i="13"/>
  <c r="A169" i="13"/>
  <c r="F115" i="13"/>
  <c r="H115" i="13" s="1"/>
  <c r="F136" i="13"/>
  <c r="H136" i="13" s="1"/>
  <c r="F135" i="13"/>
  <c r="F81" i="13" s="1"/>
  <c r="H81" i="13" s="1"/>
  <c r="F134" i="13"/>
  <c r="H134" i="13" s="1"/>
  <c r="F133" i="13"/>
  <c r="H133" i="13" s="1"/>
  <c r="F132" i="13"/>
  <c r="H132" i="13" s="1"/>
  <c r="F124" i="13"/>
  <c r="E124" i="13"/>
  <c r="G122" i="13"/>
  <c r="H122" i="13" s="1"/>
  <c r="E122" i="13"/>
  <c r="G119" i="13"/>
  <c r="H119" i="13" s="1"/>
  <c r="E119" i="13"/>
  <c r="E118" i="13"/>
  <c r="F117" i="13"/>
  <c r="E117" i="13"/>
  <c r="G110" i="13"/>
  <c r="H110" i="13" s="1"/>
  <c r="G109" i="13"/>
  <c r="H109" i="13" s="1"/>
  <c r="G108" i="13"/>
  <c r="H108" i="13" s="1"/>
  <c r="G107" i="13"/>
  <c r="H107" i="13" s="1"/>
  <c r="G106" i="13"/>
  <c r="H106" i="13" s="1"/>
  <c r="G105" i="13"/>
  <c r="H105" i="13" s="1"/>
  <c r="E105" i="13"/>
  <c r="E103" i="13"/>
  <c r="E101" i="13"/>
  <c r="E100" i="13"/>
  <c r="G98" i="13"/>
  <c r="H98" i="13" s="1"/>
  <c r="G97" i="13"/>
  <c r="H97" i="13" s="1"/>
  <c r="G95" i="13"/>
  <c r="H95" i="13" s="1"/>
  <c r="G94" i="13"/>
  <c r="H94" i="13" s="1"/>
  <c r="G91" i="13"/>
  <c r="H91" i="13" s="1"/>
  <c r="G88" i="13"/>
  <c r="H88" i="13" s="1"/>
  <c r="G87" i="13"/>
  <c r="H87" i="13" s="1"/>
  <c r="G86" i="13"/>
  <c r="H86" i="13" s="1"/>
  <c r="G84" i="13"/>
  <c r="H84" i="13" s="1"/>
  <c r="G83" i="13"/>
  <c r="H83" i="13" s="1"/>
  <c r="G80" i="13"/>
  <c r="H80" i="13" s="1"/>
  <c r="G74" i="13"/>
  <c r="H74" i="13" s="1"/>
  <c r="G71" i="13"/>
  <c r="H71" i="13" s="1"/>
  <c r="G70" i="13"/>
  <c r="H70" i="13" s="1"/>
  <c r="G69" i="13"/>
  <c r="H69" i="13" s="1"/>
  <c r="G66" i="13"/>
  <c r="H66" i="13" s="1"/>
  <c r="G62" i="13"/>
  <c r="H62" i="13" s="1"/>
  <c r="G61" i="13"/>
  <c r="H61" i="13" s="1"/>
  <c r="G58" i="13"/>
  <c r="H58" i="13" s="1"/>
  <c r="G50" i="13"/>
  <c r="H50" i="13" s="1"/>
  <c r="G49" i="13"/>
  <c r="H49" i="13" s="1"/>
  <c r="G46" i="13"/>
  <c r="H46" i="13" s="1"/>
  <c r="G40" i="13"/>
  <c r="H39" i="13"/>
  <c r="H38" i="13"/>
  <c r="G17" i="13"/>
  <c r="G24" i="13"/>
  <c r="F24" i="13"/>
  <c r="G21" i="13"/>
  <c r="H21" i="13" s="1"/>
  <c r="G16" i="13"/>
  <c r="G25" i="13"/>
  <c r="F25" i="13"/>
  <c r="G20" i="13"/>
  <c r="H20" i="13" s="1"/>
  <c r="G14" i="13"/>
  <c r="G22" i="13"/>
  <c r="F22" i="13"/>
  <c r="F100" i="13" s="1"/>
  <c r="H100" i="13" s="1"/>
  <c r="G18" i="13"/>
  <c r="H18" i="13" s="1"/>
  <c r="F23" i="13"/>
  <c r="F125" i="13" s="1"/>
  <c r="H117" i="13" l="1"/>
  <c r="H124" i="13"/>
  <c r="F128" i="13"/>
  <c r="H23" i="13"/>
  <c r="H125" i="13"/>
  <c r="G63" i="13"/>
  <c r="H63" i="13" s="1"/>
  <c r="H40" i="13"/>
  <c r="E66" i="13"/>
  <c r="H25" i="13"/>
  <c r="H22" i="13"/>
  <c r="E74" i="13"/>
  <c r="E83" i="13"/>
  <c r="E86" i="13"/>
  <c r="F15" i="13"/>
  <c r="F123" i="13" s="1"/>
  <c r="G51" i="13"/>
  <c r="H51" i="13" s="1"/>
  <c r="F131" i="13"/>
  <c r="H131" i="13" s="1"/>
  <c r="H24" i="13"/>
  <c r="E70" i="13"/>
  <c r="G72" i="13"/>
  <c r="H72" i="13" s="1"/>
  <c r="E84" i="13"/>
  <c r="E87" i="13"/>
  <c r="E94" i="13"/>
  <c r="E95" i="13"/>
  <c r="E98" i="13"/>
  <c r="E108" i="13"/>
  <c r="E51" i="13"/>
  <c r="E109" i="13"/>
  <c r="E39" i="13"/>
  <c r="E49" i="13"/>
  <c r="E61" i="13"/>
  <c r="F59" i="13"/>
  <c r="H59" i="13" s="1"/>
  <c r="E72" i="13"/>
  <c r="E97" i="13"/>
  <c r="E107" i="13"/>
  <c r="E114" i="13"/>
  <c r="E62" i="13"/>
  <c r="G85" i="13"/>
  <c r="H85" i="13" s="1"/>
  <c r="G96" i="13"/>
  <c r="H96" i="13" s="1"/>
  <c r="E50" i="13"/>
  <c r="E63" i="13"/>
  <c r="E71" i="13"/>
  <c r="E85" i="13"/>
  <c r="E88" i="13"/>
  <c r="E96" i="13"/>
  <c r="E110" i="13"/>
  <c r="F82" i="13"/>
  <c r="H82" i="13" s="1"/>
  <c r="H135" i="13"/>
  <c r="F14" i="13"/>
  <c r="H14" i="13" s="1"/>
  <c r="F16" i="13"/>
  <c r="H16" i="13" s="1"/>
  <c r="F17" i="13"/>
  <c r="H17" i="13" s="1"/>
  <c r="F76" i="13"/>
  <c r="F141" i="13" s="1"/>
  <c r="H141" i="13" s="1"/>
  <c r="F92" i="13"/>
  <c r="H92" i="13" s="1"/>
  <c r="H128" i="13"/>
  <c r="F47" i="13"/>
  <c r="H47" i="13" s="1"/>
  <c r="H76" i="13" l="1"/>
  <c r="H123" i="13"/>
  <c r="F126" i="13"/>
  <c r="H126" i="13" s="1"/>
  <c r="F60" i="13"/>
  <c r="H60" i="13" s="1"/>
  <c r="F37" i="13"/>
  <c r="H37" i="13" s="1"/>
  <c r="F36" i="13"/>
  <c r="H15" i="13"/>
  <c r="E40" i="13"/>
  <c r="E148" i="13" s="1"/>
  <c r="F48" i="13"/>
  <c r="H48" i="13" s="1"/>
  <c r="F93" i="13"/>
  <c r="H93" i="13" s="1"/>
  <c r="F77" i="13"/>
  <c r="H77" i="13" s="1"/>
  <c r="E154" i="13" l="1"/>
  <c r="E156" i="13" s="1"/>
  <c r="H36" i="13"/>
  <c r="H148" i="13" s="1"/>
  <c r="H22" i="6"/>
  <c r="K10" i="13" l="1"/>
  <c r="E27" i="13" l="1"/>
  <c r="H27" i="13"/>
  <c r="H152" i="13" s="1"/>
  <c r="I8" i="13" s="1"/>
  <c r="I117" i="13" s="1"/>
  <c r="I145" i="13" l="1"/>
  <c r="K145" i="13" l="1"/>
  <c r="M145" i="13" s="1"/>
  <c r="J145" i="13"/>
  <c r="I19" i="13"/>
  <c r="J19" i="13" s="1"/>
  <c r="I40" i="13"/>
  <c r="K40" i="13" s="1"/>
  <c r="M40" i="13" s="1"/>
  <c r="K19" i="13"/>
  <c r="L19" i="13" s="1"/>
  <c r="M19" i="13" s="1"/>
  <c r="N19" i="13" s="1"/>
  <c r="I13" i="13"/>
  <c r="I12" i="13"/>
  <c r="I11" i="13"/>
  <c r="I144" i="13"/>
  <c r="I138" i="13"/>
  <c r="I137" i="13"/>
  <c r="K137" i="13" s="1"/>
  <c r="I34" i="13"/>
  <c r="I33" i="13"/>
  <c r="J33" i="13" s="1"/>
  <c r="I45" i="13"/>
  <c r="I140" i="13"/>
  <c r="I143" i="13"/>
  <c r="I142" i="13"/>
  <c r="I139" i="13"/>
  <c r="I141" i="13"/>
  <c r="I113" i="13"/>
  <c r="K113" i="13" s="1"/>
  <c r="M113" i="13" s="1"/>
  <c r="I112" i="13"/>
  <c r="I89" i="13"/>
  <c r="K89" i="13" s="1"/>
  <c r="M89" i="13" s="1"/>
  <c r="I68" i="13"/>
  <c r="K68" i="13" s="1"/>
  <c r="M68" i="13" s="1"/>
  <c r="I78" i="13"/>
  <c r="I57" i="13"/>
  <c r="J6" i="13"/>
  <c r="I36" i="13"/>
  <c r="I17" i="13"/>
  <c r="J17" i="13" s="1"/>
  <c r="I129" i="13"/>
  <c r="I130" i="13"/>
  <c r="I35" i="13"/>
  <c r="I127" i="13"/>
  <c r="K127" i="13" s="1"/>
  <c r="M127" i="13" s="1"/>
  <c r="N127" i="13" s="1"/>
  <c r="I44" i="13"/>
  <c r="J44" i="13" s="1"/>
  <c r="I128" i="13"/>
  <c r="J128" i="13" s="1"/>
  <c r="I14" i="13"/>
  <c r="J14" i="13" s="1"/>
  <c r="I83" i="13"/>
  <c r="J83" i="13" s="1"/>
  <c r="I86" i="13"/>
  <c r="K86" i="13" s="1"/>
  <c r="M86" i="13" s="1"/>
  <c r="I110" i="13"/>
  <c r="K110" i="13" s="1"/>
  <c r="M110" i="13" s="1"/>
  <c r="I107" i="13"/>
  <c r="J107" i="13" s="1"/>
  <c r="I124" i="13"/>
  <c r="J124" i="13" s="1"/>
  <c r="I79" i="13"/>
  <c r="K79" i="13" s="1"/>
  <c r="M79" i="13" s="1"/>
  <c r="I55" i="13"/>
  <c r="K55" i="13" s="1"/>
  <c r="M55" i="13" s="1"/>
  <c r="I61" i="13"/>
  <c r="J61" i="13" s="1"/>
  <c r="I72" i="13"/>
  <c r="J72" i="13" s="1"/>
  <c r="I92" i="13"/>
  <c r="J92" i="13" s="1"/>
  <c r="I122" i="13"/>
  <c r="K122" i="13" s="1"/>
  <c r="M122" i="13" s="1"/>
  <c r="I120" i="13"/>
  <c r="J120" i="13" s="1"/>
  <c r="I70" i="13"/>
  <c r="J70" i="13" s="1"/>
  <c r="I104" i="13"/>
  <c r="K104" i="13" s="1"/>
  <c r="M104" i="13" s="1"/>
  <c r="N104" i="13" s="1"/>
  <c r="I47" i="13"/>
  <c r="K47" i="13" s="1"/>
  <c r="M47" i="13" s="1"/>
  <c r="N47" i="13" s="1"/>
  <c r="I99" i="13"/>
  <c r="I85" i="13"/>
  <c r="J85" i="13" s="1"/>
  <c r="I43" i="13"/>
  <c r="K43" i="13" s="1"/>
  <c r="M43" i="13" s="1"/>
  <c r="I20" i="13"/>
  <c r="J20" i="13" s="1"/>
  <c r="I18" i="13"/>
  <c r="K18" i="13" s="1"/>
  <c r="I105" i="13"/>
  <c r="J105" i="13" s="1"/>
  <c r="I75" i="13"/>
  <c r="J75" i="13" s="1"/>
  <c r="I132" i="13"/>
  <c r="K132" i="13" s="1"/>
  <c r="I62" i="13"/>
  <c r="K62" i="13" s="1"/>
  <c r="M62" i="13" s="1"/>
  <c r="I46" i="13"/>
  <c r="K46" i="13" s="1"/>
  <c r="M46" i="13" s="1"/>
  <c r="I69" i="13"/>
  <c r="K69" i="13" s="1"/>
  <c r="M69" i="13" s="1"/>
  <c r="I119" i="13"/>
  <c r="J119" i="13" s="1"/>
  <c r="I101" i="13"/>
  <c r="K101" i="13" s="1"/>
  <c r="M101" i="13" s="1"/>
  <c r="I50" i="13"/>
  <c r="K50" i="13" s="1"/>
  <c r="M50" i="13" s="1"/>
  <c r="I54" i="13"/>
  <c r="K54" i="13" s="1"/>
  <c r="M54" i="13" s="1"/>
  <c r="I84" i="13"/>
  <c r="J84" i="13" s="1"/>
  <c r="I134" i="13"/>
  <c r="K134" i="13" s="1"/>
  <c r="M134" i="13" s="1"/>
  <c r="N134" i="13" s="1"/>
  <c r="S134" i="13" s="1"/>
  <c r="I91" i="13"/>
  <c r="J91" i="13" s="1"/>
  <c r="I67" i="13"/>
  <c r="J67" i="13" s="1"/>
  <c r="I93" i="13"/>
  <c r="J40" i="13"/>
  <c r="I24" i="13"/>
  <c r="K24" i="13" s="1"/>
  <c r="L24" i="13" s="1"/>
  <c r="M24" i="13" s="1"/>
  <c r="N24" i="13" s="1"/>
  <c r="S24" i="13" s="1"/>
  <c r="I58" i="13"/>
  <c r="J58" i="13" s="1"/>
  <c r="I42" i="13"/>
  <c r="J42" i="13" s="1"/>
  <c r="I94" i="13"/>
  <c r="J94" i="13" s="1"/>
  <c r="I90" i="13"/>
  <c r="J90" i="13" s="1"/>
  <c r="I37" i="13"/>
  <c r="K37" i="13" s="1"/>
  <c r="M37" i="13" s="1"/>
  <c r="N37" i="13" s="1"/>
  <c r="I81" i="13"/>
  <c r="I97" i="13"/>
  <c r="K97" i="13" s="1"/>
  <c r="M97" i="13" s="1"/>
  <c r="I114" i="13"/>
  <c r="J114" i="13" s="1"/>
  <c r="I98" i="13"/>
  <c r="J98" i="13" s="1"/>
  <c r="I41" i="13"/>
  <c r="K41" i="13" s="1"/>
  <c r="M41" i="13" s="1"/>
  <c r="N41" i="13" s="1"/>
  <c r="I121" i="13"/>
  <c r="J121" i="13" s="1"/>
  <c r="I96" i="13"/>
  <c r="K96" i="13" s="1"/>
  <c r="M96" i="13" s="1"/>
  <c r="I48" i="13"/>
  <c r="K48" i="13" s="1"/>
  <c r="M48" i="13" s="1"/>
  <c r="N48" i="13" s="1"/>
  <c r="I136" i="13"/>
  <c r="J136" i="13" s="1"/>
  <c r="I59" i="13"/>
  <c r="K59" i="13" s="1"/>
  <c r="M59" i="13" s="1"/>
  <c r="I169" i="13"/>
  <c r="J169" i="13" s="1"/>
  <c r="K169" i="13" s="1"/>
  <c r="L169" i="13" s="1"/>
  <c r="M169" i="13" s="1"/>
  <c r="I16" i="13"/>
  <c r="J16" i="13" s="1"/>
  <c r="I103" i="13"/>
  <c r="K103" i="13" s="1"/>
  <c r="M103" i="13" s="1"/>
  <c r="I23" i="13"/>
  <c r="K23" i="13" s="1"/>
  <c r="L23" i="13" s="1"/>
  <c r="M23" i="13" s="1"/>
  <c r="N23" i="13" s="1"/>
  <c r="S23" i="13" s="1"/>
  <c r="I95" i="13"/>
  <c r="J95" i="13" s="1"/>
  <c r="I133" i="13"/>
  <c r="J133" i="13" s="1"/>
  <c r="K117" i="13"/>
  <c r="M117" i="13" s="1"/>
  <c r="I126" i="13"/>
  <c r="K126" i="13" s="1"/>
  <c r="M126" i="13" s="1"/>
  <c r="I56" i="13"/>
  <c r="J56" i="13" s="1"/>
  <c r="I21" i="13"/>
  <c r="K21" i="13" s="1"/>
  <c r="L21" i="13" s="1"/>
  <c r="M21" i="13" s="1"/>
  <c r="N21" i="13" s="1"/>
  <c r="S21" i="13" s="1"/>
  <c r="I22" i="13"/>
  <c r="J22" i="13" s="1"/>
  <c r="I106" i="13"/>
  <c r="K106" i="13" s="1"/>
  <c r="M106" i="13" s="1"/>
  <c r="I123" i="13"/>
  <c r="K123" i="13" s="1"/>
  <c r="M123" i="13" s="1"/>
  <c r="N123" i="13" s="1"/>
  <c r="I88" i="13"/>
  <c r="K88" i="13" s="1"/>
  <c r="M88" i="13" s="1"/>
  <c r="I63" i="13"/>
  <c r="J63" i="13" s="1"/>
  <c r="I52" i="13"/>
  <c r="J52" i="13" s="1"/>
  <c r="I87" i="13"/>
  <c r="K87" i="13" s="1"/>
  <c r="M87" i="13" s="1"/>
  <c r="I76" i="13"/>
  <c r="J76" i="13" s="1"/>
  <c r="I38" i="13"/>
  <c r="I80" i="13"/>
  <c r="J80" i="13" s="1"/>
  <c r="I39" i="13"/>
  <c r="J39" i="13" s="1"/>
  <c r="I64" i="13"/>
  <c r="K64" i="13" s="1"/>
  <c r="M64" i="13" s="1"/>
  <c r="I82" i="13"/>
  <c r="J82" i="13" s="1"/>
  <c r="I118" i="13"/>
  <c r="K118" i="13" s="1"/>
  <c r="M118" i="13" s="1"/>
  <c r="I109" i="13"/>
  <c r="J109" i="13" s="1"/>
  <c r="I77" i="13"/>
  <c r="J77" i="13" s="1"/>
  <c r="I74" i="13"/>
  <c r="K74" i="13" s="1"/>
  <c r="M74" i="13" s="1"/>
  <c r="I131" i="13"/>
  <c r="J131" i="13" s="1"/>
  <c r="I49" i="13"/>
  <c r="J49" i="13" s="1"/>
  <c r="I108" i="13"/>
  <c r="J108" i="13" s="1"/>
  <c r="I125" i="13"/>
  <c r="K125" i="13" s="1"/>
  <c r="M125" i="13" s="1"/>
  <c r="I73" i="13"/>
  <c r="J73" i="13" s="1"/>
  <c r="I135" i="13"/>
  <c r="I25" i="13"/>
  <c r="K25" i="13" s="1"/>
  <c r="L25" i="13" s="1"/>
  <c r="M25" i="13" s="1"/>
  <c r="N25" i="13" s="1"/>
  <c r="S25" i="13" s="1"/>
  <c r="I71" i="13"/>
  <c r="K71" i="13" s="1"/>
  <c r="M71" i="13" s="1"/>
  <c r="I100" i="13"/>
  <c r="K100" i="13" s="1"/>
  <c r="M100" i="13" s="1"/>
  <c r="I15" i="13"/>
  <c r="J15" i="13" s="1"/>
  <c r="I65" i="13"/>
  <c r="K65" i="13" s="1"/>
  <c r="M65" i="13" s="1"/>
  <c r="I53" i="13"/>
  <c r="J53" i="13" s="1"/>
  <c r="I66" i="13"/>
  <c r="K66" i="13" s="1"/>
  <c r="M66" i="13" s="1"/>
  <c r="I51" i="13"/>
  <c r="J51" i="13" s="1"/>
  <c r="I111" i="13"/>
  <c r="J111" i="13" s="1"/>
  <c r="I115" i="13"/>
  <c r="I102" i="13"/>
  <c r="J102" i="13" s="1"/>
  <c r="I60" i="13"/>
  <c r="K60" i="13" s="1"/>
  <c r="M60" i="13" s="1"/>
  <c r="N60" i="13" s="1"/>
  <c r="J35" i="13" l="1"/>
  <c r="I148" i="13"/>
  <c r="O145" i="13"/>
  <c r="N145" i="13"/>
  <c r="S19" i="13"/>
  <c r="P19" i="13"/>
  <c r="Q19" i="13" s="1"/>
  <c r="J11" i="13"/>
  <c r="K11" i="13"/>
  <c r="L11" i="13" s="1"/>
  <c r="M11" i="13" s="1"/>
  <c r="N11" i="13" s="1"/>
  <c r="J12" i="13"/>
  <c r="K12" i="13"/>
  <c r="L12" i="13" s="1"/>
  <c r="M12" i="13" s="1"/>
  <c r="N12" i="13" s="1"/>
  <c r="J13" i="13"/>
  <c r="K13" i="13"/>
  <c r="L13" i="13" s="1"/>
  <c r="M13" i="13" s="1"/>
  <c r="N13" i="13" s="1"/>
  <c r="I27" i="13"/>
  <c r="I152" i="13" s="1"/>
  <c r="J45" i="13"/>
  <c r="K45" i="13"/>
  <c r="M45" i="13" s="1"/>
  <c r="N45" i="13" s="1"/>
  <c r="J34" i="13"/>
  <c r="K34" i="13"/>
  <c r="M34" i="13" s="1"/>
  <c r="N34" i="13" s="1"/>
  <c r="J113" i="13"/>
  <c r="J141" i="13"/>
  <c r="K141" i="13"/>
  <c r="M141" i="13" s="1"/>
  <c r="J139" i="13"/>
  <c r="K139" i="13"/>
  <c r="M139" i="13" s="1"/>
  <c r="J144" i="13"/>
  <c r="K144" i="13"/>
  <c r="M144" i="13" s="1"/>
  <c r="J142" i="13"/>
  <c r="K142" i="13"/>
  <c r="M142" i="13" s="1"/>
  <c r="J68" i="13"/>
  <c r="J143" i="13"/>
  <c r="K143" i="13"/>
  <c r="M143" i="13" s="1"/>
  <c r="J140" i="13"/>
  <c r="K140" i="13"/>
  <c r="M140" i="13" s="1"/>
  <c r="J138" i="13"/>
  <c r="K138" i="13"/>
  <c r="M138" i="13" s="1"/>
  <c r="J135" i="13"/>
  <c r="K135" i="13"/>
  <c r="M135" i="13" s="1"/>
  <c r="N135" i="13" s="1"/>
  <c r="S135" i="13" s="1"/>
  <c r="K112" i="13"/>
  <c r="M112" i="13" s="1"/>
  <c r="N112" i="13" s="1"/>
  <c r="J112" i="13"/>
  <c r="N113" i="13"/>
  <c r="O113" i="13"/>
  <c r="J89" i="13"/>
  <c r="N89" i="13"/>
  <c r="P89" i="13" s="1"/>
  <c r="J78" i="13"/>
  <c r="K78" i="13"/>
  <c r="M78" i="13" s="1"/>
  <c r="N68" i="13"/>
  <c r="K57" i="13"/>
  <c r="M57" i="13" s="1"/>
  <c r="N57" i="13" s="1"/>
  <c r="J57" i="13"/>
  <c r="P123" i="13"/>
  <c r="N59" i="13"/>
  <c r="P59" i="13" s="1"/>
  <c r="Q59" i="13" s="1"/>
  <c r="S37" i="13"/>
  <c r="S60" i="13"/>
  <c r="S48" i="13"/>
  <c r="S47" i="13"/>
  <c r="M132" i="13"/>
  <c r="N132" i="13" s="1"/>
  <c r="S132" i="13" s="1"/>
  <c r="K36" i="13"/>
  <c r="M36" i="13" s="1"/>
  <c r="N36" i="13" s="1"/>
  <c r="J36" i="13"/>
  <c r="K35" i="13"/>
  <c r="M35" i="13" s="1"/>
  <c r="N35" i="13" s="1"/>
  <c r="M137" i="13"/>
  <c r="N137" i="13" s="1"/>
  <c r="J137" i="13"/>
  <c r="J129" i="13"/>
  <c r="K129" i="13"/>
  <c r="M129" i="13" s="1"/>
  <c r="N129" i="13" s="1"/>
  <c r="J130" i="13"/>
  <c r="K130" i="13"/>
  <c r="M130" i="13" s="1"/>
  <c r="N130" i="13" s="1"/>
  <c r="K33" i="13"/>
  <c r="M33" i="13" s="1"/>
  <c r="K128" i="13"/>
  <c r="M128" i="13" s="1"/>
  <c r="N128" i="13" s="1"/>
  <c r="L18" i="13"/>
  <c r="M18" i="13" s="1"/>
  <c r="N18" i="13" s="1"/>
  <c r="J86" i="13"/>
  <c r="J132" i="13"/>
  <c r="K120" i="13"/>
  <c r="M120" i="13" s="1"/>
  <c r="N120" i="13" s="1"/>
  <c r="J110" i="13"/>
  <c r="J46" i="13"/>
  <c r="J103" i="13"/>
  <c r="K83" i="13"/>
  <c r="M83" i="13" s="1"/>
  <c r="O83" i="13" s="1"/>
  <c r="J118" i="13"/>
  <c r="J115" i="13"/>
  <c r="K115" i="13"/>
  <c r="M115" i="13" s="1"/>
  <c r="N115" i="13" s="1"/>
  <c r="J122" i="13"/>
  <c r="K81" i="13"/>
  <c r="M81" i="13" s="1"/>
  <c r="N81" i="13" s="1"/>
  <c r="J81" i="13"/>
  <c r="J93" i="13"/>
  <c r="K93" i="13"/>
  <c r="M93" i="13" s="1"/>
  <c r="N93" i="13" s="1"/>
  <c r="J106" i="13"/>
  <c r="K38" i="13"/>
  <c r="M38" i="13" s="1"/>
  <c r="N38" i="13" s="1"/>
  <c r="J38" i="13"/>
  <c r="J100" i="13"/>
  <c r="J62" i="13"/>
  <c r="K82" i="13"/>
  <c r="M82" i="13" s="1"/>
  <c r="N82" i="13" s="1"/>
  <c r="J59" i="13"/>
  <c r="J25" i="13"/>
  <c r="K91" i="13"/>
  <c r="M91" i="13" s="1"/>
  <c r="N91" i="13" s="1"/>
  <c r="K14" i="13"/>
  <c r="L14" i="13" s="1"/>
  <c r="M14" i="13" s="1"/>
  <c r="N14" i="13" s="1"/>
  <c r="S14" i="13" s="1"/>
  <c r="K17" i="13"/>
  <c r="L17" i="13" s="1"/>
  <c r="M17" i="13" s="1"/>
  <c r="N17" i="13" s="1"/>
  <c r="S17" i="13" s="1"/>
  <c r="J69" i="13"/>
  <c r="K107" i="13"/>
  <c r="M107" i="13" s="1"/>
  <c r="O107" i="13" s="1"/>
  <c r="J47" i="13"/>
  <c r="K16" i="13"/>
  <c r="L16" i="13" s="1"/>
  <c r="M16" i="13" s="1"/>
  <c r="N16" i="13" s="1"/>
  <c r="S16" i="13" s="1"/>
  <c r="K85" i="13"/>
  <c r="M85" i="13" s="1"/>
  <c r="O85" i="13" s="1"/>
  <c r="O104" i="13"/>
  <c r="K109" i="13"/>
  <c r="M109" i="13" s="1"/>
  <c r="O109" i="13" s="1"/>
  <c r="J88" i="13"/>
  <c r="K63" i="13"/>
  <c r="M63" i="13" s="1"/>
  <c r="O63" i="13" s="1"/>
  <c r="K15" i="13"/>
  <c r="L15" i="13" s="1"/>
  <c r="J37" i="13"/>
  <c r="K77" i="13"/>
  <c r="M77" i="13" s="1"/>
  <c r="N77" i="13" s="1"/>
  <c r="K44" i="13"/>
  <c r="M44" i="13" s="1"/>
  <c r="N44" i="13" s="1"/>
  <c r="N139" i="13" s="1"/>
  <c r="K90" i="13"/>
  <c r="M90" i="13" s="1"/>
  <c r="N90" i="13" s="1"/>
  <c r="N143" i="13" s="1"/>
  <c r="J64" i="13"/>
  <c r="J60" i="13"/>
  <c r="J23" i="13"/>
  <c r="J79" i="13"/>
  <c r="K114" i="13"/>
  <c r="M114" i="13" s="1"/>
  <c r="O114" i="13" s="1"/>
  <c r="J123" i="13"/>
  <c r="K70" i="13"/>
  <c r="M70" i="13" s="1"/>
  <c r="O70" i="13" s="1"/>
  <c r="J24" i="13"/>
  <c r="K67" i="13"/>
  <c r="M67" i="13" s="1"/>
  <c r="N67" i="13" s="1"/>
  <c r="N141" i="13" s="1"/>
  <c r="J50" i="13"/>
  <c r="J41" i="13"/>
  <c r="K58" i="13"/>
  <c r="M58" i="13" s="1"/>
  <c r="N58" i="13" s="1"/>
  <c r="K98" i="13"/>
  <c r="M98" i="13" s="1"/>
  <c r="N98" i="13" s="1"/>
  <c r="J101" i="13"/>
  <c r="J43" i="13"/>
  <c r="J71" i="13"/>
  <c r="J65" i="13"/>
  <c r="K131" i="13"/>
  <c r="M131" i="13" s="1"/>
  <c r="N131" i="13" s="1"/>
  <c r="S131" i="13" s="1"/>
  <c r="K76" i="13"/>
  <c r="M76" i="13" s="1"/>
  <c r="N76" i="13" s="1"/>
  <c r="J87" i="13"/>
  <c r="J117" i="13"/>
  <c r="K52" i="13"/>
  <c r="M52" i="13" s="1"/>
  <c r="O52" i="13" s="1"/>
  <c r="J74" i="13"/>
  <c r="J66" i="13"/>
  <c r="K133" i="13"/>
  <c r="M133" i="13" s="1"/>
  <c r="N133" i="13" s="1"/>
  <c r="S133" i="13" s="1"/>
  <c r="J97" i="13"/>
  <c r="J104" i="13"/>
  <c r="K124" i="13"/>
  <c r="M124" i="13" s="1"/>
  <c r="O124" i="13" s="1"/>
  <c r="K119" i="13"/>
  <c r="M119" i="13" s="1"/>
  <c r="N119" i="13" s="1"/>
  <c r="K22" i="13"/>
  <c r="L22" i="13" s="1"/>
  <c r="M22" i="13" s="1"/>
  <c r="N22" i="13" s="1"/>
  <c r="S22" i="13" s="1"/>
  <c r="K95" i="13"/>
  <c r="M95" i="13" s="1"/>
  <c r="O95" i="13" s="1"/>
  <c r="J96" i="13"/>
  <c r="K121" i="13"/>
  <c r="M121" i="13" s="1"/>
  <c r="N121" i="13" s="1"/>
  <c r="K136" i="13"/>
  <c r="M136" i="13" s="1"/>
  <c r="N136" i="13" s="1"/>
  <c r="S136" i="13" s="1"/>
  <c r="K75" i="13"/>
  <c r="M75" i="13" s="1"/>
  <c r="N75" i="13" s="1"/>
  <c r="J55" i="13"/>
  <c r="K94" i="13"/>
  <c r="M94" i="13" s="1"/>
  <c r="O94" i="13" s="1"/>
  <c r="K61" i="13"/>
  <c r="M61" i="13" s="1"/>
  <c r="N61" i="13" s="1"/>
  <c r="J21" i="13"/>
  <c r="K102" i="13"/>
  <c r="M102" i="13" s="1"/>
  <c r="O102" i="13" s="1"/>
  <c r="J48" i="13"/>
  <c r="K105" i="13"/>
  <c r="M105" i="13" s="1"/>
  <c r="O105" i="13" s="1"/>
  <c r="J127" i="13"/>
  <c r="J99" i="13"/>
  <c r="K99" i="13"/>
  <c r="M99" i="13" s="1"/>
  <c r="J134" i="13"/>
  <c r="K20" i="13"/>
  <c r="L20" i="13" s="1"/>
  <c r="M20" i="13" s="1"/>
  <c r="N20" i="13" s="1"/>
  <c r="S20" i="13" s="1"/>
  <c r="J54" i="13"/>
  <c r="K80" i="13"/>
  <c r="M80" i="13" s="1"/>
  <c r="N80" i="13" s="1"/>
  <c r="K49" i="13"/>
  <c r="M49" i="13" s="1"/>
  <c r="N49" i="13" s="1"/>
  <c r="J126" i="13"/>
  <c r="K39" i="13"/>
  <c r="M39" i="13" s="1"/>
  <c r="N39" i="13" s="1"/>
  <c r="K84" i="13"/>
  <c r="M84" i="13" s="1"/>
  <c r="O84" i="13" s="1"/>
  <c r="K92" i="13"/>
  <c r="M92" i="13" s="1"/>
  <c r="N92" i="13" s="1"/>
  <c r="K53" i="13"/>
  <c r="M53" i="13" s="1"/>
  <c r="O53" i="13" s="1"/>
  <c r="K56" i="13"/>
  <c r="M56" i="13" s="1"/>
  <c r="N56" i="13" s="1"/>
  <c r="K111" i="13"/>
  <c r="M111" i="13" s="1"/>
  <c r="O111" i="13" s="1"/>
  <c r="J125" i="13"/>
  <c r="K108" i="13"/>
  <c r="M108" i="13" s="1"/>
  <c r="N108" i="13" s="1"/>
  <c r="J18" i="13"/>
  <c r="K51" i="13"/>
  <c r="M51" i="13" s="1"/>
  <c r="O51" i="13" s="1"/>
  <c r="K72" i="13"/>
  <c r="M72" i="13" s="1"/>
  <c r="N72" i="13" s="1"/>
  <c r="O40" i="13"/>
  <c r="K42" i="13"/>
  <c r="M42" i="13" s="1"/>
  <c r="N42" i="13" s="1"/>
  <c r="K73" i="13"/>
  <c r="M73" i="13" s="1"/>
  <c r="O73" i="13" s="1"/>
  <c r="O127" i="13"/>
  <c r="O126" i="13"/>
  <c r="N126" i="13"/>
  <c r="O125" i="13"/>
  <c r="N125" i="13"/>
  <c r="S104" i="13"/>
  <c r="O54" i="13"/>
  <c r="N54" i="13"/>
  <c r="N43" i="13"/>
  <c r="O43" i="13"/>
  <c r="O66" i="13"/>
  <c r="N66" i="13"/>
  <c r="O110" i="13"/>
  <c r="N110" i="13"/>
  <c r="P24" i="13"/>
  <c r="Q24" i="13" s="1"/>
  <c r="O62" i="13"/>
  <c r="N62" i="13"/>
  <c r="O97" i="13"/>
  <c r="N97" i="13"/>
  <c r="O41" i="13"/>
  <c r="S41" i="13"/>
  <c r="O96" i="13"/>
  <c r="N96" i="13"/>
  <c r="P134" i="13"/>
  <c r="Q134" i="13" s="1"/>
  <c r="P48" i="13"/>
  <c r="Q48" i="13" s="1"/>
  <c r="O64" i="13"/>
  <c r="N64" i="13"/>
  <c r="O122" i="13"/>
  <c r="N122" i="13"/>
  <c r="N100" i="13"/>
  <c r="O100" i="13"/>
  <c r="P47" i="13"/>
  <c r="Q47" i="13" s="1"/>
  <c r="P60" i="13"/>
  <c r="Q60" i="13" s="1"/>
  <c r="O86" i="13"/>
  <c r="N86" i="13"/>
  <c r="O117" i="13"/>
  <c r="N117" i="13"/>
  <c r="O101" i="13"/>
  <c r="N101" i="13"/>
  <c r="O46" i="13"/>
  <c r="N46" i="13"/>
  <c r="O74" i="13"/>
  <c r="N74" i="13"/>
  <c r="O88" i="13"/>
  <c r="N88" i="13"/>
  <c r="P37" i="13"/>
  <c r="Q37" i="13" s="1"/>
  <c r="P23" i="13"/>
  <c r="Q23" i="13" s="1"/>
  <c r="O69" i="13"/>
  <c r="N69" i="13"/>
  <c r="O65" i="13"/>
  <c r="N65" i="13"/>
  <c r="O55" i="13"/>
  <c r="N55" i="13"/>
  <c r="N140" i="13" s="1"/>
  <c r="P21" i="13"/>
  <c r="Q21" i="13" s="1"/>
  <c r="P25" i="13"/>
  <c r="Q25" i="13" s="1"/>
  <c r="O71" i="13"/>
  <c r="N71" i="13"/>
  <c r="N103" i="13"/>
  <c r="O103" i="13"/>
  <c r="O50" i="13"/>
  <c r="N50" i="13"/>
  <c r="O106" i="13"/>
  <c r="N106" i="13"/>
  <c r="O79" i="13"/>
  <c r="N79" i="13"/>
  <c r="N142" i="13" s="1"/>
  <c r="O118" i="13"/>
  <c r="N118" i="13"/>
  <c r="N87" i="13"/>
  <c r="O87" i="13"/>
  <c r="J148" i="13" l="1"/>
  <c r="N144" i="13"/>
  <c r="S144" i="13" s="1"/>
  <c r="P145" i="13"/>
  <c r="Q145" i="13" s="1"/>
  <c r="S145" i="13"/>
  <c r="P13" i="13"/>
  <c r="Q13" i="13" s="1"/>
  <c r="S13" i="13"/>
  <c r="P12" i="13"/>
  <c r="Q12" i="13" s="1"/>
  <c r="S12" i="13"/>
  <c r="S11" i="13"/>
  <c r="P11" i="13"/>
  <c r="Q11" i="13" s="1"/>
  <c r="M15" i="13"/>
  <c r="N15" i="13" s="1"/>
  <c r="J27" i="13"/>
  <c r="J152" i="13" s="1"/>
  <c r="N33" i="13"/>
  <c r="N138" i="13" s="1"/>
  <c r="S34" i="13"/>
  <c r="P34" i="13"/>
  <c r="Q34" i="13" s="1"/>
  <c r="P45" i="13"/>
  <c r="Q45" i="13" s="1"/>
  <c r="S45" i="13"/>
  <c r="S143" i="13"/>
  <c r="P113" i="13"/>
  <c r="Q113" i="13" s="1"/>
  <c r="S113" i="13"/>
  <c r="P112" i="13"/>
  <c r="Q112" i="13" s="1"/>
  <c r="S112" i="13"/>
  <c r="Q89" i="13"/>
  <c r="S89" i="13"/>
  <c r="N78" i="13"/>
  <c r="P68" i="13"/>
  <c r="Q68" i="13" s="1"/>
  <c r="S68" i="13"/>
  <c r="P132" i="13"/>
  <c r="Q132" i="13" s="1"/>
  <c r="S59" i="13"/>
  <c r="S76" i="13"/>
  <c r="S35" i="13"/>
  <c r="S71" i="13"/>
  <c r="S88" i="13"/>
  <c r="S72" i="13"/>
  <c r="S49" i="13"/>
  <c r="S91" i="13"/>
  <c r="S81" i="13"/>
  <c r="S39" i="13"/>
  <c r="S118" i="13"/>
  <c r="P41" i="13"/>
  <c r="Q41" i="13" s="1"/>
  <c r="S119" i="13"/>
  <c r="S74" i="13"/>
  <c r="S97" i="13"/>
  <c r="S80" i="13"/>
  <c r="S36" i="13"/>
  <c r="S86" i="13"/>
  <c r="S108" i="13"/>
  <c r="S100" i="13"/>
  <c r="S61" i="13"/>
  <c r="S82" i="13"/>
  <c r="S46" i="13"/>
  <c r="S122" i="13"/>
  <c r="S62" i="13"/>
  <c r="P104" i="13"/>
  <c r="Q104" i="13" s="1"/>
  <c r="P115" i="13"/>
  <c r="Q115" i="13" s="1"/>
  <c r="S103" i="13"/>
  <c r="P128" i="13"/>
  <c r="Q128" i="13" s="1"/>
  <c r="S55" i="13"/>
  <c r="S106" i="13"/>
  <c r="S96" i="13"/>
  <c r="S56" i="13"/>
  <c r="S98" i="13"/>
  <c r="S50" i="13"/>
  <c r="S110" i="13"/>
  <c r="S58" i="13"/>
  <c r="S77" i="13"/>
  <c r="S101" i="13"/>
  <c r="S69" i="13"/>
  <c r="S117" i="13"/>
  <c r="S92" i="13"/>
  <c r="S66" i="13"/>
  <c r="S93" i="13"/>
  <c r="S87" i="13"/>
  <c r="N83" i="13"/>
  <c r="S140" i="13"/>
  <c r="P140" i="13"/>
  <c r="Q140" i="13" s="1"/>
  <c r="S141" i="13"/>
  <c r="P141" i="13"/>
  <c r="Q141" i="13" s="1"/>
  <c r="P144" i="13"/>
  <c r="Q144" i="13" s="1"/>
  <c r="S139" i="13"/>
  <c r="P139" i="13"/>
  <c r="Q139" i="13" s="1"/>
  <c r="P142" i="13"/>
  <c r="Q142" i="13" s="1"/>
  <c r="S142" i="13"/>
  <c r="O33" i="13"/>
  <c r="S137" i="13"/>
  <c r="P137" i="13"/>
  <c r="Q137" i="13" s="1"/>
  <c r="S128" i="13"/>
  <c r="S130" i="13"/>
  <c r="P130" i="13"/>
  <c r="Q130" i="13" s="1"/>
  <c r="P129" i="13"/>
  <c r="Q129" i="13" s="1"/>
  <c r="S129" i="13"/>
  <c r="S18" i="13"/>
  <c r="P18" i="13"/>
  <c r="Q18" i="13" s="1"/>
  <c r="O120" i="13"/>
  <c r="S44" i="13"/>
  <c r="S115" i="13"/>
  <c r="P81" i="13"/>
  <c r="Q81" i="13" s="1"/>
  <c r="S65" i="13"/>
  <c r="P65" i="13"/>
  <c r="Q65" i="13" s="1"/>
  <c r="S64" i="13"/>
  <c r="P64" i="13"/>
  <c r="Q64" i="13" s="1"/>
  <c r="S79" i="13"/>
  <c r="P79" i="13"/>
  <c r="Q79" i="13" s="1"/>
  <c r="S38" i="13"/>
  <c r="O38" i="13"/>
  <c r="P93" i="13"/>
  <c r="Q93" i="13" s="1"/>
  <c r="O67" i="13"/>
  <c r="O35" i="13"/>
  <c r="P35" i="13" s="1"/>
  <c r="P17" i="13"/>
  <c r="Q17" i="13" s="1"/>
  <c r="O91" i="13"/>
  <c r="N107" i="13"/>
  <c r="P16" i="13"/>
  <c r="Q16" i="13" s="1"/>
  <c r="N109" i="13"/>
  <c r="P14" i="13"/>
  <c r="Q14" i="13" s="1"/>
  <c r="P82" i="13"/>
  <c r="Q82" i="13" s="1"/>
  <c r="N63" i="13"/>
  <c r="N70" i="13"/>
  <c r="N85" i="13"/>
  <c r="P77" i="13"/>
  <c r="Q77" i="13" s="1"/>
  <c r="O44" i="13"/>
  <c r="O90" i="13"/>
  <c r="P90" i="13" s="1"/>
  <c r="N114" i="13"/>
  <c r="N124" i="13"/>
  <c r="O80" i="13"/>
  <c r="P125" i="13"/>
  <c r="Q125" i="13" s="1"/>
  <c r="P36" i="13"/>
  <c r="Q36" i="13" s="1"/>
  <c r="N52" i="13"/>
  <c r="N51" i="13"/>
  <c r="O58" i="13"/>
  <c r="O98" i="13"/>
  <c r="P131" i="13"/>
  <c r="Q131" i="13" s="1"/>
  <c r="P20" i="13"/>
  <c r="Q20" i="13" s="1"/>
  <c r="O119" i="13"/>
  <c r="P76" i="13"/>
  <c r="Q76" i="13" s="1"/>
  <c r="P133" i="13"/>
  <c r="Q133" i="13" s="1"/>
  <c r="N94" i="13"/>
  <c r="N53" i="13"/>
  <c r="N95" i="13"/>
  <c r="O49" i="13"/>
  <c r="P135" i="13"/>
  <c r="Q135" i="13" s="1"/>
  <c r="N111" i="13"/>
  <c r="O108" i="13"/>
  <c r="P22" i="13"/>
  <c r="Q22" i="13" s="1"/>
  <c r="O121" i="13"/>
  <c r="O72" i="13"/>
  <c r="N102" i="13"/>
  <c r="O56" i="13"/>
  <c r="S123" i="13"/>
  <c r="Q123" i="13"/>
  <c r="N73" i="13"/>
  <c r="S75" i="13"/>
  <c r="P136" i="13"/>
  <c r="Q136" i="13" s="1"/>
  <c r="O61" i="13"/>
  <c r="O75" i="13"/>
  <c r="P126" i="13"/>
  <c r="Q126" i="13" s="1"/>
  <c r="O39" i="13"/>
  <c r="N40" i="13"/>
  <c r="N99" i="13"/>
  <c r="O99" i="13"/>
  <c r="O42" i="13"/>
  <c r="N84" i="13"/>
  <c r="P92" i="13"/>
  <c r="Q92" i="13" s="1"/>
  <c r="N105" i="13"/>
  <c r="P127" i="13"/>
  <c r="Q127" i="13" s="1"/>
  <c r="S125" i="13"/>
  <c r="S126" i="13"/>
  <c r="S127" i="13"/>
  <c r="S120" i="13"/>
  <c r="S121" i="13"/>
  <c r="P54" i="13"/>
  <c r="Q54" i="13" s="1"/>
  <c r="S90" i="13"/>
  <c r="S54" i="13"/>
  <c r="P43" i="13"/>
  <c r="Q43" i="13" s="1"/>
  <c r="S43" i="13"/>
  <c r="S42" i="13"/>
  <c r="S67" i="13"/>
  <c r="P100" i="13"/>
  <c r="Q100" i="13" s="1"/>
  <c r="P62" i="13"/>
  <c r="Q62" i="13" s="1"/>
  <c r="P118" i="13"/>
  <c r="Q118" i="13" s="1"/>
  <c r="P50" i="13"/>
  <c r="Q50" i="13" s="1"/>
  <c r="P55" i="13"/>
  <c r="Q55" i="13" s="1"/>
  <c r="P74" i="13"/>
  <c r="Q74" i="13" s="1"/>
  <c r="P101" i="13"/>
  <c r="Q101" i="13" s="1"/>
  <c r="P122" i="13"/>
  <c r="Q122" i="13" s="1"/>
  <c r="P96" i="13"/>
  <c r="Q96" i="13" s="1"/>
  <c r="P97" i="13"/>
  <c r="Q97" i="13" s="1"/>
  <c r="P110" i="13"/>
  <c r="Q110" i="13" s="1"/>
  <c r="P66" i="13"/>
  <c r="Q66" i="13" s="1"/>
  <c r="P103" i="13"/>
  <c r="Q103" i="13" s="1"/>
  <c r="P87" i="13"/>
  <c r="Q87" i="13" s="1"/>
  <c r="P106" i="13"/>
  <c r="Q106" i="13" s="1"/>
  <c r="P71" i="13"/>
  <c r="Q71" i="13" s="1"/>
  <c r="P69" i="13"/>
  <c r="Q69" i="13" s="1"/>
  <c r="P88" i="13"/>
  <c r="Q88" i="13" s="1"/>
  <c r="P46" i="13"/>
  <c r="Q46" i="13" s="1"/>
  <c r="P117" i="13"/>
  <c r="Q117" i="13" s="1"/>
  <c r="P86" i="13"/>
  <c r="Q86" i="13" s="1"/>
  <c r="S33" i="13" l="1"/>
  <c r="S15" i="13"/>
  <c r="P15" i="13"/>
  <c r="Q15" i="13" s="1"/>
  <c r="O154" i="13"/>
  <c r="O156" i="13" s="1"/>
  <c r="N154" i="13"/>
  <c r="N156" i="13" s="1"/>
  <c r="P138" i="13"/>
  <c r="P33" i="13"/>
  <c r="P143" i="13"/>
  <c r="Q143" i="13" s="1"/>
  <c r="S78" i="13"/>
  <c r="P78" i="13"/>
  <c r="Q78" i="13" s="1"/>
  <c r="P57" i="13"/>
  <c r="Q57" i="13" s="1"/>
  <c r="S57" i="13"/>
  <c r="S51" i="13"/>
  <c r="S83" i="13"/>
  <c r="S84" i="13"/>
  <c r="S53" i="13"/>
  <c r="S63" i="13"/>
  <c r="P38" i="13"/>
  <c r="Q38" i="13" s="1"/>
  <c r="P120" i="13"/>
  <c r="Q120" i="13" s="1"/>
  <c r="P73" i="13"/>
  <c r="Q73" i="13" s="1"/>
  <c r="S94" i="13"/>
  <c r="P56" i="13"/>
  <c r="Q56" i="13" s="1"/>
  <c r="S102" i="13"/>
  <c r="P80" i="13"/>
  <c r="Q80" i="13" s="1"/>
  <c r="S109" i="13"/>
  <c r="S40" i="13"/>
  <c r="S124" i="13"/>
  <c r="S95" i="13"/>
  <c r="P72" i="13"/>
  <c r="Q72" i="13" s="1"/>
  <c r="P39" i="13"/>
  <c r="Q39" i="13" s="1"/>
  <c r="P121" i="13"/>
  <c r="Q121" i="13" s="1"/>
  <c r="P119" i="13"/>
  <c r="Q119" i="13" s="1"/>
  <c r="S114" i="13"/>
  <c r="S107" i="13"/>
  <c r="P91" i="13"/>
  <c r="Q91" i="13" s="1"/>
  <c r="P75" i="13"/>
  <c r="Q75" i="13" s="1"/>
  <c r="P108" i="13"/>
  <c r="Q108" i="13" s="1"/>
  <c r="S70" i="13"/>
  <c r="P42" i="13"/>
  <c r="Q42" i="13" s="1"/>
  <c r="Q90" i="13"/>
  <c r="P61" i="13"/>
  <c r="Q61" i="13" s="1"/>
  <c r="P111" i="13"/>
  <c r="Q111" i="13" s="1"/>
  <c r="P98" i="13"/>
  <c r="Q98" i="13" s="1"/>
  <c r="S105" i="13"/>
  <c r="P49" i="13"/>
  <c r="Q49" i="13" s="1"/>
  <c r="P58" i="13"/>
  <c r="Q58" i="13" s="1"/>
  <c r="S85" i="13"/>
  <c r="P67" i="13"/>
  <c r="Q67" i="13" s="1"/>
  <c r="P83" i="13"/>
  <c r="Q83" i="13" s="1"/>
  <c r="P107" i="13"/>
  <c r="Q107" i="13" s="1"/>
  <c r="P44" i="13"/>
  <c r="Q44" i="13" s="1"/>
  <c r="S52" i="13"/>
  <c r="P52" i="13"/>
  <c r="Q52" i="13" s="1"/>
  <c r="P85" i="13"/>
  <c r="Q85" i="13" s="1"/>
  <c r="P51" i="13"/>
  <c r="Q51" i="13" s="1"/>
  <c r="P109" i="13"/>
  <c r="Q109" i="13" s="1"/>
  <c r="P70" i="13"/>
  <c r="Q70" i="13" s="1"/>
  <c r="P63" i="13"/>
  <c r="Q63" i="13" s="1"/>
  <c r="P114" i="13"/>
  <c r="Q114" i="13" s="1"/>
  <c r="P124" i="13"/>
  <c r="Q124" i="13" s="1"/>
  <c r="P95" i="13"/>
  <c r="Q95" i="13" s="1"/>
  <c r="P53" i="13"/>
  <c r="Q53" i="13" s="1"/>
  <c r="P94" i="13"/>
  <c r="Q94" i="13" s="1"/>
  <c r="S111" i="13"/>
  <c r="P102" i="13"/>
  <c r="Q102" i="13" s="1"/>
  <c r="P40" i="13"/>
  <c r="Q40" i="13" s="1"/>
  <c r="S73" i="13"/>
  <c r="P84" i="13"/>
  <c r="Q84" i="13" s="1"/>
  <c r="P99" i="13"/>
  <c r="Q99" i="13" s="1"/>
  <c r="S99" i="13"/>
  <c r="P105" i="13"/>
  <c r="Q105" i="13" s="1"/>
  <c r="Q138" i="13" l="1"/>
  <c r="P148" i="13"/>
  <c r="Q150" i="13" s="1"/>
  <c r="P27" i="13"/>
  <c r="P29" i="13" s="1"/>
  <c r="Q29" i="13"/>
  <c r="S138" i="13"/>
  <c r="Q33" i="13"/>
  <c r="P154" i="13"/>
  <c r="P156" i="13" s="1"/>
  <c r="Q35" i="13"/>
  <c r="Q148" i="13" l="1"/>
  <c r="Q7" i="13" s="1"/>
  <c r="H32" i="6" s="1"/>
  <c r="Q154" i="13"/>
  <c r="Q156" i="13" s="1"/>
  <c r="P7" i="13"/>
  <c r="H34" i="6" l="1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Amber Jones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are from GRC 6/1/2021</t>
        </r>
      </text>
    </comment>
    <comment ref="A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Residential rates </t>
        </r>
        <r>
          <rPr>
            <sz val="9"/>
            <color indexed="81"/>
            <rFont val="Tahoma"/>
            <family val="2"/>
          </rPr>
          <t>- last filed in 1/1/23 disposal filing   TG-220850</t>
        </r>
        <r>
          <rPr>
            <b/>
            <sz val="9"/>
            <color indexed="81"/>
            <rFont val="Tahoma"/>
            <family val="2"/>
          </rPr>
          <t xml:space="preserve">
Commercial rates </t>
        </r>
        <r>
          <rPr>
            <sz val="9"/>
            <color indexed="81"/>
            <rFont val="Tahoma"/>
            <family val="2"/>
          </rPr>
          <t xml:space="preserve">- last filed in 8/1/23 disposal filing TG-230484
</t>
        </r>
      </text>
    </comment>
    <comment ref="B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
Worksheet:  2020 12-31 SSC Pro Forma - FINAL - APPROVED
RDS Summary tab &gt; Cell N23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F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Worksheet - 2020 12-31 SSC Pro Forma - FINAL - APPROVED
RDS Summary tab &gt; Cell  Q23</t>
        </r>
      </text>
    </comment>
    <comment ref="G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C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SAC:As of 1/1/2024</t>
        </r>
        <r>
          <rPr>
            <sz val="9"/>
            <color indexed="81"/>
            <rFont val="Tahoma"/>
            <family val="2"/>
          </rPr>
          <t xml:space="preserve">
RDS After tax rate = 118.04 + 14.0% tax = $134.57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SAC:As of 1/1/2024</t>
        </r>
        <r>
          <rPr>
            <sz val="9"/>
            <color indexed="81"/>
            <rFont val="Tahoma"/>
            <family val="2"/>
          </rPr>
          <t xml:space="preserve">
RDS After tax rate = 118.04 + 14.0% tax = $134.57</t>
        </r>
      </text>
    </comment>
    <comment ref="B19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TG-210251</t>
        </r>
      </text>
    </comment>
    <comment ref="B20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TG-210251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Sharbono, Benjamin (UTC)</author>
  </authors>
  <commentList>
    <comment ref="A4" authorId="0" shapeId="0" xr:uid="{70CE7BC3-755C-49C3-8075-7413A6730F72}">
      <text>
        <r>
          <rPr>
            <b/>
            <sz val="9"/>
            <color indexed="81"/>
            <rFont val="Tahoma"/>
            <family val="2"/>
          </rPr>
          <t xml:space="preserve">Residential rates </t>
        </r>
        <r>
          <rPr>
            <sz val="9"/>
            <color indexed="81"/>
            <rFont val="Tahoma"/>
            <family val="2"/>
          </rPr>
          <t>- last filed in 1/1/23 disposal filing   TG-220850</t>
        </r>
        <r>
          <rPr>
            <b/>
            <sz val="9"/>
            <color indexed="81"/>
            <rFont val="Tahoma"/>
            <family val="2"/>
          </rPr>
          <t xml:space="preserve">
Commercial rates </t>
        </r>
        <r>
          <rPr>
            <sz val="9"/>
            <color indexed="81"/>
            <rFont val="Tahoma"/>
            <family val="2"/>
          </rPr>
          <t xml:space="preserve">- last filed in 8/1/23 disposal filing TG-230484
</t>
        </r>
      </text>
    </commen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M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B&amp;O  =0.0175
UTC  = 0.0051</t>
        </r>
      </text>
    </comment>
    <comment ref="B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3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8/1/23 Republic Increase. TG-230484</t>
        </r>
      </text>
    </comment>
    <comment ref="D31" authorId="0" shapeId="0" xr:uid="{766919B9-B376-4651-89DB-8AFD895AA130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8/1/23 Republic Increase. TG-230484</t>
        </r>
      </text>
    </comment>
    <comment ref="F3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Meeks weight for 1 YD compactor</t>
        </r>
      </text>
    </comment>
    <comment ref="C36" authorId="0" shapeId="0" xr:uid="{8ACD3A97-D8C4-4D91-A075-C5903F0113FE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rounding - Item 105 1 yard additional pick up + 23.08 = XXX</t>
        </r>
      </text>
    </comment>
    <comment ref="A1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8/1/2021 just for over fill rates.  Unlikely to ever have due to weight</t>
        </r>
      </text>
    </comment>
    <comment ref="A12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2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207</t>
        </r>
      </text>
    </comment>
    <comment ref="C138" authorId="0" shapeId="0" xr:uid="{EB9E051C-E6C1-4270-B1E8-93A7A25F6308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N138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A145" authorId="0" shapeId="0" xr:uid="{4214509E-DCBA-4C44-B9D4-80A4AA5A100D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 SC-CS0045X1 
Added on 8/1/2023 Filing.</t>
        </r>
      </text>
    </comment>
    <comment ref="B145" authorId="0" shapeId="0" xr:uid="{A89816B1-616D-4586-A412-CFAF30A848A2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Miscellaneous Item</t>
        </r>
      </text>
    </comment>
  </commentList>
</comments>
</file>

<file path=xl/sharedStrings.xml><?xml version="1.0" encoding="utf-8"?>
<sst xmlns="http://schemas.openxmlformats.org/spreadsheetml/2006/main" count="246" uniqueCount="208">
  <si>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</si>
  <si>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</si>
  <si>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</si>
  <si>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</si>
  <si>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</si>
  <si>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</si>
  <si>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</si>
  <si>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</si>
  <si>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</si>
  <si>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</si>
  <si>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</si>
  <si>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</si>
  <si>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</si>
  <si>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</si>
  <si>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</si>
  <si>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</si>
  <si>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</si>
  <si>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</si>
  <si>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</si>
  <si>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</si>
  <si>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</si>
  <si>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</si>
  <si>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</si>
  <si>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</si>
  <si>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</si>
  <si>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</si>
  <si>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</si>
  <si>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</si>
  <si>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</si>
  <si>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</si>
  <si>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</si>
  <si>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</si>
  <si>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</si>
  <si>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</si>
  <si>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</si>
  <si>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</si>
  <si>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</si>
  <si>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</si>
  <si>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</si>
  <si>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</si>
  <si>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</si>
  <si>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</si>
  <si>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</si>
  <si>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</si>
  <si>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</si>
  <si>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</si>
  <si>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</si>
  <si>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</si>
  <si>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</si>
  <si>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</si>
  <si>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</si>
  <si>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</si>
  <si>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</si>
  <si>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</si>
  <si>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</si>
  <si>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</si>
  <si>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</si>
  <si>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</si>
  <si>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</si>
  <si>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</si>
  <si>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</si>
  <si>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</si>
  <si>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</si>
  <si>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</si>
  <si>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</si>
  <si>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</si>
  <si>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</si>
  <si>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</si>
  <si>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</si>
  <si>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</si>
  <si>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</si>
  <si>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</si>
  <si>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</si>
  <si>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</si>
  <si>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</si>
  <si>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</si>
  <si>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</si>
  <si>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</si>
  <si>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</si>
  <si>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</si>
  <si>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</si>
  <si>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</si>
  <si>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</si>
  <si>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</si>
  <si>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</si>
  <si>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</si>
  <si>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</si>
  <si>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</si>
  <si>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</si>
  <si>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</si>
  <si>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</si>
  <si>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</si>
  <si>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</si>
  <si>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</si>
  <si>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</si>
  <si>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</si>
  <si>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</si>
  <si>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</si>
  <si>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</si>
  <si>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</si>
  <si>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</si>
  <si>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</si>
  <si>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</si>
  <si>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</si>
  <si>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</si>
  <si>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</si>
  <si>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</si>
  <si>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</si>
  <si>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</si>
  <si>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</si>
  <si>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</si>
  <si>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</si>
  <si>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</si>
  <si>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</si>
  <si>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</si>
  <si>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</si>
  <si>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</si>
  <si>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</si>
  <si>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</si>
  <si>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Proposed</t>
  </si>
  <si>
    <t>Gross Up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</si>
  <si>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</si>
  <si>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</si>
  <si>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</si>
  <si>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</si>
  <si>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</si>
  <si>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</si>
  <si>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</si>
  <si>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</si>
  <si>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</si>
  <si>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</si>
  <si>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</si>
  <si>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</si>
  <si>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</si>
  <si>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</si>
  <si>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</si>
  <si>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</si>
  <si>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</si>
  <si>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</si>
  <si>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</si>
  <si>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</si>
  <si>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</si>
  <si>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</si>
  <si>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</si>
  <si>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</si>
  <si>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</si>
  <si>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</si>
  <si>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</si>
  <si>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</si>
  <si>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</si>
  <si>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</si>
  <si>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</si>
  <si>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</si>
  <si>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</si>
  <si>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</si>
  <si>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</si>
  <si>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</si>
  <si>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</si>
  <si>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</si>
  <si>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</si>
  <si>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</si>
  <si>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</si>
  <si>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</si>
  <si>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</si>
  <si>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</si>
  <si>
    <t>1 YD COMPACTOR WEEKLY X 1</t>
  </si>
  <si>
    <t>TG-210251</t>
  </si>
  <si>
    <t>TOTAL RESIDENTIAL &amp; COMMERCIAL</t>
  </si>
  <si>
    <t>Extra Can - 32 Gallon</t>
  </si>
  <si>
    <t>Extra - 60 Gallon</t>
  </si>
  <si>
    <t>Extra - 90 Gallon</t>
  </si>
  <si>
    <t>1 yard overfilled</t>
  </si>
  <si>
    <t>1.5 yard overfilled</t>
  </si>
  <si>
    <t>2 yard overfilled</t>
  </si>
  <si>
    <t>3 yard overfilled</t>
  </si>
  <si>
    <t>4 yard overfilled</t>
  </si>
  <si>
    <t>6 yard overfilled</t>
  </si>
  <si>
    <t>8 yard overfillled</t>
  </si>
  <si>
    <t>Extra Can - 32 gallon</t>
  </si>
  <si>
    <t>Extra Can - 60 gallon</t>
  </si>
  <si>
    <t>Extra Can - 90 gallon</t>
  </si>
  <si>
    <t>2 YD COMPACT TEMP HAUL</t>
  </si>
  <si>
    <t>4 YD COMPACT TEMP HAUL</t>
  </si>
  <si>
    <t>3 YD COMPACT TEMP HAUL</t>
  </si>
  <si>
    <t>6 YD COMPACT TEMP HAUL</t>
  </si>
  <si>
    <t>8 YD COMPACT WEEKLY X 1</t>
  </si>
  <si>
    <t>8 YD COMPACT TEMP HAUL</t>
  </si>
  <si>
    <t>Copy and paste values here from column s</t>
  </si>
  <si>
    <t>then filter for high and low to use in transmittal letter</t>
  </si>
  <si>
    <t>1 YD COMPACT TEMP HAUL</t>
  </si>
  <si>
    <t>1.5 YD COMPACT TEMP HAUL</t>
  </si>
  <si>
    <t>From WUTC Tariff pages in excel</t>
  </si>
  <si>
    <t>RDS - Tribal Packer</t>
  </si>
  <si>
    <t>Range of Percentage increases used in Transmittal letter</t>
  </si>
  <si>
    <t>RDS - Tons reported in TG-210251</t>
  </si>
  <si>
    <t>RDS - Disposal Fee Increase</t>
  </si>
  <si>
    <t>RDS -Disposal Fee Increase</t>
  </si>
  <si>
    <t>Residential</t>
  </si>
  <si>
    <t>Commercial</t>
  </si>
  <si>
    <t>Sanitary Service Company, Inc. (SSC)</t>
  </si>
  <si>
    <t>1.03 to 2.43</t>
  </si>
  <si>
    <t>Effective 1-1-2024</t>
  </si>
  <si>
    <t>RDS - Rates Reported in TG-220850 &amp; TG-230484</t>
  </si>
  <si>
    <t>Proforma Tons From TG-210251, Rate from TG-220850</t>
  </si>
  <si>
    <t>TG-220850</t>
  </si>
  <si>
    <t>TG-230484</t>
  </si>
  <si>
    <t>Litter Cans X 1</t>
  </si>
  <si>
    <t>0.62 to 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</si>
</sst>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EBE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205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5" xfId="1" applyNumberFormat="1" applyFont="1" applyBorder="1"/>
    <xf numFmtId="165" fontId="5" fillId="0" borderId="0" xfId="0" applyNumberFormat="1" applyFont="1"/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0" fontId="6" fillId="0" borderId="0" xfId="3" applyFont="1">
      <alignment vertical="top"/>
    </xf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0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4" xfId="2" applyNumberFormat="1" applyFont="1" applyFill="1" applyBorder="1"/>
    <xf numFmtId="43" fontId="5" fillId="0" borderId="14" xfId="0" applyNumberFormat="1" applyFont="1" applyFill="1" applyBorder="1"/>
    <xf numFmtId="0" fontId="5" fillId="0" borderId="14" xfId="0" applyFont="1" applyFill="1" applyBorder="1"/>
    <xf numFmtId="164" fontId="11" fillId="0" borderId="15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6" xfId="1" applyFont="1" applyFill="1" applyBorder="1" applyAlignment="1">
      <alignment horizontal="center"/>
    </xf>
    <xf numFmtId="44" fontId="5" fillId="0" borderId="18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7" xfId="0" applyNumberFormat="1" applyFont="1" applyBorder="1"/>
    <xf numFmtId="0" fontId="5" fillId="0" borderId="19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0" fontId="5" fillId="0" borderId="12" xfId="0" applyFont="1" applyFill="1" applyBorder="1"/>
    <xf numFmtId="0" fontId="11" fillId="0" borderId="0" xfId="0" applyFont="1" applyFill="1" applyAlignment="1">
      <alignment horizontal="center"/>
    </xf>
    <xf numFmtId="165" fontId="11" fillId="0" borderId="18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43" fontId="7" fillId="0" borderId="21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43" fontId="5" fillId="0" borderId="16" xfId="1" applyFont="1" applyFill="1" applyBorder="1"/>
    <xf numFmtId="0" fontId="5" fillId="0" borderId="23" xfId="0" applyFont="1" applyBorder="1"/>
    <xf numFmtId="0" fontId="11" fillId="0" borderId="24" xfId="0" applyFont="1" applyBorder="1" applyAlignment="1">
      <alignment horizontal="right"/>
    </xf>
    <xf numFmtId="0" fontId="5" fillId="0" borderId="24" xfId="0" applyFont="1" applyBorder="1"/>
    <xf numFmtId="43" fontId="6" fillId="0" borderId="21" xfId="1" applyFont="1" applyBorder="1" applyAlignment="1">
      <alignment vertical="top"/>
    </xf>
    <xf numFmtId="43" fontId="5" fillId="0" borderId="21" xfId="1" applyFont="1" applyBorder="1"/>
    <xf numFmtId="43" fontId="11" fillId="0" borderId="15" xfId="1" applyFont="1" applyBorder="1"/>
    <xf numFmtId="43" fontId="11" fillId="6" borderId="3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43" fontId="13" fillId="0" borderId="0" xfId="1" applyFont="1" applyFill="1" applyBorder="1" applyAlignment="1">
      <alignment vertical="center"/>
    </xf>
    <xf numFmtId="0" fontId="0" fillId="0" borderId="0" xfId="0" applyNumberFormat="1" applyFont="1"/>
    <xf numFmtId="10" fontId="5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top"/>
    </xf>
    <xf numFmtId="10" fontId="5" fillId="0" borderId="1" xfId="4" applyNumberFormat="1" applyFont="1" applyBorder="1"/>
    <xf numFmtId="0" fontId="5" fillId="0" borderId="1" xfId="0" applyFont="1" applyFill="1" applyBorder="1"/>
    <xf numFmtId="43" fontId="5" fillId="0" borderId="1" xfId="1" applyFont="1" applyFill="1" applyBorder="1"/>
    <xf numFmtId="0" fontId="16" fillId="0" borderId="0" xfId="0" applyFont="1" applyAlignment="1">
      <alignment horizontal="center"/>
    </xf>
    <xf numFmtId="165" fontId="11" fillId="0" borderId="24" xfId="0" applyNumberFormat="1" applyFont="1" applyBorder="1"/>
    <xf numFmtId="165" fontId="11" fillId="0" borderId="20" xfId="0" applyNumberFormat="1" applyFont="1" applyBorder="1"/>
    <xf numFmtId="0" fontId="13" fillId="11" borderId="0" xfId="0" applyFont="1" applyFill="1" applyBorder="1" applyAlignment="1">
      <alignment vertical="center"/>
    </xf>
    <xf numFmtId="43" fontId="13" fillId="11" borderId="0" xfId="1" applyFont="1" applyFill="1" applyBorder="1" applyAlignment="1">
      <alignment vertical="center"/>
    </xf>
    <xf numFmtId="43" fontId="7" fillId="11" borderId="0" xfId="1" applyFont="1" applyFill="1" applyBorder="1" applyAlignment="1">
      <alignment vertical="top"/>
    </xf>
    <xf numFmtId="165" fontId="5" fillId="11" borderId="0" xfId="1" applyNumberFormat="1" applyFont="1" applyFill="1"/>
    <xf numFmtId="165" fontId="7" fillId="11" borderId="0" xfId="1" applyNumberFormat="1" applyFont="1" applyFill="1" applyBorder="1" applyAlignment="1">
      <alignment vertical="top"/>
    </xf>
    <xf numFmtId="43" fontId="5" fillId="11" borderId="0" xfId="0" applyNumberFormat="1" applyFont="1" applyFill="1"/>
    <xf numFmtId="43" fontId="5" fillId="11" borderId="0" xfId="1" applyFont="1" applyFill="1"/>
    <xf numFmtId="0" fontId="5" fillId="11" borderId="0" xfId="0" applyFont="1" applyFill="1"/>
    <xf numFmtId="43" fontId="7" fillId="11" borderId="0" xfId="3" applyNumberFormat="1" applyFont="1" applyFill="1" applyBorder="1">
      <alignment vertical="top"/>
    </xf>
    <xf numFmtId="0" fontId="17" fillId="12" borderId="0" xfId="0" applyFont="1" applyFill="1" applyAlignment="1">
      <alignment vertical="top"/>
    </xf>
    <xf numFmtId="0" fontId="0" fillId="11" borderId="0" xfId="0" applyFill="1" applyAlignment="1">
      <alignment vertical="top"/>
    </xf>
    <xf numFmtId="165" fontId="5" fillId="11" borderId="0" xfId="1" applyNumberFormat="1" applyFont="1" applyFill="1" applyBorder="1"/>
    <xf numFmtId="0" fontId="7" fillId="11" borderId="0" xfId="3" applyFont="1" applyFill="1" applyBorder="1">
      <alignment vertical="top"/>
    </xf>
    <xf numFmtId="0" fontId="17" fillId="11" borderId="0" xfId="0" applyFont="1" applyFill="1" applyAlignment="1">
      <alignment vertical="top"/>
    </xf>
    <xf numFmtId="0" fontId="2" fillId="0" borderId="0" xfId="0" applyFont="1"/>
    <xf numFmtId="164" fontId="7" fillId="14" borderId="15" xfId="3" applyNumberFormat="1" applyFont="1" applyFill="1" applyBorder="1">
      <alignment vertical="top"/>
    </xf>
    <xf numFmtId="10" fontId="5" fillId="0" borderId="0" xfId="0" applyNumberFormat="1" applyFont="1" applyFill="1" applyBorder="1"/>
    <xf numFmtId="0" fontId="13" fillId="4" borderId="0" xfId="0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7" fillId="4" borderId="0" xfId="3" applyNumberFormat="1" applyFont="1" applyFill="1" applyBorder="1">
      <alignment vertical="top"/>
    </xf>
    <xf numFmtId="43" fontId="7" fillId="4" borderId="0" xfId="1" applyFont="1" applyFill="1" applyBorder="1" applyAlignment="1">
      <alignment vertical="top"/>
    </xf>
    <xf numFmtId="165" fontId="5" fillId="4" borderId="0" xfId="1" applyNumberFormat="1" applyFont="1" applyFill="1"/>
    <xf numFmtId="165" fontId="7" fillId="4" borderId="0" xfId="1" applyNumberFormat="1" applyFont="1" applyFill="1" applyBorder="1" applyAlignment="1">
      <alignment vertical="top"/>
    </xf>
    <xf numFmtId="43" fontId="5" fillId="4" borderId="0" xfId="0" applyNumberFormat="1" applyFont="1" applyFill="1"/>
    <xf numFmtId="43" fontId="5" fillId="4" borderId="0" xfId="1" applyFont="1" applyFill="1"/>
    <xf numFmtId="0" fontId="5" fillId="4" borderId="0" xfId="0" applyFont="1" applyFill="1"/>
    <xf numFmtId="10" fontId="5" fillId="13" borderId="0" xfId="4" applyNumberFormat="1" applyFont="1" applyFill="1"/>
    <xf numFmtId="0" fontId="4" fillId="0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  <xf numFmtId="10" fontId="5" fillId="4" borderId="0" xfId="4" applyNumberFormat="1" applyFont="1" applyFill="1"/>
    <xf numFmtId="0" fontId="11" fillId="4" borderId="0" xfId="0" applyFont="1" applyFill="1"/>
    <xf numFmtId="0" fontId="2" fillId="4" borderId="0" xfId="0" applyFont="1" applyFill="1"/>
    <xf numFmtId="0" fontId="18" fillId="15" borderId="0" xfId="0" applyFont="1" applyFill="1" applyAlignment="1">
      <alignment horizontal="right"/>
    </xf>
    <xf numFmtId="43" fontId="5" fillId="15" borderId="0" xfId="1" applyFont="1" applyFill="1"/>
    <xf numFmtId="0" fontId="5" fillId="15" borderId="0" xfId="0" applyFont="1" applyFill="1"/>
    <xf numFmtId="43" fontId="5" fillId="15" borderId="0" xfId="1" applyFont="1" applyFill="1" applyBorder="1"/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0" fontId="5" fillId="15" borderId="0" xfId="4" applyNumberFormat="1" applyFont="1" applyFill="1"/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F8FEB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470647</xdr:colOff>
      <xdr:row>16</xdr:row>
      <xdr:rowOff>67235</xdr:rowOff>
    </xdr:from>
    <xdr:to>
      <xdr:col>10</xdr:col>
      <xdr:colOff>369793</xdr:colOff>
      <xdr:row>21</xdr:row>
      <xdr:rowOff>89647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7C7183-97E9-4F81-ACE9-43B4DD69D65B}"/>
            </a:ext>
          </a:extLst>
        </xdr:cNvPr>
        <xdr:cNvSpPr txBox="1"/>
      </xdr:nvSpPr>
      <xdr:spPr>
        <a:xfrm>
          <a:off x="9031941" y="3115235"/>
          <a:ext cx="1445558" cy="997324"/>
        </a:xfrm>
        <a:prstGeom prst="rect">
          <a:avLst/>
        </a:prstGeom>
        <a:solidFill>
          <a:srgbClr val="F8FE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rgbClr val="FF0000"/>
              </a:solidFill>
            </a:rPr>
            <a:t>Gross Up for Taxes - </a:t>
          </a:r>
        </a:p>
        <a:p>
          <a:r>
            <a:rPr lang="en-US" sz="1100">
              <a:solidFill>
                <a:srgbClr val="FF0000"/>
              </a:solidFill>
            </a:rPr>
            <a:t>B&amp;O  =0.0175</a:t>
          </a:r>
        </a:p>
        <a:p>
          <a:r>
            <a:rPr lang="en-US" sz="1100">
              <a:solidFill>
                <a:srgbClr val="FF0000"/>
              </a:solidFill>
            </a:rPr>
            <a:t>UTC  = 0.0051</a:t>
          </a:r>
        </a:p>
        <a:p>
          <a:r>
            <a:rPr lang="en-US" sz="1100">
              <a:solidFill>
                <a:srgbClr val="FF0000"/>
              </a:solidFill>
            </a:rPr>
            <a:t>Total = .0226</a:t>
          </a:r>
        </a:p>
        <a:p>
          <a:r>
            <a:rPr lang="en-US" sz="1100">
              <a:solidFill>
                <a:srgbClr val="FF0000"/>
              </a:solidFill>
            </a:rPr>
            <a:t>1 less .0226 = .9774</a:t>
          </a: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5"/>
  <sheetViews>
    <sheetView tabSelected="1" zoomScale="85" zoomScaleNormal="85" workbookViewId="0">
      <selection activeCell="C37" sqref="C37"/>
    </sheetView>
  </sheetViews>
  <sheetFormatPr defaultColWidth="8.85546875" defaultRowHeight="15" x14ac:dyDescent="0.25"/>
  <cols>
    <col min="1" max="1" width="6.85546875" style="2" customWidth="1"/>
    <col min="2" max="2" width="27.5703125" style="19" customWidth="1"/>
    <col min="3" max="3" width="23.5703125" style="19" customWidth="1"/>
    <col min="4" max="4" width="16.85546875" style="19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4" customWidth="1"/>
    <col min="19" max="16384" width="8.85546875" style="2"/>
  </cols>
  <sheetData>
    <row r="1" spans="1:18" x14ac:dyDescent="0.25">
      <c r="A1" s="116" t="s">
        <v>143</v>
      </c>
    </row>
    <row r="2" spans="1:18" x14ac:dyDescent="0.25">
      <c r="A2" s="116" t="s">
        <v>196</v>
      </c>
    </row>
    <row r="3" spans="1:18" x14ac:dyDescent="0.25">
      <c r="A3" s="116" t="s">
        <v>194</v>
      </c>
    </row>
    <row r="4" spans="1:18" x14ac:dyDescent="0.25">
      <c r="A4" s="116" t="s">
        <v>202</v>
      </c>
    </row>
    <row r="5" spans="1:18" x14ac:dyDescent="0.25">
      <c r="A5" s="116" t="s">
        <v>201</v>
      </c>
      <c r="G5" s="19"/>
      <c r="H5" s="19"/>
      <c r="K5" s="195"/>
      <c r="L5" s="195"/>
      <c r="M5" s="195"/>
      <c r="N5" s="195"/>
    </row>
    <row r="6" spans="1:18" s="19" customFormat="1" x14ac:dyDescent="0.25">
      <c r="C6" s="186"/>
      <c r="E6" s="5"/>
      <c r="G6" s="186"/>
      <c r="K6" s="25"/>
      <c r="L6" s="25"/>
      <c r="M6" s="25"/>
      <c r="N6" s="25"/>
      <c r="O6" s="25"/>
      <c r="R6" s="25"/>
    </row>
    <row r="7" spans="1:18" x14ac:dyDescent="0.25">
      <c r="B7" s="200" t="s">
        <v>203</v>
      </c>
      <c r="C7" s="200"/>
      <c r="D7" s="200"/>
      <c r="F7" s="200" t="s">
        <v>203</v>
      </c>
      <c r="G7" s="200"/>
      <c r="H7" s="200"/>
      <c r="K7" s="32"/>
      <c r="L7" s="32"/>
      <c r="M7" s="31"/>
      <c r="N7" s="29"/>
      <c r="O7" s="24"/>
    </row>
    <row r="8" spans="1:18" x14ac:dyDescent="0.25">
      <c r="B8" s="197" t="s">
        <v>192</v>
      </c>
      <c r="C8" s="197"/>
      <c r="D8" s="197"/>
      <c r="E8" s="6"/>
      <c r="F8" s="197" t="s">
        <v>3</v>
      </c>
      <c r="G8" s="197"/>
      <c r="H8" s="197"/>
      <c r="K8" s="32"/>
      <c r="L8" s="32"/>
      <c r="M8" s="32"/>
      <c r="N8" s="29"/>
      <c r="O8" s="24"/>
    </row>
    <row r="9" spans="1:18" x14ac:dyDescent="0.25">
      <c r="B9" s="113" t="s">
        <v>0</v>
      </c>
      <c r="C9" s="113" t="s">
        <v>1</v>
      </c>
      <c r="D9" s="113" t="s">
        <v>2</v>
      </c>
      <c r="E9" s="6"/>
      <c r="F9" s="113" t="s">
        <v>0</v>
      </c>
      <c r="G9" s="113" t="s">
        <v>1</v>
      </c>
      <c r="H9" s="113" t="s">
        <v>2</v>
      </c>
      <c r="K9" s="32"/>
      <c r="L9" s="33"/>
      <c r="M9" s="33"/>
      <c r="N9" s="29"/>
      <c r="O9" s="24"/>
    </row>
    <row r="10" spans="1:18" x14ac:dyDescent="0.25">
      <c r="B10" s="9">
        <v>1379.66</v>
      </c>
      <c r="C10" s="10">
        <v>128.24</v>
      </c>
      <c r="D10" s="11">
        <f>B10*C10</f>
        <v>176927.59840000002</v>
      </c>
      <c r="E10" s="2"/>
      <c r="F10" s="9">
        <v>26653.39</v>
      </c>
      <c r="G10" s="10">
        <v>128.24</v>
      </c>
      <c r="H10" s="11">
        <f>F10*G10</f>
        <v>3418030.7336000004</v>
      </c>
      <c r="I10" s="1"/>
      <c r="J10" s="1"/>
    </row>
    <row r="11" spans="1:18" x14ac:dyDescent="0.25">
      <c r="B11" s="80"/>
      <c r="C11" s="84"/>
      <c r="D11" s="12"/>
      <c r="E11" s="19"/>
      <c r="F11" s="80"/>
      <c r="G11" s="84"/>
      <c r="H11" s="12"/>
      <c r="I11" s="1"/>
      <c r="J11" s="1"/>
    </row>
    <row r="12" spans="1:18" x14ac:dyDescent="0.25">
      <c r="B12" s="201" t="s">
        <v>119</v>
      </c>
      <c r="C12" s="201"/>
      <c r="D12" s="201"/>
      <c r="E12" s="2"/>
      <c r="F12" s="201" t="s">
        <v>119</v>
      </c>
      <c r="G12" s="201"/>
      <c r="H12" s="201"/>
      <c r="I12" s="1"/>
      <c r="J12" s="1"/>
    </row>
    <row r="13" spans="1:18" x14ac:dyDescent="0.25">
      <c r="B13" s="113" t="s">
        <v>0</v>
      </c>
      <c r="C13" s="113" t="s">
        <v>1</v>
      </c>
      <c r="D13" s="113" t="s">
        <v>2</v>
      </c>
      <c r="E13" s="6"/>
      <c r="F13" s="113" t="s">
        <v>0</v>
      </c>
      <c r="G13" s="113" t="s">
        <v>1</v>
      </c>
      <c r="H13" s="113" t="s">
        <v>2</v>
      </c>
      <c r="K13" s="32"/>
      <c r="L13" s="33"/>
      <c r="M13" s="33"/>
      <c r="N13" s="29"/>
      <c r="O13" s="24"/>
    </row>
    <row r="14" spans="1:18" x14ac:dyDescent="0.25">
      <c r="B14" s="9">
        <f>B10</f>
        <v>1379.66</v>
      </c>
      <c r="C14" s="10">
        <v>134.57</v>
      </c>
      <c r="D14" s="11">
        <f>B14*C14</f>
        <v>185660.8462</v>
      </c>
      <c r="E14" s="2"/>
      <c r="F14" s="9">
        <f>F10</f>
        <v>26653.39</v>
      </c>
      <c r="G14" s="10">
        <v>134.57</v>
      </c>
      <c r="H14" s="11">
        <f>F14*G14</f>
        <v>3586746.6922999998</v>
      </c>
      <c r="I14" s="1"/>
      <c r="J14" s="1"/>
    </row>
    <row r="15" spans="1:18" x14ac:dyDescent="0.25">
      <c r="B15" s="86"/>
      <c r="C15" s="86"/>
      <c r="D15" s="12"/>
      <c r="E15" s="7"/>
      <c r="F15" s="86"/>
      <c r="G15" s="86"/>
      <c r="H15" s="12"/>
      <c r="I15" s="1"/>
      <c r="J15" s="115"/>
    </row>
    <row r="16" spans="1:18" x14ac:dyDescent="0.25">
      <c r="B16" s="14"/>
      <c r="C16" s="85" t="s">
        <v>5</v>
      </c>
      <c r="D16" s="87">
        <f>D14-D10</f>
        <v>8733.2477999999828</v>
      </c>
      <c r="E16" s="7"/>
      <c r="F16" s="1"/>
      <c r="G16" s="88" t="s">
        <v>5</v>
      </c>
      <c r="H16" s="89">
        <f>H14-H10</f>
        <v>168715.95869999938</v>
      </c>
      <c r="I16" s="1"/>
      <c r="J16" s="1"/>
    </row>
    <row r="17" spans="2:11" ht="15.75" thickBot="1" x14ac:dyDescent="0.3">
      <c r="B17" s="14"/>
      <c r="C17" s="14"/>
      <c r="D17" s="14"/>
      <c r="E17" s="7"/>
      <c r="F17" s="196"/>
      <c r="G17" s="196"/>
      <c r="H17" s="80"/>
      <c r="I17" s="1"/>
      <c r="J17" s="1"/>
    </row>
    <row r="18" spans="2:11" ht="15.75" thickBot="1" x14ac:dyDescent="0.3">
      <c r="B18" s="97" t="s">
        <v>69</v>
      </c>
      <c r="C18" s="102" t="s">
        <v>166</v>
      </c>
      <c r="D18" s="7"/>
      <c r="E18" s="7"/>
      <c r="G18" s="85" t="s">
        <v>6</v>
      </c>
      <c r="H18" s="89">
        <f>D16+H16</f>
        <v>177449.20649999936</v>
      </c>
      <c r="I18" s="1"/>
      <c r="J18" s="1"/>
    </row>
    <row r="19" spans="2:11" x14ac:dyDescent="0.25">
      <c r="B19" s="98" t="s">
        <v>67</v>
      </c>
      <c r="C19" s="139">
        <f>B10+F10</f>
        <v>28033.05</v>
      </c>
      <c r="D19" s="101"/>
      <c r="E19" s="7"/>
      <c r="F19" s="90"/>
      <c r="G19" s="91"/>
      <c r="H19" s="92"/>
      <c r="I19" s="1"/>
      <c r="J19" s="1"/>
    </row>
    <row r="20" spans="2:11" x14ac:dyDescent="0.25">
      <c r="B20" s="98" t="s">
        <v>68</v>
      </c>
      <c r="C20" s="93">
        <f>D10+H10</f>
        <v>3594958.3320000004</v>
      </c>
      <c r="D20" s="20"/>
      <c r="G20" s="88" t="s">
        <v>120</v>
      </c>
      <c r="H20" s="104">
        <f>G30</f>
        <v>0.97740000000000005</v>
      </c>
    </row>
    <row r="21" spans="2:11" x14ac:dyDescent="0.25">
      <c r="B21" s="98" t="s">
        <v>70</v>
      </c>
      <c r="C21" s="94">
        <f>C20/C19</f>
        <v>128.24</v>
      </c>
      <c r="D21" s="21"/>
      <c r="F21" s="90"/>
      <c r="G21" s="86"/>
      <c r="H21" s="105"/>
      <c r="I21" s="36"/>
      <c r="J21" s="36"/>
    </row>
    <row r="22" spans="2:11" x14ac:dyDescent="0.25">
      <c r="B22" s="99" t="s">
        <v>73</v>
      </c>
      <c r="C22" s="95"/>
      <c r="D22" s="20"/>
      <c r="F22" s="30"/>
      <c r="G22" s="88" t="s">
        <v>4</v>
      </c>
      <c r="H22" s="89">
        <f>H18/G30</f>
        <v>181552.28821362733</v>
      </c>
      <c r="I22" s="30"/>
      <c r="J22" s="34"/>
    </row>
    <row r="23" spans="2:11" x14ac:dyDescent="0.25">
      <c r="B23" s="100" t="str">
        <f>+B19</f>
        <v>Total Tons</v>
      </c>
      <c r="C23" s="94">
        <f>C19</f>
        <v>28033.05</v>
      </c>
      <c r="D23" s="21"/>
      <c r="E23" s="2"/>
      <c r="G23" s="3"/>
      <c r="H23" s="8"/>
    </row>
    <row r="24" spans="2:11" x14ac:dyDescent="0.25">
      <c r="B24" s="100" t="str">
        <f>+B20</f>
        <v>Total Cost</v>
      </c>
      <c r="C24" s="93">
        <f>D14+H14</f>
        <v>3772407.5384999998</v>
      </c>
      <c r="D24" s="20"/>
      <c r="H24" s="4"/>
    </row>
    <row r="25" spans="2:11" x14ac:dyDescent="0.25">
      <c r="B25" s="98" t="s">
        <v>70</v>
      </c>
      <c r="C25" s="94">
        <f>C24/C23</f>
        <v>134.57</v>
      </c>
      <c r="D25" s="21"/>
      <c r="E25" s="2"/>
      <c r="F25" s="5"/>
      <c r="G25" s="5"/>
      <c r="H25" s="83"/>
    </row>
    <row r="26" spans="2:11" x14ac:dyDescent="0.25">
      <c r="B26" s="81"/>
      <c r="C26" s="95"/>
      <c r="D26" s="5"/>
      <c r="F26" s="5"/>
      <c r="G26" s="5"/>
      <c r="H26" s="5"/>
    </row>
    <row r="27" spans="2:11" ht="15.75" thickBot="1" x14ac:dyDescent="0.3">
      <c r="B27" s="81" t="s">
        <v>71</v>
      </c>
      <c r="C27" s="103">
        <f>C25-C21</f>
        <v>6.3299999999999841</v>
      </c>
      <c r="D27" s="138">
        <f>C27/C10</f>
        <v>4.9360573923892571E-2</v>
      </c>
      <c r="F27" s="5"/>
      <c r="G27" s="5"/>
      <c r="H27" s="5"/>
    </row>
    <row r="28" spans="2:11" ht="15.75" thickBot="1" x14ac:dyDescent="0.3">
      <c r="B28" s="81" t="s">
        <v>163</v>
      </c>
      <c r="C28" s="103">
        <f>C27/H20</f>
        <v>6.4763658686310457</v>
      </c>
      <c r="D28" s="22"/>
      <c r="F28" s="5"/>
      <c r="G28" s="5"/>
      <c r="H28" s="5"/>
    </row>
    <row r="29" spans="2:11" ht="15.75" thickBot="1" x14ac:dyDescent="0.3">
      <c r="B29" s="82" t="s">
        <v>72</v>
      </c>
      <c r="C29" s="96">
        <f>C27/2000</f>
        <v>3.164999999999992E-3</v>
      </c>
      <c r="D29" s="23"/>
      <c r="F29" s="106" t="s">
        <v>6</v>
      </c>
      <c r="G29" s="107"/>
      <c r="H29" s="119">
        <f>H18</f>
        <v>177449.20649999936</v>
      </c>
    </row>
    <row r="30" spans="2:11" x14ac:dyDescent="0.25">
      <c r="F30" s="108" t="s">
        <v>87</v>
      </c>
      <c r="G30" s="175">
        <f>Calculation!M10</f>
        <v>0.97740000000000005</v>
      </c>
      <c r="H30" s="120">
        <f>+H29/G30</f>
        <v>181552.28821362733</v>
      </c>
      <c r="I30" s="149"/>
      <c r="K30" s="117"/>
    </row>
    <row r="31" spans="2:11" x14ac:dyDescent="0.25">
      <c r="C31" s="14"/>
      <c r="F31" s="108"/>
      <c r="G31" s="35"/>
      <c r="H31" s="120"/>
    </row>
    <row r="32" spans="2:11" x14ac:dyDescent="0.25">
      <c r="F32" s="198" t="s">
        <v>91</v>
      </c>
      <c r="G32" s="199"/>
      <c r="H32" s="120">
        <f>Calculation!Q7</f>
        <v>182679.80549999909</v>
      </c>
      <c r="J32" s="117"/>
    </row>
    <row r="33" spans="6:8" x14ac:dyDescent="0.25">
      <c r="F33" s="108"/>
      <c r="G33" s="35"/>
      <c r="H33" s="120"/>
    </row>
    <row r="34" spans="6:8" x14ac:dyDescent="0.25">
      <c r="F34" s="108" t="s">
        <v>164</v>
      </c>
      <c r="G34" s="35"/>
      <c r="H34" s="136">
        <f>H32-H30</f>
        <v>1127.5172863717598</v>
      </c>
    </row>
    <row r="35" spans="6:8" ht="15.75" thickBot="1" x14ac:dyDescent="0.3">
      <c r="F35" s="109" t="s">
        <v>142</v>
      </c>
      <c r="G35" s="110"/>
      <c r="H35" s="137">
        <f>H34/H32</f>
        <v>6.1720959428751172E-3</v>
      </c>
    </row>
  </sheetData>
  <mergeCells count="9">
    <mergeCell ref="K5:N5"/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T186"/>
  <sheetViews>
    <sheetView zoomScale="80" zoomScaleNormal="80" workbookViewId="0">
      <pane xSplit="1" ySplit="10" topLeftCell="B17" activePane="bottomRight" state="frozen"/>
      <selection activeCell="C14" sqref="C14"/>
      <selection pane="topRight" activeCell="C14" sqref="C14"/>
      <selection pane="bottomLeft" activeCell="C14" sqref="C14"/>
      <selection pane="bottomRight" activeCell="S145" sqref="S33:S145"/>
    </sheetView>
  </sheetViews>
  <sheetFormatPr defaultRowHeight="15" outlineLevelRow="1" outlineLevelCol="1" x14ac:dyDescent="0.25"/>
  <cols>
    <col min="1" max="1" width="30.28515625" style="15" customWidth="1"/>
    <col min="2" max="2" width="17.85546875" style="15" bestFit="1" customWidth="1"/>
    <col min="3" max="3" width="12.85546875" style="15" bestFit="1" customWidth="1"/>
    <col min="4" max="4" width="11.28515625" style="15" bestFit="1" customWidth="1"/>
    <col min="5" max="5" width="17.42578125" style="15" customWidth="1"/>
    <col min="6" max="6" width="15.140625" style="15" customWidth="1"/>
    <col min="7" max="7" width="9.42578125" style="15" bestFit="1" customWidth="1"/>
    <col min="8" max="8" width="15.5703125" style="15" customWidth="1"/>
    <col min="9" max="10" width="12.28515625" style="15" customWidth="1"/>
    <col min="11" max="11" width="12.7109375" style="15" customWidth="1"/>
    <col min="12" max="12" width="7.7109375" style="15" bestFit="1" customWidth="1"/>
    <col min="13" max="13" width="10.85546875" style="15" customWidth="1"/>
    <col min="14" max="14" width="11.85546875" style="35" customWidth="1"/>
    <col min="15" max="15" width="11.28515625" style="35" bestFit="1" customWidth="1"/>
    <col min="16" max="16" width="17.42578125" style="15" customWidth="1" outlineLevel="1"/>
    <col min="17" max="17" width="14.85546875" style="15" customWidth="1" outlineLevel="1"/>
    <col min="18" max="18" width="4.28515625" style="39" customWidth="1"/>
    <col min="19" max="19" width="11.28515625" style="42" bestFit="1" customWidth="1"/>
    <col min="20" max="20" width="3.42578125" style="42" customWidth="1"/>
    <col min="21" max="16384" width="9.140625" style="15"/>
  </cols>
  <sheetData>
    <row r="1" spans="1:20" x14ac:dyDescent="0.25">
      <c r="A1" s="189" t="s">
        <v>199</v>
      </c>
      <c r="B1" s="38"/>
      <c r="D1" s="70"/>
      <c r="E1" s="70"/>
      <c r="F1" s="38"/>
      <c r="G1" s="38"/>
      <c r="H1" s="35"/>
      <c r="I1" s="35"/>
      <c r="J1" s="35"/>
      <c r="K1" s="35"/>
      <c r="L1" s="35"/>
    </row>
    <row r="2" spans="1:20" ht="17.25" customHeight="1" x14ac:dyDescent="0.25">
      <c r="A2" s="190" t="s">
        <v>195</v>
      </c>
      <c r="B2" s="114"/>
      <c r="D2" s="70"/>
      <c r="E2" s="70"/>
      <c r="F2" s="40"/>
      <c r="H2" s="35"/>
      <c r="I2" s="71"/>
      <c r="J2" s="71"/>
      <c r="K2" s="71"/>
      <c r="L2" s="35"/>
    </row>
    <row r="3" spans="1:20" ht="17.25" customHeight="1" x14ac:dyDescent="0.25">
      <c r="A3" s="190" t="str">
        <f>'per lb increase'!A3</f>
        <v>RDS - Tons reported in TG-210251</v>
      </c>
      <c r="B3" s="121"/>
      <c r="D3" s="70"/>
      <c r="E3" s="70"/>
      <c r="F3" s="40"/>
      <c r="H3" s="35"/>
      <c r="I3" s="71"/>
      <c r="J3" s="71"/>
      <c r="K3" s="71"/>
      <c r="L3" s="35"/>
    </row>
    <row r="4" spans="1:20" ht="17.25" customHeight="1" x14ac:dyDescent="0.25">
      <c r="A4" s="190" t="s">
        <v>202</v>
      </c>
      <c r="B4" s="121"/>
      <c r="D4" s="70"/>
      <c r="E4" s="70"/>
      <c r="F4" s="40"/>
      <c r="H4" s="35"/>
      <c r="I4" s="71"/>
      <c r="J4" s="71"/>
      <c r="K4" s="71"/>
      <c r="L4" s="35"/>
    </row>
    <row r="5" spans="1:20" x14ac:dyDescent="0.25">
      <c r="A5" s="190" t="str">
        <f>'per lb increase'!A5</f>
        <v>Effective 1-1-2024</v>
      </c>
      <c r="B5" s="38"/>
      <c r="D5" s="70"/>
      <c r="E5" s="70"/>
      <c r="F5" s="41"/>
      <c r="H5" s="35"/>
      <c r="I5" s="71"/>
      <c r="J5" s="71"/>
      <c r="K5" s="71"/>
      <c r="L5" s="35"/>
    </row>
    <row r="6" spans="1:20" ht="30" x14ac:dyDescent="0.25">
      <c r="D6" s="118"/>
      <c r="E6" s="118"/>
      <c r="H6" s="126" t="s">
        <v>81</v>
      </c>
      <c r="I6" s="127" t="s">
        <v>80</v>
      </c>
      <c r="J6" s="72">
        <f>1-I8</f>
        <v>0.59344320454886978</v>
      </c>
      <c r="K6" s="35"/>
      <c r="L6" s="35"/>
      <c r="N6" s="134" t="s">
        <v>123</v>
      </c>
      <c r="O6" s="134" t="s">
        <v>123</v>
      </c>
      <c r="P6" s="147" t="s">
        <v>114</v>
      </c>
      <c r="Q6" s="147" t="s">
        <v>115</v>
      </c>
      <c r="R6" s="43"/>
    </row>
    <row r="7" spans="1:20" x14ac:dyDescent="0.25">
      <c r="D7" s="118"/>
      <c r="E7" s="118"/>
      <c r="H7" s="13">
        <f>+H152</f>
        <v>68952.358720000004</v>
      </c>
      <c r="I7" s="13">
        <f>'per lb increase'!C19</f>
        <v>28033.05</v>
      </c>
      <c r="J7" s="13"/>
      <c r="K7" s="44" t="s">
        <v>82</v>
      </c>
      <c r="M7" s="15" t="s">
        <v>87</v>
      </c>
      <c r="N7" s="202" t="s">
        <v>89</v>
      </c>
      <c r="O7" s="203"/>
      <c r="P7" s="146">
        <f>+P27+P148</f>
        <v>15634358.803224001</v>
      </c>
      <c r="Q7" s="146">
        <f>+Q29+Q148</f>
        <v>182679.80549999909</v>
      </c>
      <c r="R7" s="45"/>
    </row>
    <row r="8" spans="1:20" x14ac:dyDescent="0.25">
      <c r="B8" s="156"/>
      <c r="F8" s="44"/>
      <c r="G8" s="44"/>
      <c r="H8" s="46" t="s">
        <v>136</v>
      </c>
      <c r="I8" s="47">
        <f>+I7/H7</f>
        <v>0.40655679545113027</v>
      </c>
      <c r="J8" s="48" t="s">
        <v>136</v>
      </c>
      <c r="K8" s="44" t="s">
        <v>83</v>
      </c>
      <c r="L8" s="156" t="s">
        <v>84</v>
      </c>
      <c r="M8" s="15" t="s">
        <v>85</v>
      </c>
      <c r="N8" s="49" t="s">
        <v>111</v>
      </c>
      <c r="O8" s="49"/>
      <c r="R8" s="50"/>
      <c r="S8" s="150" t="s">
        <v>112</v>
      </c>
    </row>
    <row r="9" spans="1:20" ht="15.75" thickBot="1" x14ac:dyDescent="0.3">
      <c r="B9" s="76" t="s">
        <v>166</v>
      </c>
      <c r="C9" s="76" t="s">
        <v>204</v>
      </c>
      <c r="D9" s="76"/>
      <c r="E9" s="46"/>
      <c r="F9" s="79" t="s">
        <v>74</v>
      </c>
      <c r="G9" s="79" t="s">
        <v>77</v>
      </c>
      <c r="H9" s="79" t="s">
        <v>76</v>
      </c>
      <c r="I9" s="79" t="s">
        <v>79</v>
      </c>
      <c r="J9" s="79" t="s">
        <v>79</v>
      </c>
      <c r="L9" s="156" t="s">
        <v>63</v>
      </c>
      <c r="M9" s="44" t="s">
        <v>86</v>
      </c>
      <c r="N9" s="49" t="s">
        <v>112</v>
      </c>
      <c r="O9" s="51" t="s">
        <v>113</v>
      </c>
      <c r="P9" s="46" t="s">
        <v>136</v>
      </c>
      <c r="Q9" s="52" t="s">
        <v>90</v>
      </c>
      <c r="R9" s="50"/>
      <c r="S9" s="150" t="s">
        <v>125</v>
      </c>
    </row>
    <row r="10" spans="1:20" ht="15.75" thickBot="1" x14ac:dyDescent="0.3">
      <c r="A10" s="16" t="s">
        <v>62</v>
      </c>
      <c r="B10" s="16" t="s">
        <v>124</v>
      </c>
      <c r="C10" s="16" t="s">
        <v>1</v>
      </c>
      <c r="D10" s="16"/>
      <c r="E10" s="17" t="s">
        <v>66</v>
      </c>
      <c r="F10" s="78" t="s">
        <v>75</v>
      </c>
      <c r="G10" s="78" t="s">
        <v>78</v>
      </c>
      <c r="H10" s="78" t="s">
        <v>0</v>
      </c>
      <c r="I10" s="78" t="s">
        <v>75</v>
      </c>
      <c r="J10" s="78" t="s">
        <v>0</v>
      </c>
      <c r="K10" s="77">
        <f>'per lb increase'!C29</f>
        <v>3.164999999999992E-3</v>
      </c>
      <c r="M10" s="174">
        <f>1-0.0175-0.0051</f>
        <v>0.97740000000000005</v>
      </c>
      <c r="P10" s="112" t="s">
        <v>66</v>
      </c>
      <c r="Q10" s="52" t="s">
        <v>63</v>
      </c>
      <c r="R10" s="50"/>
      <c r="S10" s="150" t="s">
        <v>122</v>
      </c>
    </row>
    <row r="11" spans="1:20" x14ac:dyDescent="0.25">
      <c r="A11" s="56" t="s">
        <v>178</v>
      </c>
      <c r="B11" s="57">
        <v>1875.95</v>
      </c>
      <c r="C11" s="57">
        <v>4.91</v>
      </c>
      <c r="E11" s="54">
        <f t="shared" ref="E11:E12" si="0">B11*C11*12</f>
        <v>110530.97400000002</v>
      </c>
      <c r="F11" s="15">
        <v>34</v>
      </c>
      <c r="G11" s="15">
        <v>1</v>
      </c>
      <c r="H11" s="55">
        <f>+G11*F11*B11/2000</f>
        <v>31.891150000000003</v>
      </c>
      <c r="I11" s="55">
        <f>+F11*$I$8</f>
        <v>13.822931045338429</v>
      </c>
      <c r="J11" s="55">
        <f t="shared" ref="J11:J12" si="1">+G11*I11*B11/2000</f>
        <v>12.965563747251313</v>
      </c>
      <c r="K11" s="13">
        <f t="shared" ref="K11:K12" si="2">+I11*$K$10</f>
        <v>4.3749576758496014E-2</v>
      </c>
      <c r="L11" s="50">
        <f t="shared" ref="L11:L12" si="3">+K11</f>
        <v>4.3749576758496014E-2</v>
      </c>
      <c r="M11" s="55">
        <f>+L11/$M$10</f>
        <v>4.4761179413235125E-2</v>
      </c>
      <c r="N11" s="73">
        <f>ROUND(C11+M11,2)</f>
        <v>4.95</v>
      </c>
      <c r="P11" s="55">
        <f>+N11*B11*12</f>
        <v>111431.43000000002</v>
      </c>
      <c r="Q11" s="55">
        <f t="shared" ref="Q11:Q12" si="4">+P11-E11</f>
        <v>900.45600000000559</v>
      </c>
      <c r="R11" s="50"/>
      <c r="S11" s="47">
        <f t="shared" ref="S11:S12" si="5">(N11-C11)/C11</f>
        <v>8.1466395112016355E-3</v>
      </c>
    </row>
    <row r="12" spans="1:20" x14ac:dyDescent="0.25">
      <c r="A12" s="56" t="s">
        <v>179</v>
      </c>
      <c r="B12" s="57">
        <v>0</v>
      </c>
      <c r="C12" s="57">
        <v>9.7100000000000009</v>
      </c>
      <c r="D12" s="39"/>
      <c r="E12" s="57">
        <f t="shared" si="0"/>
        <v>0</v>
      </c>
      <c r="F12" s="39">
        <v>47</v>
      </c>
      <c r="G12" s="39">
        <v>1</v>
      </c>
      <c r="H12" s="50">
        <f t="shared" ref="H12" si="6">+G12*F12*B12/2000</f>
        <v>0</v>
      </c>
      <c r="I12" s="50">
        <f t="shared" ref="I12" si="7">+F12*$I$8</f>
        <v>19.108169386203123</v>
      </c>
      <c r="J12" s="50">
        <f t="shared" si="1"/>
        <v>0</v>
      </c>
      <c r="K12" s="63">
        <f t="shared" si="2"/>
        <v>6.0477356107332729E-2</v>
      </c>
      <c r="L12" s="50">
        <f t="shared" si="3"/>
        <v>6.0477356107332729E-2</v>
      </c>
      <c r="M12" s="50">
        <f t="shared" ref="M12" si="8">+L12/$M$10</f>
        <v>6.1875748012413266E-2</v>
      </c>
      <c r="N12" s="73">
        <f>ROUND(C12+M12,2)</f>
        <v>9.77</v>
      </c>
      <c r="P12" s="55">
        <f t="shared" ref="P12" si="9">+N12*B12*12</f>
        <v>0</v>
      </c>
      <c r="Q12" s="55">
        <f t="shared" si="4"/>
        <v>0</v>
      </c>
      <c r="R12" s="50"/>
      <c r="S12" s="47">
        <f t="shared" si="5"/>
        <v>6.1791967044282923E-3</v>
      </c>
    </row>
    <row r="13" spans="1:20" s="39" customFormat="1" x14ac:dyDescent="0.25">
      <c r="A13" s="56" t="s">
        <v>180</v>
      </c>
      <c r="B13" s="57">
        <v>0</v>
      </c>
      <c r="C13" s="57">
        <v>14.56</v>
      </c>
      <c r="E13" s="57">
        <f>B13*C13</f>
        <v>0</v>
      </c>
      <c r="F13" s="39">
        <v>68</v>
      </c>
      <c r="G13" s="39">
        <v>1</v>
      </c>
      <c r="H13" s="50">
        <f t="shared" ref="H13" si="10">+G13*F13*B13/2000</f>
        <v>0</v>
      </c>
      <c r="I13" s="50">
        <f t="shared" ref="I13:I25" si="11">+F13*$I$8</f>
        <v>27.645862090676857</v>
      </c>
      <c r="J13" s="50">
        <f t="shared" ref="J13" si="12">+G13*I13*B13/2000</f>
        <v>0</v>
      </c>
      <c r="K13" s="63">
        <f t="shared" ref="K13" si="13">+I13*$K$10</f>
        <v>8.7499153516992029E-2</v>
      </c>
      <c r="L13" s="50">
        <f>+K13</f>
        <v>8.7499153516992029E-2</v>
      </c>
      <c r="M13" s="50">
        <f t="shared" ref="M13:M25" si="14">+L13/$M$10</f>
        <v>8.952235882647025E-2</v>
      </c>
      <c r="N13" s="73">
        <f t="shared" ref="N13" si="15">ROUND(C13+M13,2)</f>
        <v>14.65</v>
      </c>
      <c r="O13" s="37"/>
      <c r="P13" s="50">
        <f>+N13*B13</f>
        <v>0</v>
      </c>
      <c r="Q13" s="50">
        <f t="shared" ref="Q13:Q18" si="16">+P13-E13</f>
        <v>0</v>
      </c>
      <c r="R13" s="50"/>
      <c r="S13" s="74">
        <f t="shared" ref="S13" si="17">(N13-C13)/C13</f>
        <v>6.1813186813186715E-3</v>
      </c>
      <c r="T13" s="75"/>
    </row>
    <row r="14" spans="1:20" x14ac:dyDescent="0.25">
      <c r="A14" s="53" t="s">
        <v>59</v>
      </c>
      <c r="B14" s="54">
        <v>9179.16</v>
      </c>
      <c r="C14" s="57">
        <v>19.71</v>
      </c>
      <c r="E14" s="54">
        <f t="shared" ref="E14:E25" si="18">B14*C14*12</f>
        <v>2171054.9232000001</v>
      </c>
      <c r="F14" s="15">
        <f>+F22</f>
        <v>47</v>
      </c>
      <c r="G14" s="15">
        <f>+G15</f>
        <v>52</v>
      </c>
      <c r="H14" s="55">
        <f t="shared" ref="H14:H25" si="19">+G14*F14*B14/2000</f>
        <v>11216.933519999999</v>
      </c>
      <c r="I14" s="55">
        <f t="shared" si="11"/>
        <v>19.108169386203123</v>
      </c>
      <c r="J14" s="55">
        <f t="shared" ref="J14:J25" si="20">+G14*I14*B14/2000</f>
        <v>4560.3205466795662</v>
      </c>
      <c r="K14" s="13">
        <f t="shared" ref="K14:K25" si="21">+I14*$K$10</f>
        <v>6.0477356107332729E-2</v>
      </c>
      <c r="L14" s="55">
        <f>+K14*4.33</f>
        <v>0.26186695194475074</v>
      </c>
      <c r="M14" s="55">
        <f t="shared" si="14"/>
        <v>0.26792198889374946</v>
      </c>
      <c r="N14" s="73">
        <f t="shared" ref="N14:N25" si="22">ROUND(C14+M14,2)</f>
        <v>19.98</v>
      </c>
      <c r="P14" s="55">
        <f>+N14*B14*12</f>
        <v>2200795.4016</v>
      </c>
      <c r="Q14" s="55">
        <f t="shared" si="16"/>
        <v>29740.478399999905</v>
      </c>
      <c r="R14" s="50"/>
      <c r="S14" s="47">
        <f t="shared" ref="S14:S25" si="23">(N14-C14)/C14</f>
        <v>1.369863013698628E-2</v>
      </c>
    </row>
    <row r="15" spans="1:20" x14ac:dyDescent="0.25">
      <c r="A15" s="53" t="s">
        <v>140</v>
      </c>
      <c r="B15" s="54">
        <v>259.56</v>
      </c>
      <c r="C15" s="57">
        <v>13.91</v>
      </c>
      <c r="E15" s="54">
        <f t="shared" si="18"/>
        <v>43325.7552</v>
      </c>
      <c r="F15" s="15">
        <f>+F23</f>
        <v>34</v>
      </c>
      <c r="G15" s="15">
        <v>52</v>
      </c>
      <c r="H15" s="55">
        <f t="shared" si="19"/>
        <v>229.45104000000001</v>
      </c>
      <c r="I15" s="55">
        <f t="shared" si="11"/>
        <v>13.822931045338429</v>
      </c>
      <c r="J15" s="55">
        <f t="shared" si="20"/>
        <v>93.284879535329111</v>
      </c>
      <c r="K15" s="13">
        <f t="shared" si="21"/>
        <v>4.3749576758496014E-2</v>
      </c>
      <c r="L15" s="55">
        <f>+K15*4.33</f>
        <v>0.18943566736428774</v>
      </c>
      <c r="M15" s="55">
        <f t="shared" si="14"/>
        <v>0.19381590685930811</v>
      </c>
      <c r="N15" s="73">
        <f t="shared" si="22"/>
        <v>14.1</v>
      </c>
      <c r="P15" s="55">
        <f>+N15*B15*12</f>
        <v>43917.551999999996</v>
      </c>
      <c r="Q15" s="55">
        <f t="shared" si="16"/>
        <v>591.79679999999644</v>
      </c>
      <c r="R15" s="50"/>
      <c r="S15" s="47">
        <f t="shared" si="23"/>
        <v>1.3659237958303342E-2</v>
      </c>
    </row>
    <row r="16" spans="1:20" x14ac:dyDescent="0.25">
      <c r="A16" s="53" t="s">
        <v>56</v>
      </c>
      <c r="B16" s="54">
        <v>737.4</v>
      </c>
      <c r="C16" s="57">
        <v>31.29</v>
      </c>
      <c r="E16" s="54">
        <f t="shared" si="18"/>
        <v>276878.95199999999</v>
      </c>
      <c r="F16" s="15">
        <f>+F25</f>
        <v>68</v>
      </c>
      <c r="G16" s="15">
        <f>+G15</f>
        <v>52</v>
      </c>
      <c r="H16" s="55">
        <f t="shared" si="19"/>
        <v>1303.7231999999999</v>
      </c>
      <c r="I16" s="55">
        <f t="shared" si="11"/>
        <v>27.645862090676857</v>
      </c>
      <c r="J16" s="55">
        <f t="shared" si="20"/>
        <v>530.0375263472929</v>
      </c>
      <c r="K16" s="13">
        <f t="shared" si="21"/>
        <v>8.7499153516992029E-2</v>
      </c>
      <c r="L16" s="55">
        <f>+K16*4.33</f>
        <v>0.37887133472857548</v>
      </c>
      <c r="M16" s="55">
        <f t="shared" si="14"/>
        <v>0.38763181371861621</v>
      </c>
      <c r="N16" s="73">
        <f t="shared" si="22"/>
        <v>31.68</v>
      </c>
      <c r="P16" s="55">
        <f>+N16*B16*12</f>
        <v>280329.984</v>
      </c>
      <c r="Q16" s="55">
        <f t="shared" si="16"/>
        <v>3451.0320000000065</v>
      </c>
      <c r="R16" s="50"/>
      <c r="S16" s="47">
        <f t="shared" si="23"/>
        <v>1.2464046021093019E-2</v>
      </c>
    </row>
    <row r="17" spans="1:20" x14ac:dyDescent="0.25">
      <c r="A17" s="53" t="s">
        <v>53</v>
      </c>
      <c r="B17" s="54">
        <v>1.97</v>
      </c>
      <c r="C17" s="57">
        <v>10.91</v>
      </c>
      <c r="E17" s="54">
        <f t="shared" si="18"/>
        <v>257.91239999999999</v>
      </c>
      <c r="F17" s="15">
        <f>+F24</f>
        <v>20</v>
      </c>
      <c r="G17" s="15">
        <f>+G15</f>
        <v>52</v>
      </c>
      <c r="H17" s="55">
        <f t="shared" si="19"/>
        <v>1.0244000000000002</v>
      </c>
      <c r="I17" s="55">
        <f t="shared" si="11"/>
        <v>8.1311359090226052</v>
      </c>
      <c r="J17" s="55">
        <f t="shared" si="20"/>
        <v>0.41647678126013782</v>
      </c>
      <c r="K17" s="13">
        <f t="shared" si="21"/>
        <v>2.573504515205648E-2</v>
      </c>
      <c r="L17" s="55">
        <f>+K17*4.33</f>
        <v>0.11143274550840455</v>
      </c>
      <c r="M17" s="55">
        <f t="shared" si="14"/>
        <v>0.11400935697606358</v>
      </c>
      <c r="N17" s="73">
        <f t="shared" si="22"/>
        <v>11.02</v>
      </c>
      <c r="P17" s="55">
        <f>+N17*B17*12</f>
        <v>260.51279999999997</v>
      </c>
      <c r="Q17" s="55">
        <f t="shared" si="16"/>
        <v>2.6003999999999792</v>
      </c>
      <c r="R17" s="50"/>
      <c r="S17" s="47">
        <f t="shared" si="23"/>
        <v>1.0082493125572817E-2</v>
      </c>
    </row>
    <row r="18" spans="1:20" x14ac:dyDescent="0.25">
      <c r="A18" s="53" t="s">
        <v>61</v>
      </c>
      <c r="B18" s="54">
        <v>10351.129999999999</v>
      </c>
      <c r="C18" s="57">
        <v>11.43</v>
      </c>
      <c r="E18" s="54">
        <f t="shared" si="18"/>
        <v>1419760.9907999998</v>
      </c>
      <c r="F18" s="15">
        <v>47</v>
      </c>
      <c r="G18" s="15">
        <f>+G19</f>
        <v>26</v>
      </c>
      <c r="H18" s="55">
        <f t="shared" si="19"/>
        <v>6324.54043</v>
      </c>
      <c r="I18" s="55">
        <f t="shared" si="11"/>
        <v>19.108169386203123</v>
      </c>
      <c r="J18" s="55">
        <f t="shared" si="20"/>
        <v>2571.2848899219134</v>
      </c>
      <c r="K18" s="13">
        <f t="shared" si="21"/>
        <v>6.0477356107332729E-2</v>
      </c>
      <c r="L18" s="55">
        <f>+K18*4.33/2</f>
        <v>0.13093347597237537</v>
      </c>
      <c r="M18" s="55">
        <f t="shared" si="14"/>
        <v>0.13396099444687473</v>
      </c>
      <c r="N18" s="73">
        <f t="shared" si="22"/>
        <v>11.56</v>
      </c>
      <c r="P18" s="55">
        <f>+N18*B18*12</f>
        <v>1435908.7535999999</v>
      </c>
      <c r="Q18" s="55">
        <f t="shared" si="16"/>
        <v>16147.762800000142</v>
      </c>
      <c r="R18" s="50"/>
      <c r="S18" s="47">
        <f t="shared" si="23"/>
        <v>1.1373578302712229E-2</v>
      </c>
    </row>
    <row r="19" spans="1:20" x14ac:dyDescent="0.25">
      <c r="A19" s="53" t="s">
        <v>138</v>
      </c>
      <c r="B19" s="54">
        <v>269.39999999999998</v>
      </c>
      <c r="C19" s="57">
        <v>8.73</v>
      </c>
      <c r="E19" s="54">
        <f t="shared" si="18"/>
        <v>28222.344000000001</v>
      </c>
      <c r="F19" s="15">
        <v>34</v>
      </c>
      <c r="G19" s="15">
        <v>26</v>
      </c>
      <c r="H19" s="55">
        <f t="shared" si="19"/>
        <v>119.07479999999998</v>
      </c>
      <c r="I19" s="55">
        <f t="shared" si="11"/>
        <v>13.822931045338429</v>
      </c>
      <c r="J19" s="55">
        <f t="shared" si="20"/>
        <v>48.410669106984244</v>
      </c>
      <c r="K19" s="13">
        <f t="shared" si="21"/>
        <v>4.3749576758496014E-2</v>
      </c>
      <c r="L19" s="55">
        <f>+K19*4.33/2</f>
        <v>9.471783368214387E-2</v>
      </c>
      <c r="M19" s="55">
        <f t="shared" si="14"/>
        <v>9.6907953429654053E-2</v>
      </c>
      <c r="N19" s="73">
        <f t="shared" si="22"/>
        <v>8.83</v>
      </c>
      <c r="P19" s="55">
        <f t="shared" ref="P19" si="24">+N19*B19*12</f>
        <v>28545.623999999996</v>
      </c>
      <c r="Q19" s="55">
        <f t="shared" ref="Q19" si="25">+P19-E19</f>
        <v>323.2799999999952</v>
      </c>
      <c r="R19" s="50"/>
      <c r="S19" s="47">
        <f t="shared" si="23"/>
        <v>1.1454753722794919E-2</v>
      </c>
    </row>
    <row r="20" spans="1:20" x14ac:dyDescent="0.25">
      <c r="A20" s="53" t="s">
        <v>58</v>
      </c>
      <c r="B20" s="54">
        <v>409.99</v>
      </c>
      <c r="C20" s="57">
        <v>17.170000000000002</v>
      </c>
      <c r="E20" s="54">
        <f t="shared" si="18"/>
        <v>84474.339600000007</v>
      </c>
      <c r="F20" s="15">
        <v>68</v>
      </c>
      <c r="G20" s="15">
        <f>+G19</f>
        <v>26</v>
      </c>
      <c r="H20" s="55">
        <f t="shared" si="19"/>
        <v>362.43116000000003</v>
      </c>
      <c r="I20" s="55">
        <f t="shared" si="11"/>
        <v>27.645862090676857</v>
      </c>
      <c r="J20" s="55">
        <f t="shared" si="20"/>
        <v>147.34885098123587</v>
      </c>
      <c r="K20" s="13">
        <f t="shared" si="21"/>
        <v>8.7499153516992029E-2</v>
      </c>
      <c r="L20" s="55">
        <f>+K20*4.33/2</f>
        <v>0.18943566736428774</v>
      </c>
      <c r="M20" s="55">
        <f t="shared" si="14"/>
        <v>0.19381590685930811</v>
      </c>
      <c r="N20" s="73">
        <f t="shared" si="22"/>
        <v>17.36</v>
      </c>
      <c r="P20" s="55">
        <f t="shared" ref="P20:P25" si="26">+N20*B20*12</f>
        <v>85409.116800000003</v>
      </c>
      <c r="Q20" s="55">
        <f t="shared" ref="Q20:Q25" si="27">+P20-E20</f>
        <v>934.77719999999681</v>
      </c>
      <c r="R20" s="50"/>
      <c r="S20" s="47">
        <f t="shared" si="23"/>
        <v>1.1065812463599167E-2</v>
      </c>
    </row>
    <row r="21" spans="1:20" x14ac:dyDescent="0.25">
      <c r="A21" s="53" t="s">
        <v>55</v>
      </c>
      <c r="B21" s="54">
        <v>1.97</v>
      </c>
      <c r="C21" s="57">
        <v>7.16</v>
      </c>
      <c r="E21" s="54">
        <f t="shared" si="18"/>
        <v>169.26240000000001</v>
      </c>
      <c r="F21" s="15">
        <v>20</v>
      </c>
      <c r="G21" s="15">
        <f>+G19</f>
        <v>26</v>
      </c>
      <c r="H21" s="55">
        <f t="shared" si="19"/>
        <v>0.5122000000000001</v>
      </c>
      <c r="I21" s="55">
        <f t="shared" si="11"/>
        <v>8.1311359090226052</v>
      </c>
      <c r="J21" s="55">
        <f t="shared" si="20"/>
        <v>0.20823839063006891</v>
      </c>
      <c r="K21" s="13">
        <f t="shared" si="21"/>
        <v>2.573504515205648E-2</v>
      </c>
      <c r="L21" s="55">
        <f>+K21*4.33/2</f>
        <v>5.5716372754202277E-2</v>
      </c>
      <c r="M21" s="55">
        <f t="shared" si="14"/>
        <v>5.7004678488031792E-2</v>
      </c>
      <c r="N21" s="73">
        <f t="shared" si="22"/>
        <v>7.22</v>
      </c>
      <c r="P21" s="55">
        <f t="shared" si="26"/>
        <v>170.6808</v>
      </c>
      <c r="Q21" s="55">
        <f t="shared" si="27"/>
        <v>1.4183999999999912</v>
      </c>
      <c r="R21" s="50"/>
      <c r="S21" s="47">
        <f t="shared" si="23"/>
        <v>8.3798882681563706E-3</v>
      </c>
    </row>
    <row r="22" spans="1:20" x14ac:dyDescent="0.25">
      <c r="A22" s="53" t="s">
        <v>60</v>
      </c>
      <c r="B22" s="54">
        <v>2031.29</v>
      </c>
      <c r="C22" s="57">
        <v>7.09</v>
      </c>
      <c r="E22" s="54">
        <f t="shared" si="18"/>
        <v>172822.1532</v>
      </c>
      <c r="F22" s="15">
        <f>+F18</f>
        <v>47</v>
      </c>
      <c r="G22" s="15">
        <f>+G23</f>
        <v>12</v>
      </c>
      <c r="H22" s="55">
        <f t="shared" si="19"/>
        <v>572.82378000000006</v>
      </c>
      <c r="I22" s="55">
        <f t="shared" si="11"/>
        <v>19.108169386203123</v>
      </c>
      <c r="J22" s="55">
        <f t="shared" si="20"/>
        <v>232.88540035500324</v>
      </c>
      <c r="K22" s="13">
        <f t="shared" si="21"/>
        <v>6.0477356107332729E-2</v>
      </c>
      <c r="L22" s="55">
        <f>+K22</f>
        <v>6.0477356107332729E-2</v>
      </c>
      <c r="M22" s="55">
        <f t="shared" si="14"/>
        <v>6.1875748012413266E-2</v>
      </c>
      <c r="N22" s="73">
        <f t="shared" si="22"/>
        <v>7.15</v>
      </c>
      <c r="P22" s="55">
        <f t="shared" si="26"/>
        <v>174284.682</v>
      </c>
      <c r="Q22" s="55">
        <f t="shared" si="27"/>
        <v>1462.5288</v>
      </c>
      <c r="R22" s="50"/>
      <c r="S22" s="47">
        <f t="shared" si="23"/>
        <v>8.4626234132581801E-3</v>
      </c>
    </row>
    <row r="23" spans="1:20" x14ac:dyDescent="0.25">
      <c r="A23" s="53" t="s">
        <v>139</v>
      </c>
      <c r="B23" s="54">
        <v>126.83</v>
      </c>
      <c r="C23" s="57">
        <v>4.9400000000000004</v>
      </c>
      <c r="E23" s="54">
        <f t="shared" si="18"/>
        <v>7518.4824000000008</v>
      </c>
      <c r="F23" s="15">
        <f>+F19</f>
        <v>34</v>
      </c>
      <c r="G23" s="15">
        <v>12</v>
      </c>
      <c r="H23" s="55">
        <f t="shared" si="19"/>
        <v>25.87332</v>
      </c>
      <c r="I23" s="55">
        <f t="shared" si="11"/>
        <v>13.822931045338429</v>
      </c>
      <c r="J23" s="55">
        <f t="shared" si="20"/>
        <v>10.518974066881638</v>
      </c>
      <c r="K23" s="13">
        <f t="shared" si="21"/>
        <v>4.3749576758496014E-2</v>
      </c>
      <c r="L23" s="55">
        <f>+K23</f>
        <v>4.3749576758496014E-2</v>
      </c>
      <c r="M23" s="55">
        <f t="shared" si="14"/>
        <v>4.4761179413235125E-2</v>
      </c>
      <c r="N23" s="73">
        <f t="shared" si="22"/>
        <v>4.9800000000000004</v>
      </c>
      <c r="P23" s="55">
        <f t="shared" si="26"/>
        <v>7579.3608000000004</v>
      </c>
      <c r="Q23" s="55">
        <f t="shared" si="27"/>
        <v>60.878399999999601</v>
      </c>
      <c r="R23" s="50"/>
      <c r="S23" s="47">
        <f t="shared" si="23"/>
        <v>8.097165991902841E-3</v>
      </c>
    </row>
    <row r="24" spans="1:20" x14ac:dyDescent="0.25">
      <c r="A24" s="53" t="s">
        <v>54</v>
      </c>
      <c r="B24" s="54">
        <v>4.92</v>
      </c>
      <c r="C24" s="57">
        <v>4.6500000000000004</v>
      </c>
      <c r="E24" s="54">
        <f t="shared" si="18"/>
        <v>274.536</v>
      </c>
      <c r="F24" s="15">
        <f>+F21</f>
        <v>20</v>
      </c>
      <c r="G24" s="15">
        <f>+G23</f>
        <v>12</v>
      </c>
      <c r="H24" s="55">
        <f t="shared" si="19"/>
        <v>0.59039999999999992</v>
      </c>
      <c r="I24" s="55">
        <f t="shared" si="11"/>
        <v>8.1311359090226052</v>
      </c>
      <c r="J24" s="55">
        <f t="shared" si="20"/>
        <v>0.24003113203434731</v>
      </c>
      <c r="K24" s="13">
        <f t="shared" si="21"/>
        <v>2.573504515205648E-2</v>
      </c>
      <c r="L24" s="55">
        <f>+K24</f>
        <v>2.573504515205648E-2</v>
      </c>
      <c r="M24" s="55">
        <f t="shared" si="14"/>
        <v>2.6330105537197133E-2</v>
      </c>
      <c r="N24" s="73">
        <f t="shared" si="22"/>
        <v>4.68</v>
      </c>
      <c r="P24" s="55">
        <f t="shared" si="26"/>
        <v>276.30719999999997</v>
      </c>
      <c r="Q24" s="55">
        <f t="shared" si="27"/>
        <v>1.7711999999999648</v>
      </c>
      <c r="R24" s="50"/>
      <c r="S24" s="47">
        <f t="shared" si="23"/>
        <v>6.4516129032256685E-3</v>
      </c>
    </row>
    <row r="25" spans="1:20" x14ac:dyDescent="0.25">
      <c r="A25" s="53" t="s">
        <v>57</v>
      </c>
      <c r="B25" s="54">
        <v>57.03</v>
      </c>
      <c r="C25" s="57">
        <v>10.25</v>
      </c>
      <c r="E25" s="54">
        <f t="shared" si="18"/>
        <v>7014.6900000000005</v>
      </c>
      <c r="F25" s="15">
        <f>+F20</f>
        <v>68</v>
      </c>
      <c r="G25" s="15">
        <f>+G23</f>
        <v>12</v>
      </c>
      <c r="H25" s="55">
        <f t="shared" si="19"/>
        <v>23.268240000000002</v>
      </c>
      <c r="I25" s="55">
        <f t="shared" si="11"/>
        <v>27.645862090676857</v>
      </c>
      <c r="J25" s="55">
        <f t="shared" si="20"/>
        <v>9.4598610901878075</v>
      </c>
      <c r="K25" s="13">
        <f t="shared" si="21"/>
        <v>8.7499153516992029E-2</v>
      </c>
      <c r="L25" s="55">
        <f>+K25</f>
        <v>8.7499153516992029E-2</v>
      </c>
      <c r="M25" s="55">
        <f t="shared" si="14"/>
        <v>8.952235882647025E-2</v>
      </c>
      <c r="N25" s="73">
        <f t="shared" si="22"/>
        <v>10.34</v>
      </c>
      <c r="P25" s="55">
        <f t="shared" si="26"/>
        <v>7076.2824000000001</v>
      </c>
      <c r="Q25" s="55">
        <f t="shared" si="27"/>
        <v>61.592399999999543</v>
      </c>
      <c r="R25" s="50"/>
      <c r="S25" s="47">
        <f t="shared" si="23"/>
        <v>8.7804878048780358E-3</v>
      </c>
    </row>
    <row r="26" spans="1:20" x14ac:dyDescent="0.25">
      <c r="A26" s="56"/>
      <c r="B26" s="127"/>
      <c r="C26" s="131"/>
      <c r="D26" s="122"/>
      <c r="E26" s="128"/>
      <c r="F26" s="127"/>
      <c r="G26" s="127"/>
      <c r="H26" s="132"/>
      <c r="I26" s="132"/>
      <c r="J26" s="132"/>
      <c r="K26" s="133"/>
      <c r="L26" s="132"/>
      <c r="M26" s="132"/>
      <c r="N26" s="127"/>
      <c r="O26" s="127"/>
      <c r="P26" s="127"/>
      <c r="Q26" s="127"/>
      <c r="R26" s="50"/>
      <c r="S26" s="47"/>
    </row>
    <row r="27" spans="1:20" ht="15.75" thickBot="1" x14ac:dyDescent="0.3">
      <c r="A27" s="53" t="s">
        <v>117</v>
      </c>
      <c r="B27" s="58">
        <f>SUM(B11:B25)</f>
        <v>25306.600000000002</v>
      </c>
      <c r="C27" s="53"/>
      <c r="D27" s="54"/>
      <c r="E27" s="13">
        <f>SUM(E11:E25)</f>
        <v>4322305.3152000001</v>
      </c>
      <c r="H27" s="55">
        <f>SUM(H11:H25)</f>
        <v>20212.137639999997</v>
      </c>
      <c r="I27" s="55">
        <f>SUM(I11:I25)</f>
        <v>266.70125781594152</v>
      </c>
      <c r="J27" s="55">
        <f>SUM(J11:J25)</f>
        <v>8217.3819081355705</v>
      </c>
      <c r="K27" s="13"/>
      <c r="L27" s="55"/>
      <c r="M27" s="55"/>
      <c r="P27" s="130">
        <f>SUM(P11:P26)</f>
        <v>4375985.6880000001</v>
      </c>
      <c r="R27" s="50"/>
      <c r="S27" s="47"/>
    </row>
    <row r="28" spans="1:20" ht="15.75" thickBot="1" x14ac:dyDescent="0.3">
      <c r="A28" s="53" t="s">
        <v>141</v>
      </c>
      <c r="B28" s="58"/>
      <c r="C28" s="53"/>
      <c r="D28" s="54"/>
      <c r="E28" s="13"/>
      <c r="H28" s="55"/>
      <c r="I28" s="55"/>
      <c r="J28" s="55"/>
      <c r="K28" s="13"/>
      <c r="L28" s="55"/>
      <c r="M28" s="55"/>
      <c r="P28" s="28"/>
      <c r="R28" s="50"/>
      <c r="S28" s="47"/>
    </row>
    <row r="29" spans="1:20" ht="15.75" thickBot="1" x14ac:dyDescent="0.3">
      <c r="A29" s="53" t="s">
        <v>118</v>
      </c>
      <c r="B29" s="53"/>
      <c r="C29" s="53"/>
      <c r="D29" s="54"/>
      <c r="H29" s="55"/>
      <c r="I29" s="55"/>
      <c r="J29" s="55"/>
      <c r="K29" s="13"/>
      <c r="L29" s="55"/>
      <c r="M29" s="55"/>
      <c r="P29" s="60">
        <f>+P27-E27</f>
        <v>53680.372800000012</v>
      </c>
      <c r="Q29" s="59">
        <f>SUM(Q11:Q25)</f>
        <v>53680.372800000056</v>
      </c>
      <c r="R29" s="50"/>
      <c r="S29" s="47"/>
    </row>
    <row r="30" spans="1:20" x14ac:dyDescent="0.25">
      <c r="E30" s="60"/>
      <c r="I30" s="55"/>
      <c r="J30" s="55"/>
      <c r="R30" s="50"/>
      <c r="S30" s="47"/>
    </row>
    <row r="31" spans="1:20" x14ac:dyDescent="0.25">
      <c r="B31" s="76" t="s">
        <v>166</v>
      </c>
      <c r="C31" s="76" t="s">
        <v>205</v>
      </c>
      <c r="D31" s="76" t="s">
        <v>205</v>
      </c>
      <c r="F31" s="39"/>
      <c r="G31" s="39"/>
      <c r="H31" s="39"/>
      <c r="I31" s="50"/>
      <c r="J31" s="50"/>
      <c r="K31" s="129" t="s">
        <v>88</v>
      </c>
      <c r="R31" s="50"/>
      <c r="S31" s="47"/>
    </row>
    <row r="32" spans="1:20" x14ac:dyDescent="0.25">
      <c r="A32" s="152" t="s">
        <v>62</v>
      </c>
      <c r="B32" s="152" t="s">
        <v>124</v>
      </c>
      <c r="C32" s="112" t="s">
        <v>64</v>
      </c>
      <c r="D32" s="112" t="s">
        <v>65</v>
      </c>
      <c r="E32" s="112" t="s">
        <v>66</v>
      </c>
      <c r="F32" s="154"/>
      <c r="G32" s="154"/>
      <c r="H32" s="154"/>
      <c r="I32" s="155"/>
      <c r="J32" s="155"/>
      <c r="K32" s="151" t="s">
        <v>63</v>
      </c>
      <c r="M32" s="111"/>
      <c r="N32" s="112" t="s">
        <v>64</v>
      </c>
      <c r="O32" s="112" t="s">
        <v>65</v>
      </c>
      <c r="P32" s="112" t="s">
        <v>66</v>
      </c>
      <c r="Q32" s="111"/>
      <c r="R32" s="50"/>
      <c r="S32" s="153"/>
      <c r="T32" s="75"/>
    </row>
    <row r="33" spans="1:20" x14ac:dyDescent="0.25">
      <c r="A33" s="169" t="s">
        <v>165</v>
      </c>
      <c r="B33" s="161">
        <v>0</v>
      </c>
      <c r="C33" s="167">
        <v>56.43</v>
      </c>
      <c r="D33" s="167">
        <v>56.43</v>
      </c>
      <c r="E33" s="161">
        <f>(B33*C33+B33*D33*3.33)*12</f>
        <v>0</v>
      </c>
      <c r="F33" s="170">
        <v>482</v>
      </c>
      <c r="G33" s="163">
        <v>52</v>
      </c>
      <c r="H33" s="164">
        <f>+G33*F33*B33/2000</f>
        <v>0</v>
      </c>
      <c r="I33" s="165">
        <f>+F33*$I$8</f>
        <v>195.96037540744479</v>
      </c>
      <c r="J33" s="165">
        <f t="shared" ref="J33:J41" si="28">+G33*I33*B33/2000</f>
        <v>0</v>
      </c>
      <c r="K33" s="164">
        <f>+I33*$K$10</f>
        <v>0.62021458816456121</v>
      </c>
      <c r="L33" s="166"/>
      <c r="M33" s="165">
        <f>+K33/$M$10</f>
        <v>0.63455554344645093</v>
      </c>
      <c r="N33" s="167">
        <f>ROUND(C33+M33,2)</f>
        <v>57.06</v>
      </c>
      <c r="O33" s="167">
        <f>ROUND(D33+M33,2)</f>
        <v>57.06</v>
      </c>
      <c r="P33" s="63">
        <f>(B33*N33+B33*O33*3.33)*12</f>
        <v>0</v>
      </c>
      <c r="Q33" s="63">
        <f>+P33-E33</f>
        <v>0</v>
      </c>
      <c r="R33" s="50"/>
      <c r="S33" s="74">
        <f>(N33-C33)/C33</f>
        <v>1.1164274322169104E-2</v>
      </c>
      <c r="T33" s="75"/>
    </row>
    <row r="34" spans="1:20" x14ac:dyDescent="0.25">
      <c r="A34" s="168" t="s">
        <v>189</v>
      </c>
      <c r="B34" s="161">
        <v>0</v>
      </c>
      <c r="C34" s="167">
        <v>56.43</v>
      </c>
      <c r="D34" s="123"/>
      <c r="E34" s="161">
        <f>(B34*C34+B34*D34*3.33)*12</f>
        <v>0</v>
      </c>
      <c r="F34" s="170">
        <v>482</v>
      </c>
      <c r="G34" s="163">
        <v>52</v>
      </c>
      <c r="H34" s="164">
        <f>+G34*F34*B34/2000</f>
        <v>0</v>
      </c>
      <c r="I34" s="165">
        <f>+F34*$I$8</f>
        <v>195.96037540744479</v>
      </c>
      <c r="J34" s="165">
        <f t="shared" ref="J34" si="29">+G34*I34*B34/2000</f>
        <v>0</v>
      </c>
      <c r="K34" s="164">
        <f>+I34*$K$10</f>
        <v>0.62021458816456121</v>
      </c>
      <c r="L34" s="166"/>
      <c r="M34" s="165">
        <f>+K34/$M$10</f>
        <v>0.63455554344645093</v>
      </c>
      <c r="N34" s="167">
        <f>ROUND(C34+M34,2)</f>
        <v>57.06</v>
      </c>
      <c r="O34" s="123"/>
      <c r="P34" s="63">
        <f>(B34*N34+B34*O34*3.33)*12</f>
        <v>0</v>
      </c>
      <c r="Q34" s="63">
        <f>+P34-E34</f>
        <v>0</v>
      </c>
      <c r="R34" s="50"/>
      <c r="S34" s="74">
        <f>(N34-C34)/C34</f>
        <v>1.1164274322169104E-2</v>
      </c>
      <c r="T34" s="75"/>
    </row>
    <row r="35" spans="1:20" x14ac:dyDescent="0.25">
      <c r="A35" s="56" t="s">
        <v>52</v>
      </c>
      <c r="B35" s="124">
        <v>199.58</v>
      </c>
      <c r="C35" s="57">
        <v>28.56</v>
      </c>
      <c r="D35" s="57">
        <v>18.22</v>
      </c>
      <c r="E35" s="124">
        <f>(B35*C35+B35*D35*1.17)*12</f>
        <v>119454.37790399998</v>
      </c>
      <c r="F35" s="27">
        <v>175</v>
      </c>
      <c r="G35" s="26">
        <v>26</v>
      </c>
      <c r="H35" s="13">
        <f>+G35*F35*B35/2000</f>
        <v>454.04450000000003</v>
      </c>
      <c r="I35" s="55">
        <f>+F35*$I$8</f>
        <v>71.147439203947798</v>
      </c>
      <c r="J35" s="55">
        <f t="shared" si="28"/>
        <v>184.59487691221074</v>
      </c>
      <c r="K35" s="13">
        <f>+I35*$K$10</f>
        <v>0.22518164508049421</v>
      </c>
      <c r="M35" s="55">
        <f>+K35/$M$10</f>
        <v>0.23038842345047494</v>
      </c>
      <c r="N35" s="57">
        <f>ROUND(C35+M35,2)</f>
        <v>28.79</v>
      </c>
      <c r="O35" s="57">
        <f>ROUND(D35+M35,2)</f>
        <v>18.45</v>
      </c>
      <c r="P35" s="13">
        <f>(B35*N35+B35*O35*1.17)*12</f>
        <v>120649.70243999999</v>
      </c>
      <c r="Q35" s="13">
        <f>+P35-E35</f>
        <v>1195.3245360000146</v>
      </c>
      <c r="R35" s="50"/>
      <c r="S35" s="47">
        <f>(N35-C35)/C35</f>
        <v>8.0532212885154209E-3</v>
      </c>
      <c r="T35" s="75"/>
    </row>
    <row r="36" spans="1:20" x14ac:dyDescent="0.25">
      <c r="A36" s="61" t="s">
        <v>93</v>
      </c>
      <c r="B36" s="148">
        <v>9.93</v>
      </c>
      <c r="C36" s="57">
        <v>41.3</v>
      </c>
      <c r="D36" s="57"/>
      <c r="E36" s="124">
        <f>+B36*C36*12</f>
        <v>4921.308</v>
      </c>
      <c r="F36" s="62">
        <f>+F131</f>
        <v>175</v>
      </c>
      <c r="G36" s="26">
        <v>12</v>
      </c>
      <c r="H36" s="63">
        <f>+G36*F36*B36/2000</f>
        <v>10.426500000000001</v>
      </c>
      <c r="I36" s="50">
        <f>+F36*$I$8</f>
        <v>71.147439203947798</v>
      </c>
      <c r="J36" s="55">
        <f>+G36*I36*B36/2000</f>
        <v>4.2389644277712097</v>
      </c>
      <c r="K36" s="13">
        <f>+I36*$K$10</f>
        <v>0.22518164508049421</v>
      </c>
      <c r="M36" s="55">
        <f>+K36/$M$10</f>
        <v>0.23038842345047494</v>
      </c>
      <c r="N36" s="57">
        <f>ROUND(C36+M36,2)</f>
        <v>41.53</v>
      </c>
      <c r="O36" s="57"/>
      <c r="P36" s="13">
        <f>+N36*B36*12</f>
        <v>4948.7147999999997</v>
      </c>
      <c r="Q36" s="13">
        <f>+P36-E36</f>
        <v>27.406799999999748</v>
      </c>
      <c r="R36" s="50"/>
      <c r="S36" s="47">
        <f>(N36-C36)/C36</f>
        <v>5.5690072639226146E-3</v>
      </c>
      <c r="T36" s="75"/>
    </row>
    <row r="37" spans="1:20" x14ac:dyDescent="0.25">
      <c r="A37" s="61" t="s">
        <v>108</v>
      </c>
      <c r="B37" s="148">
        <v>1.99</v>
      </c>
      <c r="C37" s="57">
        <v>32.76</v>
      </c>
      <c r="D37" s="57"/>
      <c r="E37" s="124">
        <f>+B37*C37*12</f>
        <v>782.30879999999991</v>
      </c>
      <c r="F37" s="62">
        <f>+F131</f>
        <v>175</v>
      </c>
      <c r="G37" s="26">
        <v>12</v>
      </c>
      <c r="H37" s="63">
        <f>+G37*F37*B37/2000</f>
        <v>2.0895000000000001</v>
      </c>
      <c r="I37" s="50">
        <f>+F37*$I$8</f>
        <v>71.147439203947798</v>
      </c>
      <c r="J37" s="55">
        <f>+G37*I37*B37/2000</f>
        <v>0.84950042409513671</v>
      </c>
      <c r="K37" s="13">
        <f>+I37*$K$10</f>
        <v>0.22518164508049421</v>
      </c>
      <c r="M37" s="55">
        <f>+K37/$M$10</f>
        <v>0.23038842345047494</v>
      </c>
      <c r="N37" s="57">
        <f>ROUND(C37+M37,2)</f>
        <v>32.99</v>
      </c>
      <c r="O37" s="57"/>
      <c r="P37" s="13">
        <f>+N37*B37*12</f>
        <v>787.80120000000011</v>
      </c>
      <c r="Q37" s="13">
        <f>+P37-E37</f>
        <v>5.4924000000002025</v>
      </c>
      <c r="R37" s="50"/>
      <c r="S37" s="47">
        <f>(N37-C37)/C37</f>
        <v>7.0207570207571424E-3</v>
      </c>
      <c r="T37" s="75"/>
    </row>
    <row r="38" spans="1:20" x14ac:dyDescent="0.25">
      <c r="A38" s="56" t="s">
        <v>51</v>
      </c>
      <c r="B38" s="124">
        <v>296.89</v>
      </c>
      <c r="C38" s="57">
        <v>28.56</v>
      </c>
      <c r="D38" s="57">
        <v>18.22</v>
      </c>
      <c r="E38" s="124">
        <f>(B38*C38+B38*D38*3.33)*12</f>
        <v>317907.19936800003</v>
      </c>
      <c r="F38" s="27">
        <v>175</v>
      </c>
      <c r="G38" s="26">
        <v>52</v>
      </c>
      <c r="H38" s="13">
        <f t="shared" ref="H38:H87" si="30">+G38*F38*B38/2000</f>
        <v>1350.8495</v>
      </c>
      <c r="I38" s="55">
        <f t="shared" ref="I38:I124" si="31">+F38*$I$8</f>
        <v>71.147439203947798</v>
      </c>
      <c r="J38" s="55">
        <f t="shared" si="28"/>
        <v>549.19704385676164</v>
      </c>
      <c r="K38" s="13">
        <f t="shared" ref="K38:K136" si="32">+I38*$K$10</f>
        <v>0.22518164508049421</v>
      </c>
      <c r="M38" s="55">
        <f t="shared" ref="M38:M136" si="33">+K38/$M$10</f>
        <v>0.23038842345047494</v>
      </c>
      <c r="N38" s="57">
        <f t="shared" ref="N38:N136" si="34">ROUND(C38+M38,2)</f>
        <v>28.79</v>
      </c>
      <c r="O38" s="57">
        <f t="shared" ref="O38:O124" si="35">ROUND(D38+M38,2)</f>
        <v>18.45</v>
      </c>
      <c r="P38" s="13">
        <f>(B38*N38+B38*O38*3.33)*12</f>
        <v>321455.27237999998</v>
      </c>
      <c r="Q38" s="13">
        <f t="shared" ref="Q38:Q135" si="36">+P38-E38</f>
        <v>3548.0730119999498</v>
      </c>
      <c r="R38" s="50"/>
      <c r="S38" s="47">
        <f t="shared" ref="S38:S134" si="37">(N38-C38)/C38</f>
        <v>8.0532212885154209E-3</v>
      </c>
      <c r="T38" s="75"/>
    </row>
    <row r="39" spans="1:20" x14ac:dyDescent="0.25">
      <c r="A39" s="56" t="s">
        <v>50</v>
      </c>
      <c r="B39" s="124">
        <v>5.96</v>
      </c>
      <c r="C39" s="57">
        <v>28.56</v>
      </c>
      <c r="D39" s="57">
        <v>18.22</v>
      </c>
      <c r="E39" s="124">
        <f>(B39*C39+B39*D39*7.66)*12</f>
        <v>12024.314303999998</v>
      </c>
      <c r="F39" s="27">
        <v>175</v>
      </c>
      <c r="G39" s="26">
        <v>104</v>
      </c>
      <c r="H39" s="13">
        <f t="shared" si="30"/>
        <v>54.235999999999997</v>
      </c>
      <c r="I39" s="55">
        <f t="shared" si="31"/>
        <v>71.147439203947798</v>
      </c>
      <c r="J39" s="55">
        <f t="shared" si="28"/>
        <v>22.050014358087502</v>
      </c>
      <c r="K39" s="13">
        <f t="shared" si="32"/>
        <v>0.22518164508049421</v>
      </c>
      <c r="M39" s="55">
        <f t="shared" si="33"/>
        <v>0.23038842345047494</v>
      </c>
      <c r="N39" s="57">
        <f t="shared" si="34"/>
        <v>28.79</v>
      </c>
      <c r="O39" s="57">
        <f t="shared" si="35"/>
        <v>18.45</v>
      </c>
      <c r="P39" s="13">
        <f>(B39*N39+B39*O39*7.66)*12</f>
        <v>12166.767839999999</v>
      </c>
      <c r="Q39" s="13">
        <f t="shared" si="36"/>
        <v>142.4535360000009</v>
      </c>
      <c r="R39" s="50"/>
      <c r="S39" s="47">
        <f t="shared" si="37"/>
        <v>8.0532212885154209E-3</v>
      </c>
      <c r="T39" s="75"/>
    </row>
    <row r="40" spans="1:20" x14ac:dyDescent="0.25">
      <c r="A40" s="56" t="s">
        <v>49</v>
      </c>
      <c r="B40" s="124">
        <v>5.96</v>
      </c>
      <c r="C40" s="57">
        <v>28.56</v>
      </c>
      <c r="D40" s="57">
        <v>18.22</v>
      </c>
      <c r="E40" s="124">
        <f>(B40*C40+B40*D40*11.99)*12</f>
        <v>17666.713056000001</v>
      </c>
      <c r="F40" s="27">
        <v>175</v>
      </c>
      <c r="G40" s="125">
        <f>52*3</f>
        <v>156</v>
      </c>
      <c r="H40" s="13">
        <f>+G40*F40*B40/2000</f>
        <v>81.353999999999999</v>
      </c>
      <c r="I40" s="55">
        <f>+F40*$I$8</f>
        <v>71.147439203947798</v>
      </c>
      <c r="J40" s="55">
        <f t="shared" si="28"/>
        <v>33.075021537131249</v>
      </c>
      <c r="K40" s="13">
        <f>+I40*$K$10</f>
        <v>0.22518164508049421</v>
      </c>
      <c r="M40" s="55">
        <f>+K40/$M$10</f>
        <v>0.23038842345047494</v>
      </c>
      <c r="N40" s="57">
        <f t="shared" si="34"/>
        <v>28.79</v>
      </c>
      <c r="O40" s="57">
        <f t="shared" si="35"/>
        <v>18.45</v>
      </c>
      <c r="P40" s="13">
        <f>(B40*N40+B40*O40*11.99)*12</f>
        <v>17880.393360000002</v>
      </c>
      <c r="Q40" s="13">
        <f t="shared" si="36"/>
        <v>213.68030400000134</v>
      </c>
      <c r="R40" s="50"/>
      <c r="S40" s="47">
        <f t="shared" si="37"/>
        <v>8.0532212885154209E-3</v>
      </c>
      <c r="T40" s="75"/>
    </row>
    <row r="41" spans="1:20" x14ac:dyDescent="0.25">
      <c r="A41" s="56" t="s">
        <v>131</v>
      </c>
      <c r="B41" s="124">
        <v>0</v>
      </c>
      <c r="C41" s="57">
        <v>28.56</v>
      </c>
      <c r="D41" s="57">
        <v>18.22</v>
      </c>
      <c r="E41" s="124">
        <f>(B41*C41+B41*D41*16.32)*12</f>
        <v>0</v>
      </c>
      <c r="F41" s="27">
        <v>175</v>
      </c>
      <c r="G41" s="125">
        <v>208</v>
      </c>
      <c r="H41" s="13">
        <f t="shared" si="30"/>
        <v>0</v>
      </c>
      <c r="I41" s="55">
        <f t="shared" ref="I41:I43" si="38">+F41*$I$8</f>
        <v>71.147439203947798</v>
      </c>
      <c r="J41" s="55">
        <f t="shared" si="28"/>
        <v>0</v>
      </c>
      <c r="K41" s="13">
        <f>+I41*$K$10</f>
        <v>0.22518164508049421</v>
      </c>
      <c r="M41" s="55">
        <f t="shared" ref="M41:M43" si="39">+K41/$M$10</f>
        <v>0.23038842345047494</v>
      </c>
      <c r="N41" s="57">
        <f>ROUND(C41+M41,2)</f>
        <v>28.79</v>
      </c>
      <c r="O41" s="57">
        <f t="shared" ref="O41" si="40">ROUND(D41+M41,2)</f>
        <v>18.45</v>
      </c>
      <c r="P41" s="13">
        <f>(B41*N41+B41*O41*16.32)*12</f>
        <v>0</v>
      </c>
      <c r="Q41" s="13">
        <f t="shared" ref="Q41" si="41">+P41-E41</f>
        <v>0</v>
      </c>
      <c r="R41" s="50"/>
      <c r="S41" s="47">
        <f t="shared" si="37"/>
        <v>8.0532212885154209E-3</v>
      </c>
      <c r="T41" s="75"/>
    </row>
    <row r="42" spans="1:20" x14ac:dyDescent="0.25">
      <c r="A42" s="56" t="s">
        <v>145</v>
      </c>
      <c r="B42" s="124">
        <v>0</v>
      </c>
      <c r="C42" s="57">
        <v>28.56</v>
      </c>
      <c r="D42" s="57">
        <v>18.22</v>
      </c>
      <c r="E42" s="124">
        <f>(B42*C42+B42*D42*20.65)*12</f>
        <v>0</v>
      </c>
      <c r="F42" s="27">
        <v>175</v>
      </c>
      <c r="G42" s="125">
        <v>260</v>
      </c>
      <c r="H42" s="13">
        <f>+G42*F42*B42/2000</f>
        <v>0</v>
      </c>
      <c r="I42" s="55">
        <f t="shared" si="38"/>
        <v>71.147439203947798</v>
      </c>
      <c r="J42" s="55">
        <f t="shared" ref="J42" si="42">+G42*I42*B42/2000</f>
        <v>0</v>
      </c>
      <c r="K42" s="13">
        <f t="shared" ref="K42" si="43">+I42*$K$10</f>
        <v>0.22518164508049421</v>
      </c>
      <c r="M42" s="55">
        <f t="shared" si="39"/>
        <v>0.23038842345047494</v>
      </c>
      <c r="N42" s="57">
        <f t="shared" ref="N42:N43" si="44">ROUND(C42+M42,2)</f>
        <v>28.79</v>
      </c>
      <c r="O42" s="57">
        <f t="shared" ref="O42:O43" si="45">ROUND(D42+M42,2)</f>
        <v>18.45</v>
      </c>
      <c r="P42" s="13">
        <f>(B42*N42+B42*O42*20.65)*12</f>
        <v>0</v>
      </c>
      <c r="Q42" s="13">
        <f t="shared" ref="Q42:Q43" si="46">+P42-E42</f>
        <v>0</v>
      </c>
      <c r="R42" s="50"/>
      <c r="S42" s="47">
        <f t="shared" ref="S42:S43" si="47">(N42-C42)/C42</f>
        <v>8.0532212885154209E-3</v>
      </c>
      <c r="T42" s="75"/>
    </row>
    <row r="43" spans="1:20" x14ac:dyDescent="0.25">
      <c r="A43" s="56" t="s">
        <v>146</v>
      </c>
      <c r="B43" s="124">
        <v>0</v>
      </c>
      <c r="C43" s="57">
        <v>28.56</v>
      </c>
      <c r="D43" s="57">
        <v>18.22</v>
      </c>
      <c r="E43" s="124">
        <f>(B43*C43+B43*D43*24.98)*12</f>
        <v>0</v>
      </c>
      <c r="F43" s="27">
        <v>175</v>
      </c>
      <c r="G43" s="125">
        <v>312</v>
      </c>
      <c r="H43" s="13">
        <f t="shared" si="30"/>
        <v>0</v>
      </c>
      <c r="I43" s="55">
        <f t="shared" si="38"/>
        <v>71.147439203947798</v>
      </c>
      <c r="J43" s="55">
        <f>+G43*I43*B43/2000</f>
        <v>0</v>
      </c>
      <c r="K43" s="13">
        <f>+I43*$K$10</f>
        <v>0.22518164508049421</v>
      </c>
      <c r="M43" s="55">
        <f t="shared" si="39"/>
        <v>0.23038842345047494</v>
      </c>
      <c r="N43" s="57">
        <f t="shared" si="44"/>
        <v>28.79</v>
      </c>
      <c r="O43" s="57">
        <f t="shared" si="45"/>
        <v>18.45</v>
      </c>
      <c r="P43" s="13">
        <f>(B43*N43+B43*O43*24.98)*12</f>
        <v>0</v>
      </c>
      <c r="Q43" s="13">
        <f t="shared" si="46"/>
        <v>0</v>
      </c>
      <c r="R43" s="50"/>
      <c r="S43" s="47">
        <f t="shared" si="47"/>
        <v>8.0532212885154209E-3</v>
      </c>
      <c r="T43" s="75"/>
    </row>
    <row r="44" spans="1:20" x14ac:dyDescent="0.25">
      <c r="A44" s="169" t="s">
        <v>147</v>
      </c>
      <c r="B44" s="161">
        <v>3.97</v>
      </c>
      <c r="C44" s="167">
        <v>77.849999999999994</v>
      </c>
      <c r="D44" s="167">
        <v>77.849999999999994</v>
      </c>
      <c r="E44" s="161">
        <f>(B44*C44+B44*D44*3.33)*12</f>
        <v>16058.991420000002</v>
      </c>
      <c r="F44" s="170">
        <v>689</v>
      </c>
      <c r="G44" s="170">
        <v>52</v>
      </c>
      <c r="H44" s="164">
        <f>+G44*F44*B44/2000</f>
        <v>71.118580000000009</v>
      </c>
      <c r="I44" s="165">
        <f>+F44*$I$8</f>
        <v>280.11763206582873</v>
      </c>
      <c r="J44" s="165">
        <f>+G44*I44*B44/2000</f>
        <v>28.913741981834843</v>
      </c>
      <c r="K44" s="164">
        <f>+I44*$K$10</f>
        <v>0.88657230548834565</v>
      </c>
      <c r="L44" s="166"/>
      <c r="M44" s="165">
        <f>+K44/$M$10</f>
        <v>0.90707213575644119</v>
      </c>
      <c r="N44" s="167">
        <f t="shared" ref="N44" si="48">ROUND(C44+M44,2)</f>
        <v>78.760000000000005</v>
      </c>
      <c r="O44" s="167">
        <f t="shared" ref="O44" si="49">ROUND(D44+M44,2)</f>
        <v>78.760000000000005</v>
      </c>
      <c r="P44" s="13">
        <f>(B44*N44+B44*O44*3.33)*12</f>
        <v>16246.707312000002</v>
      </c>
      <c r="Q44" s="13">
        <f>+P44-E44</f>
        <v>187.71589200000017</v>
      </c>
      <c r="R44" s="50"/>
      <c r="S44" s="47">
        <f t="shared" ref="S44:S45" si="50">(N44-C44)/C44</f>
        <v>1.1689145793192175E-2</v>
      </c>
      <c r="T44" s="75"/>
    </row>
    <row r="45" spans="1:20" x14ac:dyDescent="0.25">
      <c r="A45" s="168" t="s">
        <v>190</v>
      </c>
      <c r="B45" s="161">
        <v>0</v>
      </c>
      <c r="C45" s="167">
        <v>77.849999999999994</v>
      </c>
      <c r="D45" s="123"/>
      <c r="E45" s="161">
        <f>(B45*C45+B45*D45*3.33)*12</f>
        <v>0</v>
      </c>
      <c r="F45" s="170">
        <v>689</v>
      </c>
      <c r="G45" s="170">
        <v>52</v>
      </c>
      <c r="H45" s="164">
        <f>+G45*F45*B45/2000</f>
        <v>0</v>
      </c>
      <c r="I45" s="165">
        <f>+F45*$I$8</f>
        <v>280.11763206582873</v>
      </c>
      <c r="J45" s="165">
        <f>+G45*I45*B45/2000</f>
        <v>0</v>
      </c>
      <c r="K45" s="164">
        <f>+I45*$K$10</f>
        <v>0.88657230548834565</v>
      </c>
      <c r="L45" s="166"/>
      <c r="M45" s="165">
        <f>+K45/$M$10</f>
        <v>0.90707213575644119</v>
      </c>
      <c r="N45" s="167">
        <f t="shared" ref="N45" si="51">ROUND(C45+M45,2)</f>
        <v>78.760000000000005</v>
      </c>
      <c r="O45" s="123"/>
      <c r="P45" s="13">
        <f>(B45*N45+B45*O45*3.33)*12</f>
        <v>0</v>
      </c>
      <c r="Q45" s="13">
        <f>+P45-E45</f>
        <v>0</v>
      </c>
      <c r="R45" s="50"/>
      <c r="S45" s="47">
        <f t="shared" si="50"/>
        <v>1.1689145793192175E-2</v>
      </c>
      <c r="T45" s="75"/>
    </row>
    <row r="46" spans="1:20" x14ac:dyDescent="0.25">
      <c r="A46" s="56" t="s">
        <v>48</v>
      </c>
      <c r="B46" s="124">
        <v>76.459999999999994</v>
      </c>
      <c r="C46" s="57">
        <v>37.99</v>
      </c>
      <c r="D46" s="57">
        <v>25.69</v>
      </c>
      <c r="E46" s="124">
        <f>(B46*C46+B46*D46*1.17)*12</f>
        <v>62434.758696000004</v>
      </c>
      <c r="F46" s="27">
        <v>250</v>
      </c>
      <c r="G46" s="125">
        <f>+G35</f>
        <v>26</v>
      </c>
      <c r="H46" s="13">
        <f t="shared" si="30"/>
        <v>248.49499999999998</v>
      </c>
      <c r="I46" s="55">
        <f t="shared" si="31"/>
        <v>101.63919886278256</v>
      </c>
      <c r="J46" s="55">
        <f t="shared" ref="J46:J87" si="52">+G46*I46*B46/2000</f>
        <v>101.0273308856286</v>
      </c>
      <c r="K46" s="13">
        <f t="shared" si="32"/>
        <v>0.32168806440070602</v>
      </c>
      <c r="M46" s="55">
        <f t="shared" si="33"/>
        <v>0.32912631921496421</v>
      </c>
      <c r="N46" s="57">
        <f t="shared" si="34"/>
        <v>38.32</v>
      </c>
      <c r="O46" s="57">
        <f t="shared" si="35"/>
        <v>26.02</v>
      </c>
      <c r="P46" s="13">
        <f>(B46*N46+B46*O46*1.17)*12</f>
        <v>63091.794767999992</v>
      </c>
      <c r="Q46" s="13">
        <f t="shared" si="36"/>
        <v>657.03607199998805</v>
      </c>
      <c r="R46" s="50"/>
      <c r="S46" s="47">
        <f t="shared" si="37"/>
        <v>8.6864964464332273E-3</v>
      </c>
      <c r="T46" s="75"/>
    </row>
    <row r="47" spans="1:20" x14ac:dyDescent="0.25">
      <c r="A47" s="61" t="s">
        <v>96</v>
      </c>
      <c r="B47" s="148">
        <v>5.96</v>
      </c>
      <c r="C47" s="57">
        <v>48.77</v>
      </c>
      <c r="D47" s="57"/>
      <c r="E47" s="124">
        <f>+B47*C47*12</f>
        <v>3488.0303999999996</v>
      </c>
      <c r="F47" s="62">
        <f>+F132</f>
        <v>250</v>
      </c>
      <c r="G47" s="26">
        <v>12</v>
      </c>
      <c r="H47" s="63">
        <f>+G47*F47*B47/2000</f>
        <v>8.94</v>
      </c>
      <c r="I47" s="50">
        <f>+F47*$I$8</f>
        <v>101.63919886278256</v>
      </c>
      <c r="J47" s="55">
        <f>+G47*I47*B47/2000</f>
        <v>3.6346177513331046</v>
      </c>
      <c r="K47" s="13">
        <f>+I47*$K$10</f>
        <v>0.32168806440070602</v>
      </c>
      <c r="M47" s="55">
        <f>+K47/$M$10</f>
        <v>0.32912631921496421</v>
      </c>
      <c r="N47" s="57">
        <f>ROUND(C47+M47,2)</f>
        <v>49.1</v>
      </c>
      <c r="O47" s="57"/>
      <c r="P47" s="13">
        <f>+N47*B47*12</f>
        <v>3511.6320000000005</v>
      </c>
      <c r="Q47" s="13">
        <f>+P47-E47</f>
        <v>23.601600000000872</v>
      </c>
      <c r="R47" s="50"/>
      <c r="S47" s="47">
        <f>(N47-C47)/C47</f>
        <v>6.7664547877793373E-3</v>
      </c>
      <c r="T47" s="75"/>
    </row>
    <row r="48" spans="1:20" x14ac:dyDescent="0.25">
      <c r="A48" s="61" t="s">
        <v>109</v>
      </c>
      <c r="B48" s="148">
        <v>1.99</v>
      </c>
      <c r="C48" s="57">
        <v>37.340000000000003</v>
      </c>
      <c r="D48" s="57"/>
      <c r="E48" s="124">
        <f>+B48*C48*12</f>
        <v>891.67920000000004</v>
      </c>
      <c r="F48" s="62">
        <f>+F47</f>
        <v>250</v>
      </c>
      <c r="G48" s="26">
        <v>12</v>
      </c>
      <c r="H48" s="63">
        <f>+G48*F48*B48/2000</f>
        <v>2.9849999999999999</v>
      </c>
      <c r="I48" s="50">
        <f>+F48*$I$8</f>
        <v>101.63919886278256</v>
      </c>
      <c r="J48" s="55">
        <f>+G48*I48*B48/2000</f>
        <v>1.2135720344216239</v>
      </c>
      <c r="K48" s="13">
        <f>+I48*$K$10</f>
        <v>0.32168806440070602</v>
      </c>
      <c r="M48" s="55">
        <f>+K48/$M$10</f>
        <v>0.32912631921496421</v>
      </c>
      <c r="N48" s="57">
        <f>ROUND(C48+M48,2)</f>
        <v>37.67</v>
      </c>
      <c r="O48" s="57"/>
      <c r="P48" s="13">
        <f>+N48*B48*12</f>
        <v>899.55960000000005</v>
      </c>
      <c r="Q48" s="13">
        <f>+P48-E48</f>
        <v>7.8804000000000087</v>
      </c>
      <c r="R48" s="50"/>
      <c r="S48" s="47">
        <f>(N48-C48)/C48</f>
        <v>8.8377075522227712E-3</v>
      </c>
      <c r="T48" s="75"/>
    </row>
    <row r="49" spans="1:20" s="39" customFormat="1" x14ac:dyDescent="0.25">
      <c r="A49" s="56" t="s">
        <v>47</v>
      </c>
      <c r="B49" s="124">
        <v>221.43</v>
      </c>
      <c r="C49" s="57">
        <v>37.99</v>
      </c>
      <c r="D49" s="57">
        <v>25.69</v>
      </c>
      <c r="E49" s="124">
        <f>(B49*C49+B49*D49*3.33)*12</f>
        <v>328259.43493200006</v>
      </c>
      <c r="F49" s="125">
        <v>250</v>
      </c>
      <c r="G49" s="26">
        <f>+G38</f>
        <v>52</v>
      </c>
      <c r="H49" s="63">
        <f t="shared" si="30"/>
        <v>1439.2950000000001</v>
      </c>
      <c r="I49" s="50">
        <f t="shared" si="31"/>
        <v>101.63919886278256</v>
      </c>
      <c r="J49" s="50">
        <f t="shared" si="52"/>
        <v>585.15516290883454</v>
      </c>
      <c r="K49" s="63">
        <f t="shared" si="32"/>
        <v>0.32168806440070602</v>
      </c>
      <c r="M49" s="50">
        <f t="shared" si="33"/>
        <v>0.32912631921496421</v>
      </c>
      <c r="N49" s="57">
        <f t="shared" si="34"/>
        <v>38.32</v>
      </c>
      <c r="O49" s="57">
        <f t="shared" si="35"/>
        <v>26.02</v>
      </c>
      <c r="P49" s="63">
        <f>(B49*N49+B49*O49*3.33)*12</f>
        <v>332056.250856</v>
      </c>
      <c r="Q49" s="63">
        <f>+P49-E49</f>
        <v>3796.8159239999368</v>
      </c>
      <c r="R49" s="50"/>
      <c r="S49" s="74">
        <f t="shared" si="37"/>
        <v>8.6864964464332273E-3</v>
      </c>
      <c r="T49" s="75"/>
    </row>
    <row r="50" spans="1:20" x14ac:dyDescent="0.25">
      <c r="A50" s="56" t="s">
        <v>46</v>
      </c>
      <c r="B50" s="124">
        <v>23.83</v>
      </c>
      <c r="C50" s="57">
        <v>37.99</v>
      </c>
      <c r="D50" s="57">
        <v>25.69</v>
      </c>
      <c r="E50" s="124">
        <f>(B50*C50+B50*D50*7.66)*12</f>
        <v>67136.373383999991</v>
      </c>
      <c r="F50" s="27">
        <v>250</v>
      </c>
      <c r="G50" s="26">
        <f>+G39</f>
        <v>104</v>
      </c>
      <c r="H50" s="13">
        <f t="shared" si="30"/>
        <v>309.79000000000002</v>
      </c>
      <c r="I50" s="55">
        <f t="shared" si="31"/>
        <v>101.63919886278256</v>
      </c>
      <c r="J50" s="55">
        <f t="shared" si="52"/>
        <v>125.94722966280563</v>
      </c>
      <c r="K50" s="13">
        <f t="shared" si="32"/>
        <v>0.32168806440070602</v>
      </c>
      <c r="M50" s="55">
        <f t="shared" si="33"/>
        <v>0.32912631921496421</v>
      </c>
      <c r="N50" s="57">
        <f t="shared" si="34"/>
        <v>38.32</v>
      </c>
      <c r="O50" s="57">
        <f t="shared" si="35"/>
        <v>26.02</v>
      </c>
      <c r="P50" s="13">
        <f>(B50*N50+B50*O50*7.66)*12</f>
        <v>67953.589871999982</v>
      </c>
      <c r="Q50" s="13">
        <f t="shared" si="36"/>
        <v>817.21648799999093</v>
      </c>
      <c r="R50" s="50"/>
      <c r="S50" s="47">
        <f t="shared" si="37"/>
        <v>8.6864964464332273E-3</v>
      </c>
      <c r="T50" s="75"/>
    </row>
    <row r="51" spans="1:20" x14ac:dyDescent="0.25">
      <c r="A51" s="56" t="s">
        <v>45</v>
      </c>
      <c r="B51" s="124">
        <v>4.96</v>
      </c>
      <c r="C51" s="57">
        <v>37.99</v>
      </c>
      <c r="D51" s="57">
        <v>25.69</v>
      </c>
      <c r="E51" s="124">
        <f>(B51*C51+B51*D51*11.99)*12</f>
        <v>20594.699712000001</v>
      </c>
      <c r="F51" s="27">
        <v>250</v>
      </c>
      <c r="G51" s="125">
        <f>+G40</f>
        <v>156</v>
      </c>
      <c r="H51" s="13">
        <f t="shared" si="30"/>
        <v>96.72</v>
      </c>
      <c r="I51" s="55">
        <f t="shared" si="31"/>
        <v>101.63919886278256</v>
      </c>
      <c r="J51" s="55">
        <f t="shared" si="52"/>
        <v>39.322173256033317</v>
      </c>
      <c r="K51" s="13">
        <f t="shared" si="32"/>
        <v>0.32168806440070602</v>
      </c>
      <c r="M51" s="55">
        <f t="shared" si="33"/>
        <v>0.32912631921496421</v>
      </c>
      <c r="N51" s="57">
        <f t="shared" si="34"/>
        <v>38.32</v>
      </c>
      <c r="O51" s="57">
        <f t="shared" si="35"/>
        <v>26.02</v>
      </c>
      <c r="P51" s="13">
        <f>(B51*N51+B51*O51*11.99)*12</f>
        <v>20849.844096000001</v>
      </c>
      <c r="Q51" s="13">
        <f t="shared" si="36"/>
        <v>255.14438399999926</v>
      </c>
      <c r="R51" s="50"/>
      <c r="S51" s="47">
        <f t="shared" si="37"/>
        <v>8.6864964464332273E-3</v>
      </c>
      <c r="T51" s="75"/>
    </row>
    <row r="52" spans="1:20" x14ac:dyDescent="0.25">
      <c r="A52" s="56" t="s">
        <v>132</v>
      </c>
      <c r="B52" s="124">
        <v>0</v>
      </c>
      <c r="C52" s="57">
        <v>37.99</v>
      </c>
      <c r="D52" s="57">
        <v>25.69</v>
      </c>
      <c r="E52" s="124">
        <f>(B52*C52+B52*D52*16.32)*12</f>
        <v>0</v>
      </c>
      <c r="F52" s="27">
        <v>250</v>
      </c>
      <c r="G52" s="125">
        <f>+G41</f>
        <v>208</v>
      </c>
      <c r="H52" s="13">
        <f t="shared" si="30"/>
        <v>0</v>
      </c>
      <c r="I52" s="55">
        <f t="shared" ref="I52" si="53">+F52*$I$8</f>
        <v>101.63919886278256</v>
      </c>
      <c r="J52" s="55">
        <f t="shared" si="52"/>
        <v>0</v>
      </c>
      <c r="K52" s="13">
        <f t="shared" ref="K52" si="54">+I52*$K$10</f>
        <v>0.32168806440070602</v>
      </c>
      <c r="M52" s="55">
        <f t="shared" ref="M52" si="55">+K52/$M$10</f>
        <v>0.32912631921496421</v>
      </c>
      <c r="N52" s="57">
        <f t="shared" ref="N52" si="56">ROUND(C52+M52,2)</f>
        <v>38.32</v>
      </c>
      <c r="O52" s="57">
        <f t="shared" ref="O52" si="57">ROUND(D52+M52,2)</f>
        <v>26.02</v>
      </c>
      <c r="P52" s="13">
        <f>(B52*N52+B52*O52*16.32)*12</f>
        <v>0</v>
      </c>
      <c r="Q52" s="13">
        <f t="shared" ref="Q52" si="58">+P52-E52</f>
        <v>0</v>
      </c>
      <c r="R52" s="50"/>
      <c r="S52" s="47">
        <f t="shared" si="37"/>
        <v>8.6864964464332273E-3</v>
      </c>
      <c r="T52" s="75"/>
    </row>
    <row r="53" spans="1:20" x14ac:dyDescent="0.25">
      <c r="A53" s="56" t="s">
        <v>148</v>
      </c>
      <c r="B53" s="124">
        <v>0</v>
      </c>
      <c r="C53" s="57">
        <v>37.99</v>
      </c>
      <c r="D53" s="57">
        <v>25.69</v>
      </c>
      <c r="E53" s="124">
        <f>(B53*C53+B53*D53*20.65)*12</f>
        <v>0</v>
      </c>
      <c r="F53" s="27">
        <v>250</v>
      </c>
      <c r="G53" s="125">
        <v>260</v>
      </c>
      <c r="H53" s="13">
        <f t="shared" ref="H53:H54" si="59">+G53*F53*B53/2000</f>
        <v>0</v>
      </c>
      <c r="I53" s="55">
        <f t="shared" ref="I53:I54" si="60">+F53*$I$8</f>
        <v>101.63919886278256</v>
      </c>
      <c r="J53" s="55">
        <f t="shared" ref="J53:J54" si="61">+G53*I53*B53/2000</f>
        <v>0</v>
      </c>
      <c r="K53" s="13">
        <f t="shared" ref="K53:K54" si="62">+I53*$K$10</f>
        <v>0.32168806440070602</v>
      </c>
      <c r="M53" s="55">
        <f t="shared" ref="M53:M54" si="63">+K53/$M$10</f>
        <v>0.32912631921496421</v>
      </c>
      <c r="N53" s="57">
        <f t="shared" ref="N53:N54" si="64">ROUND(C53+M53,2)</f>
        <v>38.32</v>
      </c>
      <c r="O53" s="57">
        <f t="shared" ref="O53:O54" si="65">ROUND(D53+M53,2)</f>
        <v>26.02</v>
      </c>
      <c r="P53" s="13">
        <f>(B53*N53+B53*O53*20.65)*12</f>
        <v>0</v>
      </c>
      <c r="Q53" s="13">
        <f t="shared" ref="Q53:Q54" si="66">+P53-E53</f>
        <v>0</v>
      </c>
      <c r="R53" s="50"/>
      <c r="S53" s="47">
        <f t="shared" ref="S53:S54" si="67">(N53-C53)/C53</f>
        <v>8.6864964464332273E-3</v>
      </c>
      <c r="T53" s="75"/>
    </row>
    <row r="54" spans="1:20" x14ac:dyDescent="0.25">
      <c r="A54" s="56" t="s">
        <v>149</v>
      </c>
      <c r="B54" s="124">
        <v>0</v>
      </c>
      <c r="C54" s="57">
        <v>37.99</v>
      </c>
      <c r="D54" s="57">
        <v>25.69</v>
      </c>
      <c r="E54" s="124">
        <f>(B54*C54+B54*D54*24.98)*12</f>
        <v>0</v>
      </c>
      <c r="F54" s="27">
        <v>250</v>
      </c>
      <c r="G54" s="125">
        <v>312</v>
      </c>
      <c r="H54" s="13">
        <f t="shared" si="59"/>
        <v>0</v>
      </c>
      <c r="I54" s="55">
        <f t="shared" si="60"/>
        <v>101.63919886278256</v>
      </c>
      <c r="J54" s="55">
        <f t="shared" si="61"/>
        <v>0</v>
      </c>
      <c r="K54" s="13">
        <f t="shared" si="62"/>
        <v>0.32168806440070602</v>
      </c>
      <c r="M54" s="55">
        <f t="shared" si="63"/>
        <v>0.32912631921496421</v>
      </c>
      <c r="N54" s="57">
        <f t="shared" si="64"/>
        <v>38.32</v>
      </c>
      <c r="O54" s="57">
        <f t="shared" si="65"/>
        <v>26.02</v>
      </c>
      <c r="P54" s="13">
        <f>(B54*N54+B54*O54*24.98)*12</f>
        <v>0</v>
      </c>
      <c r="Q54" s="13">
        <f t="shared" si="66"/>
        <v>0</v>
      </c>
      <c r="R54" s="50"/>
      <c r="S54" s="47">
        <f t="shared" si="67"/>
        <v>8.6864964464332273E-3</v>
      </c>
      <c r="T54" s="75"/>
    </row>
    <row r="55" spans="1:20" x14ac:dyDescent="0.25">
      <c r="A55" s="171" t="s">
        <v>44</v>
      </c>
      <c r="B55" s="161">
        <v>3.97</v>
      </c>
      <c r="C55" s="167">
        <v>98.19</v>
      </c>
      <c r="D55" s="167">
        <v>98.19</v>
      </c>
      <c r="E55" s="161">
        <f>(B55*C55+B55*D55*3.33)*12</f>
        <v>20254.751027999999</v>
      </c>
      <c r="F55" s="170">
        <v>892</v>
      </c>
      <c r="G55" s="163">
        <v>52</v>
      </c>
      <c r="H55" s="164">
        <f t="shared" si="30"/>
        <v>92.072240000000008</v>
      </c>
      <c r="I55" s="165">
        <f t="shared" si="31"/>
        <v>362.64866154240821</v>
      </c>
      <c r="J55" s="165">
        <f t="shared" si="52"/>
        <v>37.432594844407376</v>
      </c>
      <c r="K55" s="164">
        <f t="shared" si="32"/>
        <v>1.1477830137817191</v>
      </c>
      <c r="L55" s="166"/>
      <c r="M55" s="165">
        <f t="shared" si="33"/>
        <v>1.1743227069589923</v>
      </c>
      <c r="N55" s="167">
        <f t="shared" si="34"/>
        <v>99.36</v>
      </c>
      <c r="O55" s="167">
        <f t="shared" si="35"/>
        <v>99.36</v>
      </c>
      <c r="P55" s="13">
        <f>(B55*N55+B55*O55*3.33)*12</f>
        <v>20496.100032000002</v>
      </c>
      <c r="Q55" s="13">
        <f t="shared" si="36"/>
        <v>241.34900400000333</v>
      </c>
      <c r="R55" s="50"/>
      <c r="S55" s="47">
        <f t="shared" si="37"/>
        <v>1.1915673693858863E-2</v>
      </c>
      <c r="T55" s="75"/>
    </row>
    <row r="56" spans="1:20" x14ac:dyDescent="0.25">
      <c r="A56" s="56" t="s">
        <v>150</v>
      </c>
      <c r="B56" s="124">
        <v>0.99</v>
      </c>
      <c r="C56" s="57">
        <v>98.19</v>
      </c>
      <c r="D56" s="57">
        <v>98.19</v>
      </c>
      <c r="E56" s="124">
        <f>(B56*C56+B56*D56*7.66)*12</f>
        <v>10101.865752</v>
      </c>
      <c r="F56" s="125">
        <v>892</v>
      </c>
      <c r="G56" s="26">
        <v>104</v>
      </c>
      <c r="H56" s="13">
        <f t="shared" ref="H56" si="68">+G56*F56*B56/2000</f>
        <v>45.920159999999996</v>
      </c>
      <c r="I56" s="55">
        <f t="shared" ref="I56" si="69">+F56*$I$8</f>
        <v>362.64866154240821</v>
      </c>
      <c r="J56" s="55">
        <f t="shared" ref="J56" si="70">+G56*I56*B56/2000</f>
        <v>18.669153096203171</v>
      </c>
      <c r="K56" s="13">
        <f t="shared" ref="K56" si="71">+I56*$K$10</f>
        <v>1.1477830137817191</v>
      </c>
      <c r="M56" s="55">
        <f t="shared" ref="M56" si="72">+K56/$M$10</f>
        <v>1.1743227069589923</v>
      </c>
      <c r="N56" s="57">
        <f t="shared" ref="N56" si="73">ROUND(C56+M56,2)</f>
        <v>99.36</v>
      </c>
      <c r="O56" s="57">
        <f t="shared" ref="O56" si="74">ROUND(D56+M56,2)</f>
        <v>99.36</v>
      </c>
      <c r="P56" s="13">
        <f>(B56*N56+B56*O56*7.66)*12</f>
        <v>10222.236288</v>
      </c>
      <c r="Q56" s="13">
        <f t="shared" ref="Q56" si="75">+P56-E56</f>
        <v>120.37053600000036</v>
      </c>
      <c r="R56" s="50"/>
      <c r="S56" s="47">
        <f t="shared" ref="S56" si="76">(N56-C56)/C56</f>
        <v>1.1915673693858863E-2</v>
      </c>
      <c r="T56" s="75"/>
    </row>
    <row r="57" spans="1:20" x14ac:dyDescent="0.25">
      <c r="A57" s="168" t="s">
        <v>181</v>
      </c>
      <c r="B57" s="161">
        <v>0</v>
      </c>
      <c r="C57" s="167">
        <v>98.19</v>
      </c>
      <c r="D57" s="123"/>
      <c r="E57" s="161">
        <f>(B57*C57+B57*D57*3.33)*12</f>
        <v>0</v>
      </c>
      <c r="F57" s="170">
        <v>892</v>
      </c>
      <c r="G57" s="163">
        <v>52</v>
      </c>
      <c r="H57" s="164">
        <f t="shared" ref="H57" si="77">+G57*F57*B57/2000</f>
        <v>0</v>
      </c>
      <c r="I57" s="165">
        <f t="shared" ref="I57" si="78">+F57*$I$8</f>
        <v>362.64866154240821</v>
      </c>
      <c r="J57" s="165">
        <f t="shared" ref="J57" si="79">+G57*I57*B57/2000</f>
        <v>0</v>
      </c>
      <c r="K57" s="164">
        <f t="shared" ref="K57" si="80">+I57*$K$10</f>
        <v>1.1477830137817191</v>
      </c>
      <c r="L57" s="166"/>
      <c r="M57" s="165">
        <f t="shared" ref="M57" si="81">+K57/$M$10</f>
        <v>1.1743227069589923</v>
      </c>
      <c r="N57" s="167">
        <f>ROUND(C57+M57,2)</f>
        <v>99.36</v>
      </c>
      <c r="O57" s="123"/>
      <c r="P57" s="13">
        <f>(B57*N57+B57*O57*7.66)*12</f>
        <v>0</v>
      </c>
      <c r="Q57" s="13">
        <f t="shared" ref="Q57" si="82">+P57-E57</f>
        <v>0</v>
      </c>
      <c r="R57" s="50"/>
      <c r="S57" s="47">
        <f t="shared" ref="S57" si="83">(N57-C57)/C57</f>
        <v>1.1915673693858863E-2</v>
      </c>
      <c r="T57" s="75"/>
    </row>
    <row r="58" spans="1:20" x14ac:dyDescent="0.25">
      <c r="A58" s="56" t="s">
        <v>43</v>
      </c>
      <c r="B58" s="124">
        <v>196.6</v>
      </c>
      <c r="C58" s="57">
        <v>47.28</v>
      </c>
      <c r="D58" s="57">
        <v>33.340000000000003</v>
      </c>
      <c r="E58" s="124">
        <f>(B58*C58+B58*D58*1.17)*12</f>
        <v>203570.17775999999</v>
      </c>
      <c r="F58" s="27">
        <v>324</v>
      </c>
      <c r="G58" s="125">
        <f>+G35</f>
        <v>26</v>
      </c>
      <c r="H58" s="13">
        <f>+G58*F58*B58/2000</f>
        <v>828.0791999999999</v>
      </c>
      <c r="I58" s="55">
        <f>+F58*$I$8</f>
        <v>131.72440172616621</v>
      </c>
      <c r="J58" s="55">
        <f>+G58*I58*B58/2000</f>
        <v>336.6612259317356</v>
      </c>
      <c r="K58" s="13">
        <f>+I58*$K$10</f>
        <v>0.416907731463315</v>
      </c>
      <c r="M58" s="55">
        <f>+K58/$M$10</f>
        <v>0.42654770970259359</v>
      </c>
      <c r="N58" s="57">
        <f>ROUND(C58+M58,2)</f>
        <v>47.71</v>
      </c>
      <c r="O58" s="57">
        <f>ROUND(D58+M58,2)</f>
        <v>33.770000000000003</v>
      </c>
      <c r="P58" s="13">
        <f>(B58*N58+B58*O58*1.17)*12</f>
        <v>205771.54728000003</v>
      </c>
      <c r="Q58" s="13">
        <f>+P58-E58</f>
        <v>2201.3695200000366</v>
      </c>
      <c r="R58" s="50"/>
      <c r="S58" s="47">
        <f>(N58-C58)/C58</f>
        <v>9.0947546531302808E-3</v>
      </c>
      <c r="T58" s="75"/>
    </row>
    <row r="59" spans="1:20" x14ac:dyDescent="0.25">
      <c r="A59" s="61" t="s">
        <v>98</v>
      </c>
      <c r="B59" s="148">
        <v>32.770000000000003</v>
      </c>
      <c r="C59" s="57">
        <v>56.42</v>
      </c>
      <c r="D59" s="57"/>
      <c r="E59" s="124">
        <f>+B59*C59*12</f>
        <v>22186.6008</v>
      </c>
      <c r="F59" s="62">
        <f>+F133</f>
        <v>324</v>
      </c>
      <c r="G59" s="26">
        <v>12</v>
      </c>
      <c r="H59" s="63">
        <f>+G59*F59*B59/2000</f>
        <v>63.704880000000003</v>
      </c>
      <c r="I59" s="50">
        <f>+F59*$I$8</f>
        <v>131.72440172616621</v>
      </c>
      <c r="J59" s="55">
        <f>+G59*I59*B59/2000</f>
        <v>25.899651867398802</v>
      </c>
      <c r="K59" s="13">
        <f>+I59*$K$10</f>
        <v>0.416907731463315</v>
      </c>
      <c r="M59" s="55">
        <f>+K59/$M$10</f>
        <v>0.42654770970259359</v>
      </c>
      <c r="N59" s="57">
        <f>ROUND(C59+M59,2)</f>
        <v>56.85</v>
      </c>
      <c r="O59" s="57"/>
      <c r="P59" s="13">
        <f>+N59*B59*12</f>
        <v>22355.694000000003</v>
      </c>
      <c r="Q59" s="13">
        <f>+P59-E59</f>
        <v>169.09320000000298</v>
      </c>
      <c r="R59" s="50"/>
      <c r="S59" s="47">
        <f>(N59-C59)/C59</f>
        <v>7.6214108472172932E-3</v>
      </c>
      <c r="T59" s="75"/>
    </row>
    <row r="60" spans="1:20" x14ac:dyDescent="0.25">
      <c r="A60" s="61" t="s">
        <v>110</v>
      </c>
      <c r="B60" s="148">
        <v>11.92</v>
      </c>
      <c r="C60" s="57">
        <v>58.29</v>
      </c>
      <c r="D60" s="57"/>
      <c r="E60" s="124">
        <f>+B60*C60*12</f>
        <v>8337.8015999999989</v>
      </c>
      <c r="F60" s="62">
        <f>+F59</f>
        <v>324</v>
      </c>
      <c r="G60" s="26">
        <v>12</v>
      </c>
      <c r="H60" s="63">
        <f>+G60*F60*B60/2000</f>
        <v>23.17248</v>
      </c>
      <c r="I60" s="50">
        <f>+F60*$I$8</f>
        <v>131.72440172616621</v>
      </c>
      <c r="J60" s="55">
        <f>+G60*I60*B60/2000</f>
        <v>9.4209292114554071</v>
      </c>
      <c r="K60" s="13">
        <f>+I60*$K$10</f>
        <v>0.416907731463315</v>
      </c>
      <c r="M60" s="55">
        <f>+K60/$M$10</f>
        <v>0.42654770970259359</v>
      </c>
      <c r="N60" s="57">
        <f>ROUND(C60+M60,2)</f>
        <v>58.72</v>
      </c>
      <c r="O60" s="57"/>
      <c r="P60" s="13">
        <f>+N60*B60*12</f>
        <v>8399.3088000000007</v>
      </c>
      <c r="Q60" s="13">
        <f>+P60-E60</f>
        <v>61.507200000001831</v>
      </c>
      <c r="R60" s="50"/>
      <c r="S60" s="47">
        <f>(N60-C60)/C60</f>
        <v>7.3769085606450457E-3</v>
      </c>
      <c r="T60" s="75"/>
    </row>
    <row r="61" spans="1:20" x14ac:dyDescent="0.25">
      <c r="A61" s="56" t="s">
        <v>42</v>
      </c>
      <c r="B61" s="124">
        <v>471.65</v>
      </c>
      <c r="C61" s="57">
        <v>47.28</v>
      </c>
      <c r="D61" s="57">
        <v>33.340000000000003</v>
      </c>
      <c r="E61" s="124">
        <f>(B61*C61+B61*D61*3.33)*12</f>
        <v>895958.79156000016</v>
      </c>
      <c r="F61" s="27">
        <v>324</v>
      </c>
      <c r="G61" s="125">
        <f>+G38</f>
        <v>52</v>
      </c>
      <c r="H61" s="13">
        <f t="shared" si="30"/>
        <v>3973.1795999999995</v>
      </c>
      <c r="I61" s="55">
        <f t="shared" si="31"/>
        <v>131.72440172616621</v>
      </c>
      <c r="J61" s="55">
        <f t="shared" si="52"/>
        <v>1615.3231659278035</v>
      </c>
      <c r="K61" s="13">
        <f t="shared" si="32"/>
        <v>0.416907731463315</v>
      </c>
      <c r="M61" s="55">
        <f t="shared" si="33"/>
        <v>0.42654770970259359</v>
      </c>
      <c r="N61" s="57">
        <f t="shared" si="34"/>
        <v>47.71</v>
      </c>
      <c r="O61" s="57">
        <f t="shared" si="35"/>
        <v>33.770000000000003</v>
      </c>
      <c r="P61" s="13">
        <f>(B61*N61+B61*O61*3.33)*12</f>
        <v>906496.77318000002</v>
      </c>
      <c r="Q61" s="13">
        <f t="shared" si="36"/>
        <v>10537.98161999986</v>
      </c>
      <c r="R61" s="50"/>
      <c r="S61" s="47">
        <f t="shared" si="37"/>
        <v>9.0947546531302808E-3</v>
      </c>
      <c r="T61" s="75"/>
    </row>
    <row r="62" spans="1:20" x14ac:dyDescent="0.25">
      <c r="A62" s="56" t="s">
        <v>41</v>
      </c>
      <c r="B62" s="124">
        <v>76.459999999999994</v>
      </c>
      <c r="C62" s="57">
        <v>47.28</v>
      </c>
      <c r="D62" s="57">
        <v>33.340000000000003</v>
      </c>
      <c r="E62" s="124">
        <f>(B62*C62+B62*D62*7.66)*12</f>
        <v>277700.640288</v>
      </c>
      <c r="F62" s="27">
        <v>324</v>
      </c>
      <c r="G62" s="125">
        <f>+G39</f>
        <v>104</v>
      </c>
      <c r="H62" s="13">
        <f t="shared" si="30"/>
        <v>1288.1980799999999</v>
      </c>
      <c r="I62" s="55">
        <f t="shared" si="31"/>
        <v>131.72440172616621</v>
      </c>
      <c r="J62" s="55">
        <f t="shared" si="52"/>
        <v>523.72568331109869</v>
      </c>
      <c r="K62" s="13">
        <f t="shared" si="32"/>
        <v>0.416907731463315</v>
      </c>
      <c r="M62" s="55">
        <f t="shared" si="33"/>
        <v>0.42654770970259359</v>
      </c>
      <c r="N62" s="57">
        <f t="shared" si="34"/>
        <v>47.71</v>
      </c>
      <c r="O62" s="57">
        <f t="shared" si="35"/>
        <v>33.770000000000003</v>
      </c>
      <c r="P62" s="13">
        <f>(B62*N62+B62*O62*7.66)*12</f>
        <v>281117.30126400001</v>
      </c>
      <c r="Q62" s="13">
        <f t="shared" si="36"/>
        <v>3416.6609760000138</v>
      </c>
      <c r="R62" s="50"/>
      <c r="S62" s="47">
        <f t="shared" si="37"/>
        <v>9.0947546531302808E-3</v>
      </c>
      <c r="T62" s="75"/>
    </row>
    <row r="63" spans="1:20" x14ac:dyDescent="0.25">
      <c r="A63" s="56" t="s">
        <v>40</v>
      </c>
      <c r="B63" s="124">
        <v>30.78</v>
      </c>
      <c r="C63" s="57">
        <v>47.28</v>
      </c>
      <c r="D63" s="57">
        <v>33.340000000000003</v>
      </c>
      <c r="E63" s="124">
        <f>(B63*C63+B63*D63*11.99)*12</f>
        <v>165113.74497600002</v>
      </c>
      <c r="F63" s="27">
        <v>324</v>
      </c>
      <c r="G63" s="125">
        <f>+G40</f>
        <v>156</v>
      </c>
      <c r="H63" s="13">
        <f t="shared" si="30"/>
        <v>777.87216000000001</v>
      </c>
      <c r="I63" s="55">
        <f t="shared" si="31"/>
        <v>131.72440172616621</v>
      </c>
      <c r="J63" s="55">
        <f t="shared" si="52"/>
        <v>316.24921264024886</v>
      </c>
      <c r="K63" s="13">
        <f t="shared" si="32"/>
        <v>0.416907731463315</v>
      </c>
      <c r="M63" s="55">
        <f t="shared" si="33"/>
        <v>0.42654770970259359</v>
      </c>
      <c r="N63" s="57">
        <f t="shared" si="34"/>
        <v>47.71</v>
      </c>
      <c r="O63" s="57">
        <f t="shared" si="35"/>
        <v>33.770000000000003</v>
      </c>
      <c r="P63" s="13">
        <f>(B63*N63+B63*O63*11.99)*12</f>
        <v>167176.87912800003</v>
      </c>
      <c r="Q63" s="13">
        <f t="shared" si="36"/>
        <v>2063.1341520000133</v>
      </c>
      <c r="R63" s="50"/>
      <c r="S63" s="47">
        <f t="shared" si="37"/>
        <v>9.0947546531302808E-3</v>
      </c>
      <c r="T63" s="75"/>
    </row>
    <row r="64" spans="1:20" x14ac:dyDescent="0.25">
      <c r="A64" s="56" t="s">
        <v>130</v>
      </c>
      <c r="B64" s="124">
        <v>1.99</v>
      </c>
      <c r="C64" s="57">
        <v>47.28</v>
      </c>
      <c r="D64" s="57">
        <v>33.340000000000003</v>
      </c>
      <c r="E64" s="124">
        <f>(B64*C64+B64*D64*16.32)*12</f>
        <v>14122.364544</v>
      </c>
      <c r="F64" s="125">
        <v>324</v>
      </c>
      <c r="G64" s="125">
        <f t="shared" ref="G64" si="84">+G41</f>
        <v>208</v>
      </c>
      <c r="H64" s="63">
        <f t="shared" si="30"/>
        <v>67.055039999999991</v>
      </c>
      <c r="I64" s="50">
        <f t="shared" ref="I64:I65" si="85">+F64*$I$8</f>
        <v>131.72440172616621</v>
      </c>
      <c r="J64" s="50">
        <f t="shared" si="52"/>
        <v>27.261682181247359</v>
      </c>
      <c r="K64" s="63">
        <f t="shared" ref="K64:K65" si="86">+I64*$K$10</f>
        <v>0.416907731463315</v>
      </c>
      <c r="L64" s="39"/>
      <c r="M64" s="50">
        <f t="shared" ref="M64:M65" si="87">+K64/$M$10</f>
        <v>0.42654770970259359</v>
      </c>
      <c r="N64" s="57">
        <f t="shared" ref="N64:N65" si="88">ROUND(C64+M64,2)</f>
        <v>47.71</v>
      </c>
      <c r="O64" s="57">
        <f t="shared" ref="O64:O65" si="89">ROUND(D64+M64,2)</f>
        <v>33.770000000000003</v>
      </c>
      <c r="P64" s="63">
        <f>(B64*N64+B64*O64*16.32)*12</f>
        <v>14300.213232000002</v>
      </c>
      <c r="Q64" s="63">
        <f t="shared" ref="Q64:Q65" si="90">+P64-E64</f>
        <v>177.84868800000186</v>
      </c>
      <c r="R64" s="50"/>
      <c r="S64" s="47">
        <f t="shared" si="37"/>
        <v>9.0947546531302808E-3</v>
      </c>
      <c r="T64" s="75"/>
    </row>
    <row r="65" spans="1:20" x14ac:dyDescent="0.25">
      <c r="A65" s="56" t="s">
        <v>133</v>
      </c>
      <c r="B65" s="124">
        <v>0.99</v>
      </c>
      <c r="C65" s="57">
        <v>47.28</v>
      </c>
      <c r="D65" s="57">
        <v>33.340000000000003</v>
      </c>
      <c r="E65" s="124">
        <f>(B65*C65+B65*D65*20.65)*12</f>
        <v>8740.721880000001</v>
      </c>
      <c r="F65" s="125">
        <v>324</v>
      </c>
      <c r="G65" s="125">
        <v>260</v>
      </c>
      <c r="H65" s="63">
        <f t="shared" si="30"/>
        <v>41.698800000000006</v>
      </c>
      <c r="I65" s="50">
        <f t="shared" si="85"/>
        <v>131.72440172616621</v>
      </c>
      <c r="J65" s="50">
        <f t="shared" si="52"/>
        <v>16.952930502157589</v>
      </c>
      <c r="K65" s="63">
        <f t="shared" si="86"/>
        <v>0.416907731463315</v>
      </c>
      <c r="L65" s="39"/>
      <c r="M65" s="50">
        <f t="shared" si="87"/>
        <v>0.42654770970259359</v>
      </c>
      <c r="N65" s="57">
        <f t="shared" si="88"/>
        <v>47.71</v>
      </c>
      <c r="O65" s="57">
        <f t="shared" si="89"/>
        <v>33.770000000000003</v>
      </c>
      <c r="P65" s="63">
        <f>(B65*N65+B65*O65*20.65)*12</f>
        <v>8851.3187400000006</v>
      </c>
      <c r="Q65" s="63">
        <f t="shared" si="90"/>
        <v>110.59685999999965</v>
      </c>
      <c r="R65" s="50"/>
      <c r="S65" s="47">
        <f t="shared" si="37"/>
        <v>9.0947546531302808E-3</v>
      </c>
      <c r="T65" s="75"/>
    </row>
    <row r="66" spans="1:20" x14ac:dyDescent="0.25">
      <c r="A66" s="56" t="s">
        <v>39</v>
      </c>
      <c r="B66" s="124">
        <v>0.99</v>
      </c>
      <c r="C66" s="57">
        <v>47.28</v>
      </c>
      <c r="D66" s="57">
        <v>33.340000000000003</v>
      </c>
      <c r="E66" s="124">
        <f>(B66*C66+B66*D66*24.98)*12</f>
        <v>10455.744816000002</v>
      </c>
      <c r="F66" s="27">
        <v>324</v>
      </c>
      <c r="G66" s="125">
        <f>52*6</f>
        <v>312</v>
      </c>
      <c r="H66" s="13">
        <f t="shared" si="30"/>
        <v>50.038559999999997</v>
      </c>
      <c r="I66" s="55">
        <f t="shared" si="31"/>
        <v>131.72440172616621</v>
      </c>
      <c r="J66" s="55">
        <f t="shared" si="52"/>
        <v>20.343516602589109</v>
      </c>
      <c r="K66" s="13">
        <f t="shared" si="32"/>
        <v>0.416907731463315</v>
      </c>
      <c r="M66" s="55">
        <f t="shared" si="33"/>
        <v>0.42654770970259359</v>
      </c>
      <c r="N66" s="57">
        <f t="shared" si="34"/>
        <v>47.71</v>
      </c>
      <c r="O66" s="57">
        <f t="shared" si="35"/>
        <v>33.770000000000003</v>
      </c>
      <c r="P66" s="13">
        <f>(B66*N66+B66*O66*24.98)*12</f>
        <v>10588.461048000001</v>
      </c>
      <c r="Q66" s="13">
        <f t="shared" si="36"/>
        <v>132.71623199999885</v>
      </c>
      <c r="R66" s="50"/>
      <c r="S66" s="47">
        <f t="shared" si="37"/>
        <v>9.0947546531302808E-3</v>
      </c>
      <c r="T66" s="75"/>
    </row>
    <row r="67" spans="1:20" x14ac:dyDescent="0.25">
      <c r="A67" s="171" t="s">
        <v>144</v>
      </c>
      <c r="B67" s="161">
        <v>0.99</v>
      </c>
      <c r="C67" s="167">
        <v>134.43</v>
      </c>
      <c r="D67" s="167">
        <v>134.43</v>
      </c>
      <c r="E67" s="161">
        <f>(B67*C67+B67*D67*3.33)*12</f>
        <v>6915.1329719999994</v>
      </c>
      <c r="F67" s="162">
        <v>1301</v>
      </c>
      <c r="G67" s="163">
        <v>52</v>
      </c>
      <c r="H67" s="164">
        <f>+G67*F67*B67/2000</f>
        <v>33.487739999999995</v>
      </c>
      <c r="I67" s="165">
        <f>+F67*$I$8</f>
        <v>528.93039088192052</v>
      </c>
      <c r="J67" s="165">
        <f t="shared" si="52"/>
        <v>13.614668261300634</v>
      </c>
      <c r="K67" s="164">
        <f t="shared" si="32"/>
        <v>1.6740646871412743</v>
      </c>
      <c r="L67" s="166"/>
      <c r="M67" s="165">
        <f t="shared" si="33"/>
        <v>1.7127733651946739</v>
      </c>
      <c r="N67" s="167">
        <f t="shared" si="34"/>
        <v>136.13999999999999</v>
      </c>
      <c r="O67" s="167">
        <f t="shared" si="35"/>
        <v>136.13999999999999</v>
      </c>
      <c r="P67" s="13">
        <f>(B67*N67+B67*O67*3.33)*12</f>
        <v>7003.0960559999994</v>
      </c>
      <c r="Q67" s="13">
        <f t="shared" si="36"/>
        <v>87.963083999999981</v>
      </c>
      <c r="R67" s="50"/>
      <c r="S67" s="47">
        <f t="shared" si="37"/>
        <v>1.2720374916313171E-2</v>
      </c>
      <c r="T67" s="75"/>
    </row>
    <row r="68" spans="1:20" x14ac:dyDescent="0.25">
      <c r="A68" s="168" t="s">
        <v>183</v>
      </c>
      <c r="B68" s="161">
        <v>0</v>
      </c>
      <c r="C68" s="167">
        <v>134.43</v>
      </c>
      <c r="D68" s="123"/>
      <c r="E68" s="161">
        <f>(B68*C68+B68*D68*3.33)*12</f>
        <v>0</v>
      </c>
      <c r="F68" s="162">
        <v>1301</v>
      </c>
      <c r="G68" s="163">
        <v>52</v>
      </c>
      <c r="H68" s="164">
        <f>+G68*F68*B68/2000</f>
        <v>0</v>
      </c>
      <c r="I68" s="165">
        <f>+F68*$I$8</f>
        <v>528.93039088192052</v>
      </c>
      <c r="J68" s="165">
        <f t="shared" ref="J68" si="91">+G68*I68*B68/2000</f>
        <v>0</v>
      </c>
      <c r="K68" s="164">
        <f t="shared" ref="K68" si="92">+I68*$K$10</f>
        <v>1.6740646871412743</v>
      </c>
      <c r="L68" s="166"/>
      <c r="M68" s="165">
        <f t="shared" ref="M68" si="93">+K68/$M$10</f>
        <v>1.7127733651946739</v>
      </c>
      <c r="N68" s="167">
        <f t="shared" ref="N68" si="94">ROUND(C68+M68,2)</f>
        <v>136.13999999999999</v>
      </c>
      <c r="O68" s="123"/>
      <c r="P68" s="63">
        <f>(B68*N68+B68*O68*3.33)*12</f>
        <v>0</v>
      </c>
      <c r="Q68" s="13">
        <f t="shared" ref="Q68" si="95">+P68-E68</f>
        <v>0</v>
      </c>
      <c r="R68" s="50"/>
      <c r="S68" s="47">
        <f t="shared" ref="S68" si="96">(N68-C68)/C68</f>
        <v>1.2720374916313171E-2</v>
      </c>
      <c r="T68" s="75"/>
    </row>
    <row r="69" spans="1:20" x14ac:dyDescent="0.25">
      <c r="A69" s="56" t="s">
        <v>38</v>
      </c>
      <c r="B69" s="124">
        <v>65.53</v>
      </c>
      <c r="C69" s="57">
        <v>64.31</v>
      </c>
      <c r="D69" s="57">
        <v>48.82</v>
      </c>
      <c r="E69" s="124">
        <f>(B69*C69+B69*D69*1.17)*12</f>
        <v>95487.222984000007</v>
      </c>
      <c r="F69" s="27">
        <v>473</v>
      </c>
      <c r="G69" s="125">
        <f>+G35</f>
        <v>26</v>
      </c>
      <c r="H69" s="13">
        <f t="shared" si="30"/>
        <v>402.94397000000004</v>
      </c>
      <c r="I69" s="55">
        <f t="shared" si="31"/>
        <v>192.30136424838463</v>
      </c>
      <c r="J69" s="55">
        <f t="shared" si="52"/>
        <v>163.81960918955639</v>
      </c>
      <c r="K69" s="13">
        <f t="shared" si="32"/>
        <v>0.60863381784613579</v>
      </c>
      <c r="M69" s="55">
        <f t="shared" si="33"/>
        <v>0.62270699595471224</v>
      </c>
      <c r="N69" s="57">
        <f t="shared" si="34"/>
        <v>64.930000000000007</v>
      </c>
      <c r="O69" s="57">
        <f t="shared" si="35"/>
        <v>49.44</v>
      </c>
      <c r="P69" s="13">
        <f>(B69*N69+B69*O69*1.17)*12</f>
        <v>96545.191727999991</v>
      </c>
      <c r="Q69" s="13">
        <f t="shared" si="36"/>
        <v>1057.9687439999834</v>
      </c>
      <c r="R69" s="50"/>
      <c r="S69" s="47">
        <f t="shared" si="37"/>
        <v>9.640802363551618E-3</v>
      </c>
      <c r="T69" s="75"/>
    </row>
    <row r="70" spans="1:20" x14ac:dyDescent="0.25">
      <c r="A70" s="56" t="s">
        <v>37</v>
      </c>
      <c r="B70" s="124">
        <v>338.6</v>
      </c>
      <c r="C70" s="57">
        <v>64.31</v>
      </c>
      <c r="D70" s="57">
        <v>48.82</v>
      </c>
      <c r="E70" s="124">
        <f>(B70*C70+B70*D70*3.33)*12</f>
        <v>921861.25392000005</v>
      </c>
      <c r="F70" s="27">
        <v>473</v>
      </c>
      <c r="G70" s="125">
        <f>+G38</f>
        <v>52</v>
      </c>
      <c r="H70" s="13">
        <f t="shared" si="30"/>
        <v>4164.1028000000006</v>
      </c>
      <c r="I70" s="55">
        <f t="shared" si="31"/>
        <v>192.30136424838463</v>
      </c>
      <c r="J70" s="55">
        <f t="shared" si="52"/>
        <v>1692.9442902970791</v>
      </c>
      <c r="K70" s="13">
        <f t="shared" si="32"/>
        <v>0.60863381784613579</v>
      </c>
      <c r="M70" s="55">
        <f t="shared" si="33"/>
        <v>0.62270699595471224</v>
      </c>
      <c r="N70" s="57">
        <f t="shared" si="34"/>
        <v>64.930000000000007</v>
      </c>
      <c r="O70" s="57">
        <f t="shared" si="35"/>
        <v>49.44</v>
      </c>
      <c r="P70" s="13">
        <f>(B70*N70+B70*O70*3.33)*12</f>
        <v>932769.32064000005</v>
      </c>
      <c r="Q70" s="13">
        <f t="shared" si="36"/>
        <v>10908.066720000003</v>
      </c>
      <c r="R70" s="50"/>
      <c r="S70" s="47">
        <f t="shared" si="37"/>
        <v>9.640802363551618E-3</v>
      </c>
      <c r="T70" s="75"/>
    </row>
    <row r="71" spans="1:20" x14ac:dyDescent="0.25">
      <c r="A71" s="56" t="s">
        <v>36</v>
      </c>
      <c r="B71" s="124">
        <v>91.35</v>
      </c>
      <c r="C71" s="57">
        <v>64.31</v>
      </c>
      <c r="D71" s="57">
        <v>48.82</v>
      </c>
      <c r="E71" s="124">
        <f>(B71*C71+B71*D71*7.66)*12</f>
        <v>480432.88943999994</v>
      </c>
      <c r="F71" s="27">
        <v>473</v>
      </c>
      <c r="G71" s="125">
        <f>+G39</f>
        <v>104</v>
      </c>
      <c r="H71" s="13">
        <f t="shared" si="30"/>
        <v>2246.8445999999994</v>
      </c>
      <c r="I71" s="55">
        <f t="shared" si="31"/>
        <v>192.30136424838463</v>
      </c>
      <c r="J71" s="55">
        <f t="shared" si="52"/>
        <v>913.46994045267661</v>
      </c>
      <c r="K71" s="13">
        <f t="shared" si="32"/>
        <v>0.60863381784613579</v>
      </c>
      <c r="M71" s="55">
        <f t="shared" si="33"/>
        <v>0.62270699595471224</v>
      </c>
      <c r="N71" s="57">
        <f t="shared" si="34"/>
        <v>64.930000000000007</v>
      </c>
      <c r="O71" s="57">
        <f t="shared" si="35"/>
        <v>49.44</v>
      </c>
      <c r="P71" s="13">
        <f>(B71*N71+B71*O71*7.66)*12</f>
        <v>486318.60647999984</v>
      </c>
      <c r="Q71" s="13">
        <f t="shared" si="36"/>
        <v>5885.7170399999013</v>
      </c>
      <c r="R71" s="50"/>
      <c r="S71" s="47">
        <f t="shared" si="37"/>
        <v>9.640802363551618E-3</v>
      </c>
      <c r="T71" s="75"/>
    </row>
    <row r="72" spans="1:20" x14ac:dyDescent="0.25">
      <c r="A72" s="56" t="s">
        <v>35</v>
      </c>
      <c r="B72" s="124">
        <v>21.84</v>
      </c>
      <c r="C72" s="57">
        <v>64.31</v>
      </c>
      <c r="D72" s="57">
        <v>48.82</v>
      </c>
      <c r="E72" s="124">
        <f>(B72*C72+B72*D72*11.99)*12</f>
        <v>170263.36454400001</v>
      </c>
      <c r="F72" s="27">
        <v>473</v>
      </c>
      <c r="G72" s="125">
        <f>+G40</f>
        <v>156</v>
      </c>
      <c r="H72" s="13">
        <f t="shared" si="30"/>
        <v>805.76495999999997</v>
      </c>
      <c r="I72" s="55">
        <f t="shared" si="31"/>
        <v>192.30136424838463</v>
      </c>
      <c r="J72" s="55">
        <f t="shared" si="52"/>
        <v>327.58922002440818</v>
      </c>
      <c r="K72" s="13">
        <f t="shared" si="32"/>
        <v>0.60863381784613579</v>
      </c>
      <c r="M72" s="55">
        <f t="shared" si="33"/>
        <v>0.62270699595471224</v>
      </c>
      <c r="N72" s="57">
        <f t="shared" si="34"/>
        <v>64.930000000000007</v>
      </c>
      <c r="O72" s="57">
        <f t="shared" si="35"/>
        <v>49.44</v>
      </c>
      <c r="P72" s="13">
        <f>(B72*N72+B72*O72*11.99)*12</f>
        <v>172374.10444799997</v>
      </c>
      <c r="Q72" s="13">
        <f t="shared" si="36"/>
        <v>2110.7399039999582</v>
      </c>
      <c r="R72" s="50"/>
      <c r="S72" s="47">
        <f t="shared" si="37"/>
        <v>9.640802363551618E-3</v>
      </c>
      <c r="T72" s="75"/>
    </row>
    <row r="73" spans="1:20" x14ac:dyDescent="0.25">
      <c r="A73" s="56" t="s">
        <v>151</v>
      </c>
      <c r="B73" s="124">
        <v>0</v>
      </c>
      <c r="C73" s="57">
        <v>64.31</v>
      </c>
      <c r="D73" s="57">
        <v>48.82</v>
      </c>
      <c r="E73" s="124">
        <f>(B73*C73+B73*D73*16.32)*12</f>
        <v>0</v>
      </c>
      <c r="F73" s="27">
        <v>473</v>
      </c>
      <c r="G73" s="125">
        <v>208</v>
      </c>
      <c r="H73" s="13">
        <f t="shared" ref="H73" si="97">+G73*F73*B73/2000</f>
        <v>0</v>
      </c>
      <c r="I73" s="55">
        <f t="shared" ref="I73" si="98">+F73*$I$8</f>
        <v>192.30136424838463</v>
      </c>
      <c r="J73" s="55">
        <f t="shared" ref="J73" si="99">+G73*I73*B73/2000</f>
        <v>0</v>
      </c>
      <c r="K73" s="13">
        <f t="shared" ref="K73" si="100">+I73*$K$10</f>
        <v>0.60863381784613579</v>
      </c>
      <c r="M73" s="55">
        <f t="shared" ref="M73" si="101">+K73/$M$10</f>
        <v>0.62270699595471224</v>
      </c>
      <c r="N73" s="57">
        <f t="shared" ref="N73" si="102">ROUND(C73+M73,2)</f>
        <v>64.930000000000007</v>
      </c>
      <c r="O73" s="57">
        <f t="shared" ref="O73" si="103">ROUND(D73+M73,2)</f>
        <v>49.44</v>
      </c>
      <c r="P73" s="13">
        <f>(B73*N73+B73*O73*16.32)*12</f>
        <v>0</v>
      </c>
      <c r="Q73" s="13">
        <f t="shared" ref="Q73" si="104">+P73-E73</f>
        <v>0</v>
      </c>
      <c r="R73" s="50"/>
      <c r="S73" s="47">
        <f t="shared" ref="S73" si="105">(N73-C73)/C73</f>
        <v>9.640802363551618E-3</v>
      </c>
      <c r="T73" s="75"/>
    </row>
    <row r="74" spans="1:20" x14ac:dyDescent="0.25">
      <c r="A74" s="56" t="s">
        <v>34</v>
      </c>
      <c r="B74" s="124">
        <v>0</v>
      </c>
      <c r="C74" s="57">
        <v>64.31</v>
      </c>
      <c r="D74" s="57">
        <v>48.82</v>
      </c>
      <c r="E74" s="124">
        <f>(B74*C74+B74*D74*20.65)*12</f>
        <v>0</v>
      </c>
      <c r="F74" s="28">
        <v>473</v>
      </c>
      <c r="G74" s="62">
        <f>52*5</f>
        <v>260</v>
      </c>
      <c r="H74" s="13">
        <f t="shared" si="30"/>
        <v>0</v>
      </c>
      <c r="I74" s="55">
        <f t="shared" si="31"/>
        <v>192.30136424838463</v>
      </c>
      <c r="J74" s="55">
        <f t="shared" si="52"/>
        <v>0</v>
      </c>
      <c r="K74" s="13">
        <f t="shared" si="32"/>
        <v>0.60863381784613579</v>
      </c>
      <c r="M74" s="55">
        <f t="shared" si="33"/>
        <v>0.62270699595471224</v>
      </c>
      <c r="N74" s="57">
        <f t="shared" si="34"/>
        <v>64.930000000000007</v>
      </c>
      <c r="O74" s="57">
        <f t="shared" si="35"/>
        <v>49.44</v>
      </c>
      <c r="P74" s="13">
        <f>(B74*N74+B74*O74*20.65)*12</f>
        <v>0</v>
      </c>
      <c r="Q74" s="13">
        <f t="shared" si="36"/>
        <v>0</v>
      </c>
      <c r="R74" s="50"/>
      <c r="S74" s="47">
        <f t="shared" si="37"/>
        <v>9.640802363551618E-3</v>
      </c>
      <c r="T74" s="75"/>
    </row>
    <row r="75" spans="1:20" x14ac:dyDescent="0.25">
      <c r="A75" s="56" t="s">
        <v>152</v>
      </c>
      <c r="B75" s="124">
        <v>0</v>
      </c>
      <c r="C75" s="57">
        <v>64.31</v>
      </c>
      <c r="D75" s="57">
        <v>48.82</v>
      </c>
      <c r="E75" s="124">
        <f>(B75*C75+B75*D75*24.98)*12</f>
        <v>0</v>
      </c>
      <c r="F75" s="27">
        <v>473</v>
      </c>
      <c r="G75" s="62">
        <v>312</v>
      </c>
      <c r="H75" s="13">
        <f t="shared" ref="H75" si="106">+G75*F75*B75/2000</f>
        <v>0</v>
      </c>
      <c r="I75" s="55">
        <f t="shared" ref="I75" si="107">+F75*$I$8</f>
        <v>192.30136424838463</v>
      </c>
      <c r="J75" s="55">
        <f t="shared" ref="J75" si="108">+G75*I75*B75/2000</f>
        <v>0</v>
      </c>
      <c r="K75" s="13">
        <f t="shared" ref="K75" si="109">+I75*$K$10</f>
        <v>0.60863381784613579</v>
      </c>
      <c r="M75" s="55">
        <f t="shared" ref="M75" si="110">+K75/$M$10</f>
        <v>0.62270699595471224</v>
      </c>
      <c r="N75" s="57">
        <f t="shared" ref="N75" si="111">ROUND(C75+M75,2)</f>
        <v>64.930000000000007</v>
      </c>
      <c r="O75" s="57">
        <f t="shared" ref="O75" si="112">ROUND(D75+M75,2)</f>
        <v>49.44</v>
      </c>
      <c r="P75" s="13">
        <f>(B75*N75+B75*O75*24.98)*12</f>
        <v>0</v>
      </c>
      <c r="Q75" s="13">
        <f t="shared" ref="Q75" si="113">+P75-E75</f>
        <v>0</v>
      </c>
      <c r="R75" s="50"/>
      <c r="S75" s="47">
        <f t="shared" ref="S75" si="114">(N75-C75)/C75</f>
        <v>9.640802363551618E-3</v>
      </c>
      <c r="T75" s="75"/>
    </row>
    <row r="76" spans="1:20" x14ac:dyDescent="0.25">
      <c r="A76" s="61" t="s">
        <v>101</v>
      </c>
      <c r="B76" s="148">
        <v>28.8</v>
      </c>
      <c r="C76" s="57">
        <v>71.900000000000006</v>
      </c>
      <c r="D76" s="57"/>
      <c r="E76" s="124">
        <f>+B76*C76*12</f>
        <v>24848.640000000003</v>
      </c>
      <c r="F76" s="62">
        <f>+F134</f>
        <v>473</v>
      </c>
      <c r="G76" s="26">
        <v>12</v>
      </c>
      <c r="H76" s="63">
        <f>+G76*F76*B76/2000</f>
        <v>81.734400000000008</v>
      </c>
      <c r="I76" s="50">
        <f>+F76*$I$8</f>
        <v>192.30136424838463</v>
      </c>
      <c r="J76" s="55">
        <f>+G76*I76*B76/2000</f>
        <v>33.229675742120868</v>
      </c>
      <c r="K76" s="13">
        <f>+I76*$K$10</f>
        <v>0.60863381784613579</v>
      </c>
      <c r="M76" s="55">
        <f>+K76/$M$10</f>
        <v>0.62270699595471224</v>
      </c>
      <c r="N76" s="57">
        <f>ROUND(C76+M76,2)</f>
        <v>72.52</v>
      </c>
      <c r="O76" s="57"/>
      <c r="P76" s="13">
        <f>+N76*B76*12</f>
        <v>25062.912</v>
      </c>
      <c r="Q76" s="13">
        <f>+P76-E76</f>
        <v>214.27199999999721</v>
      </c>
      <c r="R76" s="50"/>
      <c r="S76" s="47">
        <f>(N76-C76)/C76</f>
        <v>8.6230876216966661E-3</v>
      </c>
      <c r="T76" s="75"/>
    </row>
    <row r="77" spans="1:20" x14ac:dyDescent="0.25">
      <c r="A77" s="61" t="s">
        <v>99</v>
      </c>
      <c r="B77" s="148">
        <v>11.92</v>
      </c>
      <c r="C77" s="57">
        <v>70.790000000000006</v>
      </c>
      <c r="D77" s="57"/>
      <c r="E77" s="124">
        <f>+B77*C77*12</f>
        <v>10125.801600000001</v>
      </c>
      <c r="F77" s="62">
        <f>+F76</f>
        <v>473</v>
      </c>
      <c r="G77" s="26">
        <v>12</v>
      </c>
      <c r="H77" s="63">
        <f>+G77*F77*B77/2000</f>
        <v>33.828960000000002</v>
      </c>
      <c r="I77" s="50">
        <f>+F77*$I$8</f>
        <v>192.30136424838463</v>
      </c>
      <c r="J77" s="55">
        <f>+G77*I77*B77/2000</f>
        <v>13.753393571044469</v>
      </c>
      <c r="K77" s="13">
        <f>+I77*$K$10</f>
        <v>0.60863381784613579</v>
      </c>
      <c r="M77" s="55">
        <f>+K77/$M$10</f>
        <v>0.62270699595471224</v>
      </c>
      <c r="N77" s="57">
        <f>ROUND(C77+M77,2)</f>
        <v>71.41</v>
      </c>
      <c r="O77" s="57"/>
      <c r="P77" s="13">
        <f>+N77*B77*12</f>
        <v>10214.4864</v>
      </c>
      <c r="Q77" s="13">
        <f>+P77-E77</f>
        <v>88.684799999999086</v>
      </c>
      <c r="R77" s="50"/>
      <c r="S77" s="47">
        <f>(N77-C77)/C77</f>
        <v>8.7582991948013892E-3</v>
      </c>
      <c r="T77" s="75"/>
    </row>
    <row r="78" spans="1:20" x14ac:dyDescent="0.25">
      <c r="A78" s="168" t="s">
        <v>182</v>
      </c>
      <c r="B78" s="160">
        <v>0</v>
      </c>
      <c r="C78" s="167">
        <v>187.01</v>
      </c>
      <c r="D78" s="123"/>
      <c r="E78" s="161">
        <f>(B78*C78+B78*D78*3.33)*12</f>
        <v>0</v>
      </c>
      <c r="F78" s="162">
        <f>F80*3</f>
        <v>1839</v>
      </c>
      <c r="G78" s="162">
        <v>52</v>
      </c>
      <c r="H78" s="164">
        <f t="shared" ref="H78" si="115">+G78*F78*B78/2000</f>
        <v>0</v>
      </c>
      <c r="I78" s="165">
        <f t="shared" ref="I78" si="116">+F78*$I$8</f>
        <v>747.65794683462855</v>
      </c>
      <c r="J78" s="165">
        <f t="shared" ref="J78" si="117">+G78*I78*B78/2000</f>
        <v>0</v>
      </c>
      <c r="K78" s="164">
        <f t="shared" ref="K78" si="118">+I78*$K$10</f>
        <v>2.3663374017315935</v>
      </c>
      <c r="L78" s="166"/>
      <c r="M78" s="165">
        <f t="shared" ref="M78" si="119">+K78/$M$10</f>
        <v>2.4210532041452768</v>
      </c>
      <c r="N78" s="167">
        <f t="shared" ref="N78" si="120">ROUND(C78+M78,2)</f>
        <v>189.43</v>
      </c>
      <c r="O78" s="123"/>
      <c r="P78" s="63">
        <f>(B78*N78+B78*O78*3.33)*12</f>
        <v>0</v>
      </c>
      <c r="Q78" s="63">
        <f t="shared" ref="Q78" si="121">+P78-E78</f>
        <v>0</v>
      </c>
      <c r="R78" s="50"/>
      <c r="S78" s="47">
        <f t="shared" ref="S78" si="122">(N78-C78)/C78</f>
        <v>1.294048446607142E-2</v>
      </c>
      <c r="T78" s="75"/>
    </row>
    <row r="79" spans="1:20" x14ac:dyDescent="0.25">
      <c r="A79" s="171" t="s">
        <v>134</v>
      </c>
      <c r="B79" s="161">
        <v>1.99</v>
      </c>
      <c r="C79" s="167">
        <v>187.01</v>
      </c>
      <c r="D79" s="167">
        <v>187.01</v>
      </c>
      <c r="E79" s="161">
        <f>(B79*C79+B79*D79*3.33)*12</f>
        <v>19336.908803999999</v>
      </c>
      <c r="F79" s="162">
        <f>F80*3</f>
        <v>1839</v>
      </c>
      <c r="G79" s="162">
        <v>52</v>
      </c>
      <c r="H79" s="164">
        <f t="shared" si="30"/>
        <v>95.149860000000004</v>
      </c>
      <c r="I79" s="165">
        <f t="shared" ref="I79" si="123">+F79*$I$8</f>
        <v>747.65794683462855</v>
      </c>
      <c r="J79" s="165">
        <f t="shared" si="52"/>
        <v>38.683822169223674</v>
      </c>
      <c r="K79" s="164">
        <f t="shared" ref="K79" si="124">+I79*$K$10</f>
        <v>2.3663374017315935</v>
      </c>
      <c r="L79" s="166"/>
      <c r="M79" s="165">
        <f t="shared" ref="M79" si="125">+K79/$M$10</f>
        <v>2.4210532041452768</v>
      </c>
      <c r="N79" s="167">
        <f t="shared" ref="N79" si="126">ROUND(C79+M79,2)</f>
        <v>189.43</v>
      </c>
      <c r="O79" s="167">
        <f t="shared" ref="O79" si="127">ROUND(D79+M79,2)</f>
        <v>189.43</v>
      </c>
      <c r="P79" s="63">
        <f>(B79*N79+B79*O79*3.33)*12</f>
        <v>19587.137772000002</v>
      </c>
      <c r="Q79" s="63">
        <f t="shared" ref="Q79" si="128">+P79-E79</f>
        <v>250.22896800000308</v>
      </c>
      <c r="R79" s="50"/>
      <c r="S79" s="47">
        <f t="shared" si="37"/>
        <v>1.294048446607142E-2</v>
      </c>
      <c r="T79" s="75"/>
    </row>
    <row r="80" spans="1:20" x14ac:dyDescent="0.25">
      <c r="A80" s="56" t="s">
        <v>33</v>
      </c>
      <c r="B80" s="124">
        <v>64.540000000000006</v>
      </c>
      <c r="C80" s="57">
        <v>85.59</v>
      </c>
      <c r="D80" s="57">
        <v>62.66</v>
      </c>
      <c r="E80" s="124">
        <f>(B80*C80+B80*D80*1.17)*12</f>
        <v>123066.57585600001</v>
      </c>
      <c r="F80" s="28">
        <v>613</v>
      </c>
      <c r="G80" s="62">
        <f>+G35</f>
        <v>26</v>
      </c>
      <c r="H80" s="13">
        <f t="shared" si="30"/>
        <v>514.3192600000001</v>
      </c>
      <c r="I80" s="55">
        <f t="shared" si="31"/>
        <v>249.21931561154287</v>
      </c>
      <c r="J80" s="55">
        <f t="shared" si="52"/>
        <v>209.09999018439672</v>
      </c>
      <c r="K80" s="13">
        <f t="shared" si="32"/>
        <v>0.78877913391053123</v>
      </c>
      <c r="M80" s="55">
        <f t="shared" si="33"/>
        <v>0.80701773471509231</v>
      </c>
      <c r="N80" s="57">
        <f t="shared" si="34"/>
        <v>86.4</v>
      </c>
      <c r="O80" s="57">
        <f t="shared" si="35"/>
        <v>63.47</v>
      </c>
      <c r="P80" s="63">
        <f>(B80*N80+B80*O80*1.17)*12</f>
        <v>124427.87935200002</v>
      </c>
      <c r="Q80" s="13">
        <f t="shared" si="36"/>
        <v>1361.3034960000077</v>
      </c>
      <c r="R80" s="50"/>
      <c r="S80" s="47">
        <f t="shared" si="37"/>
        <v>9.4637223974763669E-3</v>
      </c>
      <c r="T80" s="75"/>
    </row>
    <row r="81" spans="1:20" x14ac:dyDescent="0.25">
      <c r="A81" s="61" t="s">
        <v>104</v>
      </c>
      <c r="B81" s="148">
        <v>35.75</v>
      </c>
      <c r="C81" s="57">
        <v>85.74</v>
      </c>
      <c r="D81" s="57"/>
      <c r="E81" s="124">
        <f>+B81*C81*12</f>
        <v>36782.46</v>
      </c>
      <c r="F81" s="62">
        <f>+F135</f>
        <v>613</v>
      </c>
      <c r="G81" s="26">
        <v>12</v>
      </c>
      <c r="H81" s="63">
        <f>+G81*F81*B81/2000</f>
        <v>131.48849999999999</v>
      </c>
      <c r="I81" s="50">
        <f>+F81*$I$8</f>
        <v>249.21931561154287</v>
      </c>
      <c r="J81" s="55">
        <f>+G81*I81*B81/2000</f>
        <v>53.457543198675943</v>
      </c>
      <c r="K81" s="13">
        <f>+I81*$K$10</f>
        <v>0.78877913391053123</v>
      </c>
      <c r="M81" s="55">
        <f>+K81/$M$10</f>
        <v>0.80701773471509231</v>
      </c>
      <c r="N81" s="57">
        <f>ROUND(C81+M81,2)</f>
        <v>86.55</v>
      </c>
      <c r="O81" s="57"/>
      <c r="P81" s="13">
        <f>+N81*B81*12</f>
        <v>37129.949999999997</v>
      </c>
      <c r="Q81" s="13">
        <f>+P81-E81</f>
        <v>347.48999999999796</v>
      </c>
      <c r="R81" s="50"/>
      <c r="S81" s="47">
        <f>(N81-C81)/C81</f>
        <v>9.447165850244953E-3</v>
      </c>
      <c r="T81" s="75"/>
    </row>
    <row r="82" spans="1:20" x14ac:dyDescent="0.25">
      <c r="A82" s="61" t="s">
        <v>102</v>
      </c>
      <c r="B82" s="148">
        <v>36.74</v>
      </c>
      <c r="C82" s="57">
        <v>80.05</v>
      </c>
      <c r="D82" s="57"/>
      <c r="E82" s="124">
        <f>+B82*C82*12</f>
        <v>35292.444000000003</v>
      </c>
      <c r="F82" s="62">
        <f>+F135</f>
        <v>613</v>
      </c>
      <c r="G82" s="26">
        <v>12</v>
      </c>
      <c r="H82" s="63">
        <f>+G82*F82*B82/2000</f>
        <v>135.12971999999999</v>
      </c>
      <c r="I82" s="50">
        <f>+F82*$I$8</f>
        <v>249.21931561154287</v>
      </c>
      <c r="J82" s="55">
        <f>+G82*I82*B82/2000</f>
        <v>54.937905933408508</v>
      </c>
      <c r="K82" s="13">
        <f>+I82*$K$10</f>
        <v>0.78877913391053123</v>
      </c>
      <c r="M82" s="55">
        <f>+K82/$M$10</f>
        <v>0.80701773471509231</v>
      </c>
      <c r="N82" s="57">
        <f>ROUND(C82+M82,2)</f>
        <v>80.86</v>
      </c>
      <c r="O82" s="57"/>
      <c r="P82" s="13">
        <f>+N82*B82*12</f>
        <v>35649.556800000006</v>
      </c>
      <c r="Q82" s="13">
        <f>+P82-E82</f>
        <v>357.11280000000261</v>
      </c>
      <c r="R82" s="50"/>
      <c r="S82" s="47">
        <f>(N82-C82)/C82</f>
        <v>1.0118675827607775E-2</v>
      </c>
      <c r="T82" s="75"/>
    </row>
    <row r="83" spans="1:20" x14ac:dyDescent="0.25">
      <c r="A83" s="56" t="s">
        <v>32</v>
      </c>
      <c r="B83" s="124">
        <v>359.45</v>
      </c>
      <c r="C83" s="57">
        <v>85.59</v>
      </c>
      <c r="D83" s="57">
        <v>62.66</v>
      </c>
      <c r="E83" s="124">
        <f>(B83*C83+B83*D83*3.33)*12</f>
        <v>1269208.4605200002</v>
      </c>
      <c r="F83" s="28">
        <v>613</v>
      </c>
      <c r="G83" s="62">
        <f>+G38</f>
        <v>52</v>
      </c>
      <c r="H83" s="13">
        <f t="shared" si="30"/>
        <v>5728.9141</v>
      </c>
      <c r="I83" s="55">
        <f t="shared" si="31"/>
        <v>249.21931561154287</v>
      </c>
      <c r="J83" s="55">
        <f t="shared" si="52"/>
        <v>2329.1289579107961</v>
      </c>
      <c r="K83" s="13">
        <f t="shared" si="32"/>
        <v>0.78877913391053123</v>
      </c>
      <c r="M83" s="55">
        <f t="shared" si="33"/>
        <v>0.80701773471509231</v>
      </c>
      <c r="N83" s="57">
        <f t="shared" si="34"/>
        <v>86.4</v>
      </c>
      <c r="O83" s="57">
        <f t="shared" si="35"/>
        <v>63.47</v>
      </c>
      <c r="P83" s="13">
        <f>(B83*N83+B83*O83*3.33)*12</f>
        <v>1284336.84834</v>
      </c>
      <c r="Q83" s="13">
        <f t="shared" si="36"/>
        <v>15128.387819999829</v>
      </c>
      <c r="R83" s="50"/>
      <c r="S83" s="47">
        <f t="shared" si="37"/>
        <v>9.4637223974763669E-3</v>
      </c>
      <c r="T83" s="75"/>
    </row>
    <row r="84" spans="1:20" x14ac:dyDescent="0.25">
      <c r="A84" s="56" t="s">
        <v>31</v>
      </c>
      <c r="B84" s="124">
        <v>105.25</v>
      </c>
      <c r="C84" s="57">
        <v>85.59</v>
      </c>
      <c r="D84" s="57">
        <v>62.66</v>
      </c>
      <c r="E84" s="124">
        <f>(B84*C84+B84*D84*7.66)*12</f>
        <v>714309.35279999999</v>
      </c>
      <c r="F84" s="28">
        <v>613</v>
      </c>
      <c r="G84" s="62">
        <f>+G39</f>
        <v>104</v>
      </c>
      <c r="H84" s="13">
        <f t="shared" si="30"/>
        <v>3354.9490000000001</v>
      </c>
      <c r="I84" s="55">
        <f t="shared" si="31"/>
        <v>249.21931561154287</v>
      </c>
      <c r="J84" s="55">
        <f t="shared" si="52"/>
        <v>1363.9773143419743</v>
      </c>
      <c r="K84" s="13">
        <f t="shared" si="32"/>
        <v>0.78877913391053123</v>
      </c>
      <c r="M84" s="55">
        <f t="shared" si="33"/>
        <v>0.80701773471509231</v>
      </c>
      <c r="N84" s="57">
        <f t="shared" si="34"/>
        <v>86.4</v>
      </c>
      <c r="O84" s="57">
        <f t="shared" si="35"/>
        <v>63.47</v>
      </c>
      <c r="P84" s="13">
        <f>(B84*N84+B84*O84*7.66)*12</f>
        <v>723168.79259999993</v>
      </c>
      <c r="Q84" s="13">
        <f t="shared" si="36"/>
        <v>8859.4397999999346</v>
      </c>
      <c r="R84" s="50"/>
      <c r="S84" s="47">
        <f t="shared" si="37"/>
        <v>9.4637223974763669E-3</v>
      </c>
      <c r="T84" s="75"/>
    </row>
    <row r="85" spans="1:20" x14ac:dyDescent="0.25">
      <c r="A85" s="56" t="s">
        <v>30</v>
      </c>
      <c r="B85" s="124">
        <v>39.72</v>
      </c>
      <c r="C85" s="57">
        <v>85.59</v>
      </c>
      <c r="D85" s="57">
        <v>62.66</v>
      </c>
      <c r="E85" s="124">
        <f>(B85*C85+B85*D85*11.99)*12</f>
        <v>398892.10377600003</v>
      </c>
      <c r="F85" s="28">
        <v>613</v>
      </c>
      <c r="G85" s="62">
        <f>+G40</f>
        <v>156</v>
      </c>
      <c r="H85" s="13">
        <f t="shared" si="30"/>
        <v>1899.1720799999998</v>
      </c>
      <c r="I85" s="55">
        <f t="shared" si="31"/>
        <v>249.21931561154287</v>
      </c>
      <c r="J85" s="55">
        <f t="shared" si="52"/>
        <v>772.12131485505768</v>
      </c>
      <c r="K85" s="13">
        <f t="shared" si="32"/>
        <v>0.78877913391053123</v>
      </c>
      <c r="M85" s="55">
        <f t="shared" si="33"/>
        <v>0.80701773471509231</v>
      </c>
      <c r="N85" s="57">
        <f t="shared" si="34"/>
        <v>86.4</v>
      </c>
      <c r="O85" s="57">
        <f t="shared" si="35"/>
        <v>63.47</v>
      </c>
      <c r="P85" s="13">
        <f>(B85*N85+B85*O85*11.99)*12</f>
        <v>403907.26219199994</v>
      </c>
      <c r="Q85" s="13">
        <f t="shared" si="36"/>
        <v>5015.1584159999038</v>
      </c>
      <c r="R85" s="50"/>
      <c r="S85" s="47">
        <f t="shared" si="37"/>
        <v>9.4637223974763669E-3</v>
      </c>
      <c r="T85" s="75"/>
    </row>
    <row r="86" spans="1:20" x14ac:dyDescent="0.25">
      <c r="A86" s="56" t="s">
        <v>29</v>
      </c>
      <c r="B86" s="124">
        <v>7.94</v>
      </c>
      <c r="C86" s="57">
        <v>85.59</v>
      </c>
      <c r="D86" s="57">
        <v>62.66</v>
      </c>
      <c r="E86" s="124">
        <f>(B86*C86+B86*D86*16.32)*12</f>
        <v>105589.41033599999</v>
      </c>
      <c r="F86" s="28">
        <v>613</v>
      </c>
      <c r="G86" s="62">
        <f>52*4</f>
        <v>208</v>
      </c>
      <c r="H86" s="13">
        <f t="shared" si="30"/>
        <v>506.19087999999999</v>
      </c>
      <c r="I86" s="55">
        <f t="shared" si="31"/>
        <v>249.21931561154287</v>
      </c>
      <c r="J86" s="55">
        <f t="shared" si="52"/>
        <v>205.79534205938765</v>
      </c>
      <c r="K86" s="13">
        <f t="shared" si="32"/>
        <v>0.78877913391053123</v>
      </c>
      <c r="M86" s="55">
        <f t="shared" si="33"/>
        <v>0.80701773471509231</v>
      </c>
      <c r="N86" s="57">
        <f t="shared" si="34"/>
        <v>86.4</v>
      </c>
      <c r="O86" s="57">
        <f t="shared" si="35"/>
        <v>63.47</v>
      </c>
      <c r="P86" s="13">
        <f>(B86*N86+B86*O86*16.32)*12</f>
        <v>106926.11251199999</v>
      </c>
      <c r="Q86" s="13">
        <f t="shared" si="36"/>
        <v>1336.7021760000061</v>
      </c>
      <c r="R86" s="50"/>
      <c r="S86" s="47">
        <f t="shared" si="37"/>
        <v>9.4637223974763669E-3</v>
      </c>
      <c r="T86" s="75"/>
    </row>
    <row r="87" spans="1:20" x14ac:dyDescent="0.25">
      <c r="A87" s="56" t="s">
        <v>28</v>
      </c>
      <c r="B87" s="124">
        <v>6.95</v>
      </c>
      <c r="C87" s="57">
        <v>85.59</v>
      </c>
      <c r="D87" s="57">
        <v>62.66</v>
      </c>
      <c r="E87" s="124">
        <f>(B87*C87+B87*D87*20.65)*12</f>
        <v>115051.88459999999</v>
      </c>
      <c r="F87" s="28">
        <v>613</v>
      </c>
      <c r="G87" s="62">
        <f>52*5</f>
        <v>260</v>
      </c>
      <c r="H87" s="13">
        <f t="shared" si="30"/>
        <v>553.84550000000002</v>
      </c>
      <c r="I87" s="55">
        <f t="shared" si="31"/>
        <v>249.21931561154287</v>
      </c>
      <c r="J87" s="55">
        <f t="shared" si="52"/>
        <v>225.16965165502899</v>
      </c>
      <c r="K87" s="13">
        <f t="shared" si="32"/>
        <v>0.78877913391053123</v>
      </c>
      <c r="M87" s="55">
        <f t="shared" si="33"/>
        <v>0.80701773471509231</v>
      </c>
      <c r="N87" s="57">
        <f t="shared" si="34"/>
        <v>86.4</v>
      </c>
      <c r="O87" s="57">
        <f t="shared" si="35"/>
        <v>63.47</v>
      </c>
      <c r="P87" s="13">
        <f>(B87*N87+B87*O87*20.65)*12</f>
        <v>116514.42869999999</v>
      </c>
      <c r="Q87" s="13">
        <f t="shared" si="36"/>
        <v>1462.5440999999992</v>
      </c>
      <c r="R87" s="50"/>
      <c r="S87" s="47">
        <f t="shared" si="37"/>
        <v>9.4637223974763669E-3</v>
      </c>
      <c r="T87" s="75"/>
    </row>
    <row r="88" spans="1:20" x14ac:dyDescent="0.25">
      <c r="A88" s="56" t="s">
        <v>27</v>
      </c>
      <c r="B88" s="124">
        <v>3.97</v>
      </c>
      <c r="C88" s="57">
        <v>85.59</v>
      </c>
      <c r="D88" s="57">
        <v>62.66</v>
      </c>
      <c r="E88" s="124">
        <f>(B88*C88+B88*D88*24.98)*12</f>
        <v>78645.865151999998</v>
      </c>
      <c r="F88" s="28">
        <v>613</v>
      </c>
      <c r="G88" s="62">
        <f>52*6</f>
        <v>312</v>
      </c>
      <c r="H88" s="13">
        <f t="shared" ref="H88:H133" si="129">+G88*F88*B88/2000</f>
        <v>379.64316000000002</v>
      </c>
      <c r="I88" s="55">
        <f t="shared" si="31"/>
        <v>249.21931561154287</v>
      </c>
      <c r="J88" s="55">
        <f t="shared" ref="J88:J133" si="130">+G88*I88*B88/2000</f>
        <v>154.34650654454074</v>
      </c>
      <c r="K88" s="13">
        <f t="shared" si="32"/>
        <v>0.78877913391053123</v>
      </c>
      <c r="M88" s="55">
        <f t="shared" si="33"/>
        <v>0.80701773471509231</v>
      </c>
      <c r="N88" s="57">
        <f t="shared" si="34"/>
        <v>86.4</v>
      </c>
      <c r="O88" s="57">
        <f t="shared" si="35"/>
        <v>63.47</v>
      </c>
      <c r="P88" s="13">
        <f>(B88*N88+B88*O88*24.98)*12</f>
        <v>79648.391784000007</v>
      </c>
      <c r="Q88" s="13">
        <f t="shared" si="36"/>
        <v>1002.5266320000082</v>
      </c>
      <c r="R88" s="50"/>
      <c r="S88" s="47">
        <f t="shared" si="37"/>
        <v>9.4637223974763669E-3</v>
      </c>
      <c r="T88" s="75"/>
    </row>
    <row r="89" spans="1:20" x14ac:dyDescent="0.25">
      <c r="A89" s="168" t="s">
        <v>184</v>
      </c>
      <c r="B89" s="161">
        <v>0.99</v>
      </c>
      <c r="C89" s="167">
        <v>270.31</v>
      </c>
      <c r="D89" s="123"/>
      <c r="E89" s="161">
        <f>(B89*C89+B89*D89*3.33)*12</f>
        <v>3211.2828</v>
      </c>
      <c r="F89" s="162">
        <v>2310</v>
      </c>
      <c r="G89" s="162">
        <v>52</v>
      </c>
      <c r="H89" s="164">
        <f>+G89*F89*B89/2000</f>
        <v>59.459400000000002</v>
      </c>
      <c r="I89" s="165">
        <f t="shared" si="31"/>
        <v>939.1461974921109</v>
      </c>
      <c r="J89" s="165">
        <f t="shared" si="130"/>
        <v>24.173623123446934</v>
      </c>
      <c r="K89" s="164">
        <f t="shared" si="32"/>
        <v>2.9723977150625234</v>
      </c>
      <c r="L89" s="166"/>
      <c r="M89" s="165">
        <f t="shared" si="33"/>
        <v>3.0411271895462688</v>
      </c>
      <c r="N89" s="167">
        <f t="shared" si="34"/>
        <v>273.35000000000002</v>
      </c>
      <c r="O89" s="123"/>
      <c r="P89" s="13">
        <f>(B89*N89+B89*O89*3.33)*12</f>
        <v>3247.3980000000001</v>
      </c>
      <c r="Q89" s="13">
        <f>+P89-E89</f>
        <v>36.115200000000186</v>
      </c>
      <c r="R89" s="50"/>
      <c r="S89" s="47">
        <f t="shared" si="37"/>
        <v>1.1246346787022384E-2</v>
      </c>
      <c r="T89" s="75"/>
    </row>
    <row r="90" spans="1:20" x14ac:dyDescent="0.25">
      <c r="A90" s="171" t="s">
        <v>153</v>
      </c>
      <c r="B90" s="161">
        <v>0</v>
      </c>
      <c r="C90" s="167">
        <v>270.31</v>
      </c>
      <c r="D90" s="167">
        <v>270.31</v>
      </c>
      <c r="E90" s="161">
        <f>(B90*C90+B90*D90*3.33)*12</f>
        <v>0</v>
      </c>
      <c r="F90" s="162">
        <v>2310</v>
      </c>
      <c r="G90" s="162">
        <v>52</v>
      </c>
      <c r="H90" s="164">
        <f t="shared" ref="H90" si="131">+G90*F90*B90/2000</f>
        <v>0</v>
      </c>
      <c r="I90" s="165">
        <f t="shared" ref="I90" si="132">+F90*$I$8</f>
        <v>939.1461974921109</v>
      </c>
      <c r="J90" s="165">
        <f t="shared" ref="J90" si="133">+G90*I90*B90/2000</f>
        <v>0</v>
      </c>
      <c r="K90" s="164">
        <f t="shared" ref="K90" si="134">+I90*$K$10</f>
        <v>2.9723977150625234</v>
      </c>
      <c r="L90" s="166"/>
      <c r="M90" s="165">
        <f t="shared" ref="M90" si="135">+K90/$M$10</f>
        <v>3.0411271895462688</v>
      </c>
      <c r="N90" s="167">
        <f t="shared" ref="N90" si="136">ROUND(C90+M90,2)</f>
        <v>273.35000000000002</v>
      </c>
      <c r="O90" s="167">
        <f t="shared" ref="O90" si="137">ROUND(D90+M90,2)</f>
        <v>273.35000000000002</v>
      </c>
      <c r="P90" s="13">
        <f>(B90*N90+B90*O90*3.33)*12</f>
        <v>0</v>
      </c>
      <c r="Q90" s="13">
        <f>+P90-E90</f>
        <v>0</v>
      </c>
      <c r="R90" s="50"/>
      <c r="S90" s="47">
        <f t="shared" ref="S90" si="138">(N90-C90)/C90</f>
        <v>1.1246346787022384E-2</v>
      </c>
      <c r="T90" s="75"/>
    </row>
    <row r="91" spans="1:20" x14ac:dyDescent="0.25">
      <c r="A91" s="56" t="s">
        <v>26</v>
      </c>
      <c r="B91" s="124">
        <v>26.81</v>
      </c>
      <c r="C91" s="57">
        <v>116.4</v>
      </c>
      <c r="D91" s="57">
        <v>93.39</v>
      </c>
      <c r="E91" s="124">
        <f>(B91*C91+B91*D91*1.17)*12</f>
        <v>72601.362036000006</v>
      </c>
      <c r="F91" s="28">
        <v>840</v>
      </c>
      <c r="G91" s="62">
        <f>+G35</f>
        <v>26</v>
      </c>
      <c r="H91" s="13">
        <f t="shared" si="129"/>
        <v>292.76519999999999</v>
      </c>
      <c r="I91" s="55">
        <f t="shared" si="31"/>
        <v>341.50770817894943</v>
      </c>
      <c r="J91" s="55">
        <f t="shared" si="130"/>
        <v>119.02568153160922</v>
      </c>
      <c r="K91" s="13">
        <f t="shared" si="32"/>
        <v>1.0808718963863722</v>
      </c>
      <c r="M91" s="55">
        <f t="shared" si="33"/>
        <v>1.1058644325622797</v>
      </c>
      <c r="N91" s="57">
        <f t="shared" si="34"/>
        <v>117.51</v>
      </c>
      <c r="O91" s="57">
        <f t="shared" si="35"/>
        <v>94.5</v>
      </c>
      <c r="P91" s="13">
        <f>(B91*N91+B91*O91*1.17)*12</f>
        <v>73376.28899999999</v>
      </c>
      <c r="Q91" s="13">
        <f t="shared" si="36"/>
        <v>774.92696399998385</v>
      </c>
      <c r="R91" s="50"/>
      <c r="S91" s="47">
        <f t="shared" si="37"/>
        <v>9.536082474226798E-3</v>
      </c>
      <c r="T91" s="75"/>
    </row>
    <row r="92" spans="1:20" x14ac:dyDescent="0.25">
      <c r="A92" s="61" t="s">
        <v>107</v>
      </c>
      <c r="B92" s="148">
        <v>39.72</v>
      </c>
      <c r="C92" s="57">
        <v>116.47</v>
      </c>
      <c r="D92" s="57"/>
      <c r="E92" s="124">
        <f>+B92*C92*12</f>
        <v>55514.260800000004</v>
      </c>
      <c r="F92" s="62">
        <f>+F136</f>
        <v>840</v>
      </c>
      <c r="G92" s="26">
        <v>12</v>
      </c>
      <c r="H92" s="63">
        <f>+G92*F92*B92/2000</f>
        <v>200.18879999999999</v>
      </c>
      <c r="I92" s="50">
        <f>+F92*$I$8</f>
        <v>341.50770817894943</v>
      </c>
      <c r="J92" s="55">
        <f>+G92*I92*B92/2000</f>
        <v>81.388117013207221</v>
      </c>
      <c r="K92" s="13">
        <f>+I92*$K$10</f>
        <v>1.0808718963863722</v>
      </c>
      <c r="M92" s="55">
        <f>+K92/$M$10</f>
        <v>1.1058644325622797</v>
      </c>
      <c r="N92" s="57">
        <f>ROUND(C92+M92,2)</f>
        <v>117.58</v>
      </c>
      <c r="O92" s="57"/>
      <c r="P92" s="13">
        <f>+N92*B92*12</f>
        <v>56043.331199999993</v>
      </c>
      <c r="Q92" s="13">
        <f>+P92-E92</f>
        <v>529.0703999999896</v>
      </c>
      <c r="R92" s="50"/>
      <c r="S92" s="47">
        <f>(N92-C92)/C92</f>
        <v>9.5303511633897092E-3</v>
      </c>
      <c r="T92" s="75"/>
    </row>
    <row r="93" spans="1:20" x14ac:dyDescent="0.25">
      <c r="A93" s="61" t="s">
        <v>105</v>
      </c>
      <c r="B93" s="148">
        <v>11.92</v>
      </c>
      <c r="C93" s="57">
        <v>118.06</v>
      </c>
      <c r="D93" s="57"/>
      <c r="E93" s="124">
        <f>+B93*C93*12</f>
        <v>16887.3024</v>
      </c>
      <c r="F93" s="62">
        <f>+F92</f>
        <v>840</v>
      </c>
      <c r="G93" s="26">
        <v>12</v>
      </c>
      <c r="H93" s="63">
        <f>+G93*F93*B93/2000</f>
        <v>60.076800000000006</v>
      </c>
      <c r="I93" s="50">
        <f>+F93*$I$8</f>
        <v>341.50770817894943</v>
      </c>
      <c r="J93" s="55">
        <f>+G93*I93*B93/2000</f>
        <v>24.424631288958459</v>
      </c>
      <c r="K93" s="13">
        <f>+I93*$K$10</f>
        <v>1.0808718963863722</v>
      </c>
      <c r="M93" s="55">
        <f>+K93/$M$10</f>
        <v>1.1058644325622797</v>
      </c>
      <c r="N93" s="57">
        <f>ROUND(C93+M93,2)</f>
        <v>119.17</v>
      </c>
      <c r="O93" s="57"/>
      <c r="P93" s="13">
        <f>+N93*B93*12</f>
        <v>17046.076799999999</v>
      </c>
      <c r="Q93" s="13">
        <f>+P93-E93</f>
        <v>158.77439999999842</v>
      </c>
      <c r="R93" s="50"/>
      <c r="S93" s="47">
        <f>(N93-C93)/C93</f>
        <v>9.4019989835676717E-3</v>
      </c>
      <c r="T93" s="75"/>
    </row>
    <row r="94" spans="1:20" x14ac:dyDescent="0.25">
      <c r="A94" s="56" t="s">
        <v>25</v>
      </c>
      <c r="B94" s="124">
        <v>239.3</v>
      </c>
      <c r="C94" s="57">
        <v>116.4</v>
      </c>
      <c r="D94" s="57">
        <v>93.39</v>
      </c>
      <c r="E94" s="124">
        <f>(B94*C94+B94*D94*3.33)*12</f>
        <v>1227289.3909200002</v>
      </c>
      <c r="F94" s="28">
        <v>840</v>
      </c>
      <c r="G94" s="62">
        <f>+G38</f>
        <v>52</v>
      </c>
      <c r="H94" s="13">
        <f t="shared" si="129"/>
        <v>5226.3119999999999</v>
      </c>
      <c r="I94" s="55">
        <f t="shared" si="31"/>
        <v>341.50770817894943</v>
      </c>
      <c r="J94" s="55">
        <f t="shared" si="130"/>
        <v>2124.7926587477878</v>
      </c>
      <c r="K94" s="13">
        <f t="shared" si="32"/>
        <v>1.0808718963863722</v>
      </c>
      <c r="M94" s="55">
        <f t="shared" si="33"/>
        <v>1.1058644325622797</v>
      </c>
      <c r="N94" s="57">
        <f t="shared" si="34"/>
        <v>117.51</v>
      </c>
      <c r="O94" s="57">
        <f t="shared" si="35"/>
        <v>94.5</v>
      </c>
      <c r="P94" s="13">
        <f>(B94*N94+B94*O94*3.33)*12</f>
        <v>1241091.162</v>
      </c>
      <c r="Q94" s="13">
        <f t="shared" si="36"/>
        <v>13801.77107999986</v>
      </c>
      <c r="R94" s="50"/>
      <c r="S94" s="47">
        <f t="shared" si="37"/>
        <v>9.536082474226798E-3</v>
      </c>
      <c r="T94" s="75"/>
    </row>
    <row r="95" spans="1:20" x14ac:dyDescent="0.25">
      <c r="A95" s="56" t="s">
        <v>24</v>
      </c>
      <c r="B95" s="124">
        <v>61.56</v>
      </c>
      <c r="C95" s="57">
        <v>116.4</v>
      </c>
      <c r="D95" s="57">
        <v>93.39</v>
      </c>
      <c r="E95" s="124">
        <f>(B95*C95+B95*D95*7.66)*12</f>
        <v>614443.21372800006</v>
      </c>
      <c r="F95" s="28">
        <v>840</v>
      </c>
      <c r="G95" s="62">
        <f>+G39</f>
        <v>104</v>
      </c>
      <c r="H95" s="13">
        <f t="shared" si="129"/>
        <v>2688.9408000000003</v>
      </c>
      <c r="I95" s="55">
        <f t="shared" si="31"/>
        <v>341.50770817894943</v>
      </c>
      <c r="J95" s="55">
        <f t="shared" si="130"/>
        <v>1093.2071548057986</v>
      </c>
      <c r="K95" s="13">
        <f t="shared" si="32"/>
        <v>1.0808718963863722</v>
      </c>
      <c r="M95" s="55">
        <f t="shared" si="33"/>
        <v>1.1058644325622797</v>
      </c>
      <c r="N95" s="57">
        <f t="shared" si="34"/>
        <v>117.51</v>
      </c>
      <c r="O95" s="57">
        <f t="shared" si="35"/>
        <v>94.5</v>
      </c>
      <c r="P95" s="13">
        <f>(B95*N95+B95*O95*7.66)*12</f>
        <v>621544.23360000004</v>
      </c>
      <c r="Q95" s="13">
        <f t="shared" si="36"/>
        <v>7101.0198719999753</v>
      </c>
      <c r="R95" s="50"/>
      <c r="S95" s="47">
        <f t="shared" si="37"/>
        <v>9.536082474226798E-3</v>
      </c>
      <c r="T95" s="75"/>
    </row>
    <row r="96" spans="1:20" x14ac:dyDescent="0.25">
      <c r="A96" s="56" t="s">
        <v>23</v>
      </c>
      <c r="B96" s="124">
        <v>11.92</v>
      </c>
      <c r="C96" s="57">
        <v>116.4</v>
      </c>
      <c r="D96" s="57">
        <v>93.39</v>
      </c>
      <c r="E96" s="124">
        <f>(B96*C96+B96*D96*11.99)*12</f>
        <v>176818.33814400001</v>
      </c>
      <c r="F96" s="28">
        <v>840</v>
      </c>
      <c r="G96" s="62">
        <f>+G40</f>
        <v>156</v>
      </c>
      <c r="H96" s="13">
        <f t="shared" si="129"/>
        <v>780.99840000000006</v>
      </c>
      <c r="I96" s="55">
        <f t="shared" si="31"/>
        <v>341.50770817894943</v>
      </c>
      <c r="J96" s="55">
        <f t="shared" si="130"/>
        <v>317.52020675646003</v>
      </c>
      <c r="K96" s="13">
        <f t="shared" si="32"/>
        <v>1.0808718963863722</v>
      </c>
      <c r="M96" s="55">
        <f t="shared" si="33"/>
        <v>1.1058644325622797</v>
      </c>
      <c r="N96" s="57">
        <f t="shared" si="34"/>
        <v>117.51</v>
      </c>
      <c r="O96" s="57">
        <f t="shared" si="35"/>
        <v>94.5</v>
      </c>
      <c r="P96" s="13">
        <f>(B96*N96+B96*O96*11.99)*12</f>
        <v>178880.81760000001</v>
      </c>
      <c r="Q96" s="13">
        <f t="shared" si="36"/>
        <v>2062.4794560000009</v>
      </c>
      <c r="R96" s="50"/>
      <c r="S96" s="47">
        <f t="shared" si="37"/>
        <v>9.536082474226798E-3</v>
      </c>
      <c r="T96" s="75"/>
    </row>
    <row r="97" spans="1:20" x14ac:dyDescent="0.25">
      <c r="A97" s="56" t="s">
        <v>22</v>
      </c>
      <c r="B97" s="124">
        <v>4.96</v>
      </c>
      <c r="C97" s="57">
        <v>116.4</v>
      </c>
      <c r="D97" s="57">
        <v>93.39</v>
      </c>
      <c r="E97" s="124">
        <f>(B97*C97+B97*D97*16.32)*12</f>
        <v>97644.036096000011</v>
      </c>
      <c r="F97" s="28">
        <v>840</v>
      </c>
      <c r="G97" s="62">
        <f>52*4</f>
        <v>208</v>
      </c>
      <c r="H97" s="13">
        <f t="shared" si="129"/>
        <v>433.30559999999997</v>
      </c>
      <c r="I97" s="55">
        <f t="shared" si="31"/>
        <v>341.50770817894943</v>
      </c>
      <c r="J97" s="55">
        <f t="shared" si="130"/>
        <v>176.16333618702924</v>
      </c>
      <c r="K97" s="13">
        <f t="shared" si="32"/>
        <v>1.0808718963863722</v>
      </c>
      <c r="M97" s="55">
        <f t="shared" si="33"/>
        <v>1.1058644325622797</v>
      </c>
      <c r="N97" s="57">
        <f t="shared" si="34"/>
        <v>117.51</v>
      </c>
      <c r="O97" s="57">
        <f t="shared" si="35"/>
        <v>94.5</v>
      </c>
      <c r="P97" s="13">
        <f>(B97*N97+B97*O97*16.32)*12</f>
        <v>98788.319999999978</v>
      </c>
      <c r="Q97" s="13">
        <f t="shared" si="36"/>
        <v>1144.2839039999672</v>
      </c>
      <c r="R97" s="50"/>
      <c r="S97" s="47">
        <f t="shared" si="37"/>
        <v>9.536082474226798E-3</v>
      </c>
      <c r="T97" s="75"/>
    </row>
    <row r="98" spans="1:20" x14ac:dyDescent="0.25">
      <c r="A98" s="56" t="s">
        <v>21</v>
      </c>
      <c r="B98" s="124">
        <v>4.96</v>
      </c>
      <c r="C98" s="57">
        <v>116.4</v>
      </c>
      <c r="D98" s="57">
        <v>93.39</v>
      </c>
      <c r="E98" s="124">
        <f>(B98*C98+B98*D98*20.65)*12</f>
        <v>121712.65631999999</v>
      </c>
      <c r="F98" s="28">
        <v>840</v>
      </c>
      <c r="G98" s="62">
        <f>52*5</f>
        <v>260</v>
      </c>
      <c r="H98" s="13">
        <f t="shared" si="129"/>
        <v>541.63199999999995</v>
      </c>
      <c r="I98" s="55">
        <f t="shared" si="31"/>
        <v>341.50770817894943</v>
      </c>
      <c r="J98" s="55">
        <f t="shared" si="130"/>
        <v>220.20417023378661</v>
      </c>
      <c r="K98" s="13">
        <f t="shared" si="32"/>
        <v>1.0808718963863722</v>
      </c>
      <c r="M98" s="55">
        <f t="shared" si="33"/>
        <v>1.1058644325622797</v>
      </c>
      <c r="N98" s="57">
        <f t="shared" si="34"/>
        <v>117.51</v>
      </c>
      <c r="O98" s="57">
        <f t="shared" si="35"/>
        <v>94.5</v>
      </c>
      <c r="P98" s="13">
        <f>(B98*N98+B98*O98*20.65)*12</f>
        <v>123143.01119999998</v>
      </c>
      <c r="Q98" s="13">
        <f t="shared" si="36"/>
        <v>1430.3548799999844</v>
      </c>
      <c r="R98" s="50"/>
      <c r="S98" s="47">
        <f t="shared" si="37"/>
        <v>9.536082474226798E-3</v>
      </c>
      <c r="T98" s="75"/>
    </row>
    <row r="99" spans="1:20" x14ac:dyDescent="0.25">
      <c r="A99" s="56" t="s">
        <v>154</v>
      </c>
      <c r="B99" s="124">
        <v>0.99</v>
      </c>
      <c r="C99" s="57">
        <v>116.4</v>
      </c>
      <c r="D99" s="57">
        <v>93.39</v>
      </c>
      <c r="E99" s="124">
        <f>(B99*C99+B99*D99*24.98)*12</f>
        <v>29097.472536000001</v>
      </c>
      <c r="F99" s="28">
        <v>840</v>
      </c>
      <c r="G99" s="62">
        <v>312</v>
      </c>
      <c r="H99" s="13">
        <f t="shared" ref="H99" si="139">+G99*F99*B99/2000</f>
        <v>129.7296</v>
      </c>
      <c r="I99" s="55">
        <f t="shared" ref="I99" si="140">+F99*$I$8</f>
        <v>341.50770817894943</v>
      </c>
      <c r="J99" s="55">
        <f t="shared" ref="J99" si="141">+G99*I99*B99/2000</f>
        <v>52.742450451156955</v>
      </c>
      <c r="K99" s="13">
        <f t="shared" ref="K99" si="142">+I99*$K$10</f>
        <v>1.0808718963863722</v>
      </c>
      <c r="M99" s="55">
        <f t="shared" ref="M99" si="143">+K99/$M$10</f>
        <v>1.1058644325622797</v>
      </c>
      <c r="N99" s="57">
        <f t="shared" ref="N99" si="144">ROUND(C99+M99,2)</f>
        <v>117.51</v>
      </c>
      <c r="O99" s="57">
        <f t="shared" ref="O99" si="145">ROUND(D99+M99,2)</f>
        <v>94.5</v>
      </c>
      <c r="P99" s="13">
        <f>(B99*N99+B99*O99*24.98)*12</f>
        <v>29440.065599999994</v>
      </c>
      <c r="Q99" s="13">
        <f t="shared" ref="Q99" si="146">+P99-E99</f>
        <v>342.59306399999332</v>
      </c>
      <c r="R99" s="50"/>
      <c r="S99" s="47">
        <f t="shared" ref="S99" si="147">(N99-C99)/C99</f>
        <v>9.536082474226798E-3</v>
      </c>
      <c r="T99" s="75"/>
    </row>
    <row r="100" spans="1:20" x14ac:dyDescent="0.25">
      <c r="A100" s="56" t="s">
        <v>20</v>
      </c>
      <c r="B100" s="124">
        <v>631.52</v>
      </c>
      <c r="C100" s="57">
        <v>5.27</v>
      </c>
      <c r="D100" s="57">
        <v>5.27</v>
      </c>
      <c r="E100" s="124">
        <f>(B100*C100+B100*D100*3.33)*12</f>
        <v>172928.61638399999</v>
      </c>
      <c r="F100" s="27">
        <f>+F22</f>
        <v>47</v>
      </c>
      <c r="G100" s="26">
        <v>52</v>
      </c>
      <c r="H100" s="13">
        <f t="shared" si="129"/>
        <v>771.7174399999999</v>
      </c>
      <c r="I100" s="55">
        <f t="shared" si="31"/>
        <v>19.108169386203123</v>
      </c>
      <c r="J100" s="55">
        <f t="shared" si="130"/>
        <v>313.74696940014991</v>
      </c>
      <c r="K100" s="13">
        <f t="shared" si="32"/>
        <v>6.0477356107332729E-2</v>
      </c>
      <c r="M100" s="55">
        <f t="shared" si="33"/>
        <v>6.1875748012413266E-2</v>
      </c>
      <c r="N100" s="57">
        <f t="shared" si="34"/>
        <v>5.33</v>
      </c>
      <c r="O100" s="57">
        <f t="shared" si="35"/>
        <v>5.33</v>
      </c>
      <c r="P100" s="13">
        <f>(B100*N100+B100*O100*3.33)*12</f>
        <v>174897.44313599999</v>
      </c>
      <c r="Q100" s="13">
        <f t="shared" si="36"/>
        <v>1968.8267519999936</v>
      </c>
      <c r="R100" s="50"/>
      <c r="S100" s="47">
        <f t="shared" si="37"/>
        <v>1.1385199240986812E-2</v>
      </c>
      <c r="T100" s="75"/>
    </row>
    <row r="101" spans="1:20" x14ac:dyDescent="0.25">
      <c r="A101" s="56" t="s">
        <v>19</v>
      </c>
      <c r="B101" s="124">
        <v>35.75</v>
      </c>
      <c r="C101" s="57">
        <v>5.27</v>
      </c>
      <c r="D101" s="57">
        <v>5.27</v>
      </c>
      <c r="E101" s="124">
        <f>(B101*C101+B101*D101*7.66)*12</f>
        <v>19578.787799999998</v>
      </c>
      <c r="F101" s="27">
        <v>47</v>
      </c>
      <c r="G101" s="26">
        <v>104</v>
      </c>
      <c r="H101" s="13">
        <f t="shared" si="129"/>
        <v>87.373000000000005</v>
      </c>
      <c r="I101" s="55">
        <f t="shared" si="31"/>
        <v>19.108169386203123</v>
      </c>
      <c r="J101" s="55">
        <f t="shared" si="130"/>
        <v>35.522086888951605</v>
      </c>
      <c r="K101" s="13">
        <f t="shared" si="32"/>
        <v>6.0477356107332729E-2</v>
      </c>
      <c r="M101" s="55">
        <f t="shared" si="33"/>
        <v>6.1875748012413266E-2</v>
      </c>
      <c r="N101" s="57">
        <f t="shared" si="34"/>
        <v>5.33</v>
      </c>
      <c r="O101" s="57">
        <f t="shared" si="35"/>
        <v>5.33</v>
      </c>
      <c r="P101" s="13">
        <f>(B101*N101+B101*O101*7.66)*12</f>
        <v>19801.696200000006</v>
      </c>
      <c r="Q101" s="13">
        <f t="shared" si="36"/>
        <v>222.90840000000753</v>
      </c>
      <c r="R101" s="50"/>
      <c r="S101" s="47">
        <f t="shared" si="37"/>
        <v>1.1385199240986812E-2</v>
      </c>
      <c r="T101" s="75"/>
    </row>
    <row r="102" spans="1:20" x14ac:dyDescent="0.25">
      <c r="A102" s="56" t="s">
        <v>155</v>
      </c>
      <c r="B102" s="124">
        <v>2.98</v>
      </c>
      <c r="C102" s="57">
        <v>5.27</v>
      </c>
      <c r="D102" s="57">
        <v>5.27</v>
      </c>
      <c r="E102" s="124">
        <f>(B102*C102+B102*D102*11.99)*12</f>
        <v>2448.0330479999998</v>
      </c>
      <c r="F102" s="27">
        <v>47</v>
      </c>
      <c r="G102" s="26">
        <v>156</v>
      </c>
      <c r="H102" s="13">
        <f t="shared" ref="H102" si="148">+G102*F102*B102/2000</f>
        <v>10.92468</v>
      </c>
      <c r="I102" s="55">
        <f t="shared" ref="I102" si="149">+F102*$I$8</f>
        <v>19.108169386203123</v>
      </c>
      <c r="J102" s="55">
        <f t="shared" ref="J102" si="150">+G102*I102*B102/2000</f>
        <v>4.441502892129054</v>
      </c>
      <c r="K102" s="13">
        <f t="shared" ref="K102" si="151">+I102*$K$10</f>
        <v>6.0477356107332729E-2</v>
      </c>
      <c r="M102" s="55">
        <f t="shared" ref="M102" si="152">+K102/$M$10</f>
        <v>6.1875748012413266E-2</v>
      </c>
      <c r="N102" s="57">
        <f t="shared" ref="N102" si="153">ROUND(C102+M102,2)</f>
        <v>5.33</v>
      </c>
      <c r="O102" s="57">
        <f t="shared" ref="O102" si="154">ROUND(D102+M102,2)</f>
        <v>5.33</v>
      </c>
      <c r="P102" s="13">
        <f>(B102*N102+B102*O102*11.99)*12</f>
        <v>2475.9043919999999</v>
      </c>
      <c r="Q102" s="13">
        <f t="shared" ref="Q102" si="155">+P102-E102</f>
        <v>27.871344000000136</v>
      </c>
      <c r="R102" s="50"/>
      <c r="S102" s="47">
        <f t="shared" ref="S102" si="156">(N102-C102)/C102</f>
        <v>1.1385199240986812E-2</v>
      </c>
      <c r="T102" s="75"/>
    </row>
    <row r="103" spans="1:20" x14ac:dyDescent="0.25">
      <c r="A103" s="56" t="s">
        <v>121</v>
      </c>
      <c r="B103" s="124">
        <v>0</v>
      </c>
      <c r="C103" s="57">
        <v>5.27</v>
      </c>
      <c r="D103" s="57">
        <v>5.27</v>
      </c>
      <c r="E103" s="124">
        <f>(B103*C103+B103*D103*16.32)*12</f>
        <v>0</v>
      </c>
      <c r="F103" s="27">
        <v>47</v>
      </c>
      <c r="G103" s="26">
        <v>208</v>
      </c>
      <c r="H103" s="13">
        <f t="shared" si="129"/>
        <v>0</v>
      </c>
      <c r="I103" s="55">
        <f t="shared" si="31"/>
        <v>19.108169386203123</v>
      </c>
      <c r="J103" s="55">
        <f t="shared" si="130"/>
        <v>0</v>
      </c>
      <c r="K103" s="13">
        <f t="shared" si="32"/>
        <v>6.0477356107332729E-2</v>
      </c>
      <c r="M103" s="55">
        <f t="shared" si="33"/>
        <v>6.1875748012413266E-2</v>
      </c>
      <c r="N103" s="57">
        <f t="shared" si="34"/>
        <v>5.33</v>
      </c>
      <c r="O103" s="57">
        <f t="shared" si="35"/>
        <v>5.33</v>
      </c>
      <c r="P103" s="13">
        <f>(B103*N103+B103*O103*16.32)*12</f>
        <v>0</v>
      </c>
      <c r="Q103" s="13">
        <f t="shared" si="36"/>
        <v>0</v>
      </c>
      <c r="R103" s="50"/>
      <c r="S103" s="47">
        <f t="shared" si="37"/>
        <v>1.1385199240986812E-2</v>
      </c>
      <c r="T103" s="75"/>
    </row>
    <row r="104" spans="1:20" x14ac:dyDescent="0.25">
      <c r="A104" s="56" t="s">
        <v>156</v>
      </c>
      <c r="B104" s="124">
        <v>1.99</v>
      </c>
      <c r="C104" s="57">
        <v>5.27</v>
      </c>
      <c r="D104" s="57">
        <v>5.27</v>
      </c>
      <c r="E104" s="124">
        <f>(B104*C104+B104*D104*20.65)*12</f>
        <v>2724.6005399999999</v>
      </c>
      <c r="F104" s="27">
        <v>47</v>
      </c>
      <c r="G104" s="26">
        <v>260</v>
      </c>
      <c r="H104" s="13">
        <f t="shared" ref="H104" si="157">+G104*F104*B104/2000</f>
        <v>12.158899999999999</v>
      </c>
      <c r="I104" s="55">
        <f t="shared" ref="I104" si="158">+F104*$I$8</f>
        <v>19.108169386203123</v>
      </c>
      <c r="J104" s="55">
        <f t="shared" ref="J104" si="159">+G104*I104*B104/2000</f>
        <v>4.9432834202107481</v>
      </c>
      <c r="K104" s="13">
        <f t="shared" ref="K104" si="160">+I104*$K$10</f>
        <v>6.0477356107332729E-2</v>
      </c>
      <c r="M104" s="55">
        <f t="shared" ref="M104" si="161">+K104/$M$10</f>
        <v>6.1875748012413266E-2</v>
      </c>
      <c r="N104" s="57">
        <f t="shared" ref="N104" si="162">ROUND(C104+M104,2)</f>
        <v>5.33</v>
      </c>
      <c r="O104" s="57">
        <f t="shared" ref="O104" si="163">ROUND(D104+M104,2)</f>
        <v>5.33</v>
      </c>
      <c r="P104" s="13">
        <f>(B104*N104+B104*O104*20.65)*12</f>
        <v>2755.6206599999996</v>
      </c>
      <c r="Q104" s="13">
        <f t="shared" ref="Q104" si="164">+P104-E104</f>
        <v>31.020119999999679</v>
      </c>
      <c r="R104" s="50"/>
      <c r="S104" s="47">
        <f t="shared" ref="S104" si="165">(N104-C104)/C104</f>
        <v>1.1385199240986812E-2</v>
      </c>
      <c r="T104" s="75"/>
    </row>
    <row r="105" spans="1:20" x14ac:dyDescent="0.25">
      <c r="A105" s="56" t="s">
        <v>18</v>
      </c>
      <c r="B105" s="124">
        <v>0</v>
      </c>
      <c r="C105" s="57">
        <v>5.27</v>
      </c>
      <c r="D105" s="57">
        <v>5.27</v>
      </c>
      <c r="E105" s="124">
        <f>(B105*C105+B105*D105*24.98)*12</f>
        <v>0</v>
      </c>
      <c r="F105" s="27">
        <v>47</v>
      </c>
      <c r="G105" s="26">
        <f>52*6</f>
        <v>312</v>
      </c>
      <c r="H105" s="13">
        <f t="shared" si="129"/>
        <v>0</v>
      </c>
      <c r="I105" s="55">
        <f t="shared" si="31"/>
        <v>19.108169386203123</v>
      </c>
      <c r="J105" s="55">
        <f t="shared" si="130"/>
        <v>0</v>
      </c>
      <c r="K105" s="13">
        <f t="shared" si="32"/>
        <v>6.0477356107332729E-2</v>
      </c>
      <c r="M105" s="50">
        <f t="shared" si="33"/>
        <v>6.1875748012413266E-2</v>
      </c>
      <c r="N105" s="57">
        <f t="shared" si="34"/>
        <v>5.33</v>
      </c>
      <c r="O105" s="57">
        <f t="shared" si="35"/>
        <v>5.33</v>
      </c>
      <c r="P105" s="13">
        <f>(B105*N105+B105*O105*24.98)*12</f>
        <v>0</v>
      </c>
      <c r="Q105" s="13">
        <f t="shared" si="36"/>
        <v>0</v>
      </c>
      <c r="R105" s="50"/>
      <c r="S105" s="47">
        <f t="shared" si="37"/>
        <v>1.1385199240986812E-2</v>
      </c>
      <c r="T105" s="75"/>
    </row>
    <row r="106" spans="1:20" x14ac:dyDescent="0.25">
      <c r="A106" s="56" t="s">
        <v>17</v>
      </c>
      <c r="B106" s="124">
        <v>36.74</v>
      </c>
      <c r="C106" s="57">
        <v>143.66</v>
      </c>
      <c r="D106" s="57">
        <v>122.8</v>
      </c>
      <c r="E106" s="124">
        <f>(B106*C106+B106*D106*3.33)*12</f>
        <v>243623.23392000006</v>
      </c>
      <c r="F106" s="28">
        <v>980</v>
      </c>
      <c r="G106" s="62">
        <f>+G38</f>
        <v>52</v>
      </c>
      <c r="H106" s="13">
        <f t="shared" si="129"/>
        <v>936.13520000000005</v>
      </c>
      <c r="I106" s="55">
        <f t="shared" si="31"/>
        <v>398.42565954210767</v>
      </c>
      <c r="J106" s="55">
        <f t="shared" si="130"/>
        <v>380.59212702100291</v>
      </c>
      <c r="K106" s="13">
        <f t="shared" si="32"/>
        <v>1.2610172124507677</v>
      </c>
      <c r="M106" s="50">
        <f t="shared" si="33"/>
        <v>1.2901751713226597</v>
      </c>
      <c r="N106" s="57">
        <f t="shared" si="34"/>
        <v>144.94999999999999</v>
      </c>
      <c r="O106" s="57">
        <f t="shared" si="35"/>
        <v>124.09</v>
      </c>
      <c r="P106" s="13">
        <f>(B106*N106+B106*O106*3.33)*12</f>
        <v>246085.85733600002</v>
      </c>
      <c r="Q106" s="13">
        <f t="shared" si="36"/>
        <v>2462.6234159999585</v>
      </c>
      <c r="R106" s="50"/>
      <c r="S106" s="47">
        <f t="shared" si="37"/>
        <v>8.9795350132256171E-3</v>
      </c>
      <c r="T106" s="75"/>
    </row>
    <row r="107" spans="1:20" x14ac:dyDescent="0.25">
      <c r="A107" s="56" t="s">
        <v>16</v>
      </c>
      <c r="B107" s="124">
        <v>9.93</v>
      </c>
      <c r="C107" s="57">
        <v>143.66</v>
      </c>
      <c r="D107" s="57">
        <v>122.8</v>
      </c>
      <c r="E107" s="124">
        <f>(B107*C107+B107*D107*7.66)*12</f>
        <v>129206.14128</v>
      </c>
      <c r="F107" s="28">
        <v>980</v>
      </c>
      <c r="G107" s="62">
        <f>+G39</f>
        <v>104</v>
      </c>
      <c r="H107" s="13">
        <f t="shared" si="129"/>
        <v>506.03280000000001</v>
      </c>
      <c r="I107" s="55">
        <f t="shared" si="31"/>
        <v>398.42565954210767</v>
      </c>
      <c r="J107" s="55">
        <f t="shared" si="130"/>
        <v>205.73107356116267</v>
      </c>
      <c r="K107" s="13">
        <f t="shared" si="32"/>
        <v>1.2610172124507677</v>
      </c>
      <c r="M107" s="50">
        <f t="shared" si="33"/>
        <v>1.2901751713226597</v>
      </c>
      <c r="N107" s="57">
        <f t="shared" si="34"/>
        <v>144.94999999999999</v>
      </c>
      <c r="O107" s="57">
        <f t="shared" si="35"/>
        <v>124.09</v>
      </c>
      <c r="P107" s="13">
        <f>(B107*N107+B107*O107*7.66)*12</f>
        <v>130537.325304</v>
      </c>
      <c r="Q107" s="13">
        <f t="shared" si="36"/>
        <v>1331.184024000002</v>
      </c>
      <c r="R107" s="50"/>
      <c r="S107" s="47">
        <f t="shared" si="37"/>
        <v>8.9795350132256171E-3</v>
      </c>
      <c r="T107" s="75"/>
    </row>
    <row r="108" spans="1:20" x14ac:dyDescent="0.25">
      <c r="A108" s="56" t="s">
        <v>15</v>
      </c>
      <c r="B108" s="124">
        <v>9.93</v>
      </c>
      <c r="C108" s="57">
        <v>143.66</v>
      </c>
      <c r="D108" s="57">
        <v>122.8</v>
      </c>
      <c r="E108" s="124">
        <f>(B108*C108+B108*D108*11.99)*12</f>
        <v>192566.37312</v>
      </c>
      <c r="F108" s="28">
        <v>980</v>
      </c>
      <c r="G108" s="62">
        <f>52*3</f>
        <v>156</v>
      </c>
      <c r="H108" s="13">
        <f t="shared" si="129"/>
        <v>759.04919999999993</v>
      </c>
      <c r="I108" s="55">
        <f t="shared" si="31"/>
        <v>398.42565954210767</v>
      </c>
      <c r="J108" s="55">
        <f t="shared" si="130"/>
        <v>308.59661034174405</v>
      </c>
      <c r="K108" s="13">
        <f t="shared" si="32"/>
        <v>1.2610172124507677</v>
      </c>
      <c r="M108" s="50">
        <f t="shared" si="33"/>
        <v>1.2901751713226597</v>
      </c>
      <c r="N108" s="57">
        <f t="shared" si="34"/>
        <v>144.94999999999999</v>
      </c>
      <c r="O108" s="57">
        <f t="shared" si="35"/>
        <v>124.09</v>
      </c>
      <c r="P108" s="13">
        <f>(B108*N108+B108*O108*11.99)*12</f>
        <v>194563.149156</v>
      </c>
      <c r="Q108" s="13">
        <f t="shared" si="36"/>
        <v>1996.7760359999957</v>
      </c>
      <c r="R108" s="50"/>
      <c r="S108" s="47">
        <f t="shared" si="37"/>
        <v>8.9795350132256171E-3</v>
      </c>
      <c r="T108" s="75"/>
    </row>
    <row r="109" spans="1:20" x14ac:dyDescent="0.25">
      <c r="A109" s="56" t="s">
        <v>14</v>
      </c>
      <c r="B109" s="124">
        <v>3.97</v>
      </c>
      <c r="C109" s="57">
        <v>143.66</v>
      </c>
      <c r="D109" s="57">
        <v>122.8</v>
      </c>
      <c r="E109" s="124">
        <f>(B109*C109+B109*D109*16.32)*12</f>
        <v>102319.09583999999</v>
      </c>
      <c r="F109" s="28">
        <v>980</v>
      </c>
      <c r="G109" s="62">
        <f>52*4</f>
        <v>208</v>
      </c>
      <c r="H109" s="13">
        <f t="shared" si="129"/>
        <v>404.62240000000003</v>
      </c>
      <c r="I109" s="55">
        <f t="shared" si="31"/>
        <v>398.42565954210767</v>
      </c>
      <c r="J109" s="55">
        <f t="shared" si="130"/>
        <v>164.50198631174541</v>
      </c>
      <c r="K109" s="13">
        <f t="shared" si="32"/>
        <v>1.2610172124507677</v>
      </c>
      <c r="M109" s="50">
        <f t="shared" si="33"/>
        <v>1.2901751713226597</v>
      </c>
      <c r="N109" s="57">
        <f t="shared" si="34"/>
        <v>144.94999999999999</v>
      </c>
      <c r="O109" s="57">
        <f t="shared" si="35"/>
        <v>124.09</v>
      </c>
      <c r="P109" s="13">
        <f>(B109*N109+B109*O109*16.32)*12</f>
        <v>103383.50683200001</v>
      </c>
      <c r="Q109" s="13">
        <f t="shared" si="36"/>
        <v>1064.4109920000192</v>
      </c>
      <c r="R109" s="50"/>
      <c r="S109" s="47">
        <f t="shared" si="37"/>
        <v>8.9795350132256171E-3</v>
      </c>
      <c r="T109" s="75"/>
    </row>
    <row r="110" spans="1:20" x14ac:dyDescent="0.25">
      <c r="A110" s="56" t="s">
        <v>13</v>
      </c>
      <c r="B110" s="124">
        <v>1.99</v>
      </c>
      <c r="C110" s="57">
        <v>143.66</v>
      </c>
      <c r="D110" s="57">
        <v>122.8</v>
      </c>
      <c r="E110" s="124">
        <f>(B110*C110+B110*D110*20.65)*12</f>
        <v>63985.982399999994</v>
      </c>
      <c r="F110" s="28">
        <v>980</v>
      </c>
      <c r="G110" s="62">
        <f>52*5</f>
        <v>260</v>
      </c>
      <c r="H110" s="13">
        <f t="shared" si="129"/>
        <v>253.52600000000001</v>
      </c>
      <c r="I110" s="55">
        <f t="shared" si="31"/>
        <v>398.42565954210767</v>
      </c>
      <c r="J110" s="55">
        <f t="shared" si="130"/>
        <v>103.07271812354325</v>
      </c>
      <c r="K110" s="13">
        <f t="shared" si="32"/>
        <v>1.2610172124507677</v>
      </c>
      <c r="M110" s="50">
        <f t="shared" si="33"/>
        <v>1.2901751713226597</v>
      </c>
      <c r="N110" s="57">
        <f t="shared" si="34"/>
        <v>144.94999999999999</v>
      </c>
      <c r="O110" s="57">
        <f t="shared" si="35"/>
        <v>124.09</v>
      </c>
      <c r="P110" s="13">
        <f>(B110*N110+B110*O110*20.65)*12</f>
        <v>64652.914980000001</v>
      </c>
      <c r="Q110" s="13">
        <f t="shared" si="36"/>
        <v>666.93258000000787</v>
      </c>
      <c r="R110" s="50"/>
      <c r="S110" s="47">
        <f t="shared" si="37"/>
        <v>8.9795350132256171E-3</v>
      </c>
      <c r="T110" s="75"/>
    </row>
    <row r="111" spans="1:20" x14ac:dyDescent="0.25">
      <c r="A111" s="56" t="s">
        <v>157</v>
      </c>
      <c r="B111" s="124">
        <v>1.99</v>
      </c>
      <c r="C111" s="57">
        <v>143.66</v>
      </c>
      <c r="D111" s="57">
        <v>122.8</v>
      </c>
      <c r="E111" s="124">
        <f>(B111*C111+B111*D111*24.98)*12</f>
        <v>76683.551519999994</v>
      </c>
      <c r="F111" s="28">
        <v>980</v>
      </c>
      <c r="G111" s="62">
        <v>312</v>
      </c>
      <c r="H111" s="13">
        <f>+G111*F111*B111/2000</f>
        <v>304.2312</v>
      </c>
      <c r="I111" s="55">
        <f t="shared" ref="I111" si="166">+F111*$I$8</f>
        <v>398.42565954210767</v>
      </c>
      <c r="J111" s="55">
        <f t="shared" ref="J111:J113" si="167">+G111*I111*B111/2000</f>
        <v>123.6872617482519</v>
      </c>
      <c r="K111" s="13">
        <f t="shared" ref="K111" si="168">+I111*$K$10</f>
        <v>1.2610172124507677</v>
      </c>
      <c r="M111" s="50">
        <f t="shared" ref="M111" si="169">+K111/$M$10</f>
        <v>1.2901751713226597</v>
      </c>
      <c r="N111" s="57">
        <f t="shared" ref="N111" si="170">ROUND(C111+M111,2)</f>
        <v>144.94999999999999</v>
      </c>
      <c r="O111" s="57">
        <f t="shared" ref="O111" si="171">ROUND(D111+M111,2)</f>
        <v>124.09</v>
      </c>
      <c r="P111" s="13">
        <f>(B111*N111+B111*O111*24.98)*12</f>
        <v>77483.870616</v>
      </c>
      <c r="Q111" s="13">
        <f t="shared" ref="Q111" si="172">+P111-E111</f>
        <v>800.31909600000654</v>
      </c>
      <c r="R111" s="50"/>
      <c r="S111" s="47">
        <f t="shared" ref="S111" si="173">(N111-C111)/C111</f>
        <v>8.9795350132256171E-3</v>
      </c>
      <c r="T111" s="75"/>
    </row>
    <row r="112" spans="1:20" x14ac:dyDescent="0.25">
      <c r="A112" s="168" t="s">
        <v>186</v>
      </c>
      <c r="B112" s="161">
        <v>0</v>
      </c>
      <c r="C112" s="167">
        <v>349.61</v>
      </c>
      <c r="D112" s="123"/>
      <c r="E112" s="161">
        <f>(B112*C112+B112*D112*3.33)*12</f>
        <v>0</v>
      </c>
      <c r="F112" s="162">
        <v>2800</v>
      </c>
      <c r="G112" s="162">
        <v>52</v>
      </c>
      <c r="H112" s="164">
        <f>+G112*F112*B112/2000</f>
        <v>0</v>
      </c>
      <c r="I112" s="165">
        <f>+F112*$I$8</f>
        <v>1138.3590272631648</v>
      </c>
      <c r="J112" s="165">
        <f>+G112*I112*B112/2000</f>
        <v>0</v>
      </c>
      <c r="K112" s="164">
        <f>+I112*$K$10</f>
        <v>3.6029063212879073</v>
      </c>
      <c r="L112" s="166"/>
      <c r="M112" s="165">
        <f>+K112/$M$10</f>
        <v>3.6862147752075991</v>
      </c>
      <c r="N112" s="167">
        <f>ROUND(C112+M112,2)</f>
        <v>353.3</v>
      </c>
      <c r="O112" s="123"/>
      <c r="P112" s="63">
        <f>(B112*N112+B112*O112*3.33)*12</f>
        <v>0</v>
      </c>
      <c r="Q112" s="63">
        <f>+P112-E112</f>
        <v>0</v>
      </c>
      <c r="R112" s="50"/>
      <c r="S112" s="47">
        <f t="shared" ref="S112:S113" si="174">(N112-C112)/C112</f>
        <v>1.0554618002917529E-2</v>
      </c>
      <c r="T112" s="75"/>
    </row>
    <row r="113" spans="1:20" x14ac:dyDescent="0.25">
      <c r="A113" s="172" t="s">
        <v>185</v>
      </c>
      <c r="B113" s="161">
        <v>0</v>
      </c>
      <c r="C113" s="167">
        <v>349.61</v>
      </c>
      <c r="D113" s="167">
        <v>349.61</v>
      </c>
      <c r="E113" s="161">
        <f>(B113*C113+B113*D113*3.33)*12</f>
        <v>0</v>
      </c>
      <c r="F113" s="162">
        <v>2800</v>
      </c>
      <c r="G113" s="162">
        <v>52</v>
      </c>
      <c r="H113" s="164">
        <f>+G113*F113*B113/2000</f>
        <v>0</v>
      </c>
      <c r="I113" s="165">
        <f>+F113*$I$8</f>
        <v>1138.3590272631648</v>
      </c>
      <c r="J113" s="165">
        <f t="shared" si="167"/>
        <v>0</v>
      </c>
      <c r="K113" s="164">
        <f t="shared" ref="K113" si="175">+I113*$K$10</f>
        <v>3.6029063212879073</v>
      </c>
      <c r="L113" s="166"/>
      <c r="M113" s="165">
        <f t="shared" ref="M113" si="176">+K113/$M$10</f>
        <v>3.6862147752075991</v>
      </c>
      <c r="N113" s="167">
        <f>ROUND(C113+M113,2)</f>
        <v>353.3</v>
      </c>
      <c r="O113" s="167">
        <f t="shared" ref="O113" si="177">ROUND(D113+M113,2)</f>
        <v>353.3</v>
      </c>
      <c r="P113" s="63">
        <f>(B113*N113+B113*O113*3.33)*12</f>
        <v>0</v>
      </c>
      <c r="Q113" s="63">
        <f t="shared" ref="Q113" si="178">+P113-E113</f>
        <v>0</v>
      </c>
      <c r="R113" s="50"/>
      <c r="S113" s="47">
        <f t="shared" si="174"/>
        <v>1.0554618002917529E-2</v>
      </c>
      <c r="T113" s="75"/>
    </row>
    <row r="114" spans="1:20" x14ac:dyDescent="0.25">
      <c r="A114" s="56" t="s">
        <v>12</v>
      </c>
      <c r="B114" s="124">
        <v>3.97</v>
      </c>
      <c r="C114" s="57">
        <v>143.66</v>
      </c>
      <c r="D114" s="57">
        <v>122.8</v>
      </c>
      <c r="E114" s="124">
        <f>(B114*C114+B114*D114*1.17)*12</f>
        <v>13688.687039999999</v>
      </c>
      <c r="F114" s="27">
        <v>980</v>
      </c>
      <c r="G114" s="26">
        <v>26</v>
      </c>
      <c r="H114" s="13">
        <f t="shared" si="129"/>
        <v>50.577800000000003</v>
      </c>
      <c r="I114" s="55">
        <f t="shared" si="31"/>
        <v>398.42565954210767</v>
      </c>
      <c r="J114" s="55">
        <f t="shared" si="130"/>
        <v>20.562748288968177</v>
      </c>
      <c r="K114" s="13">
        <f t="shared" si="32"/>
        <v>1.2610172124507677</v>
      </c>
      <c r="M114" s="55">
        <f t="shared" si="33"/>
        <v>1.2901751713226597</v>
      </c>
      <c r="N114" s="57">
        <f t="shared" si="34"/>
        <v>144.94999999999999</v>
      </c>
      <c r="O114" s="57">
        <f t="shared" si="35"/>
        <v>124.09</v>
      </c>
      <c r="P114" s="13">
        <f>(B114*N114+B114*O114*1.17)*12</f>
        <v>13822.045692</v>
      </c>
      <c r="Q114" s="13">
        <f t="shared" si="36"/>
        <v>133.3586520000008</v>
      </c>
      <c r="R114" s="50"/>
      <c r="S114" s="47">
        <f t="shared" si="37"/>
        <v>8.9795350132256171E-3</v>
      </c>
      <c r="T114" s="75"/>
    </row>
    <row r="115" spans="1:20" x14ac:dyDescent="0.25">
      <c r="A115" s="61" t="s">
        <v>94</v>
      </c>
      <c r="B115" s="148">
        <v>6.95</v>
      </c>
      <c r="C115" s="57">
        <v>145.88</v>
      </c>
      <c r="D115" s="123"/>
      <c r="E115" s="124">
        <f>+B115*C115*12</f>
        <v>12166.392</v>
      </c>
      <c r="F115" s="62">
        <f>+F106</f>
        <v>980</v>
      </c>
      <c r="G115" s="26">
        <v>12</v>
      </c>
      <c r="H115" s="63">
        <f>+G115*F115*B115/2000</f>
        <v>40.866</v>
      </c>
      <c r="I115" s="50">
        <f>+F115*$I$8</f>
        <v>398.42565954210767</v>
      </c>
      <c r="J115" s="55">
        <f>+G115*I115*B115/2000</f>
        <v>16.614350002905887</v>
      </c>
      <c r="K115" s="13">
        <f>+I115*$K$10</f>
        <v>1.2610172124507677</v>
      </c>
      <c r="M115" s="55">
        <f>+K115/$M$10</f>
        <v>1.2901751713226597</v>
      </c>
      <c r="N115" s="57">
        <f>ROUND(C115+M115,2)</f>
        <v>147.16999999999999</v>
      </c>
      <c r="O115" s="123"/>
      <c r="P115" s="13">
        <f>+N115*B115*12</f>
        <v>12273.977999999999</v>
      </c>
      <c r="Q115" s="13">
        <f>+P115-E115</f>
        <v>107.58599999999933</v>
      </c>
      <c r="R115" s="50"/>
      <c r="S115" s="47">
        <f>(N115-C115)/C115</f>
        <v>8.8428845626541824E-3</v>
      </c>
      <c r="T115" s="75"/>
    </row>
    <row r="116" spans="1:20" hidden="1" x14ac:dyDescent="0.25">
      <c r="A116" s="176"/>
      <c r="B116" s="177"/>
      <c r="C116" s="178"/>
      <c r="D116" s="178"/>
      <c r="E116" s="179"/>
      <c r="F116" s="180"/>
      <c r="G116" s="181"/>
      <c r="H116" s="182"/>
      <c r="I116" s="183"/>
      <c r="J116" s="183"/>
      <c r="K116" s="182"/>
      <c r="L116" s="184"/>
      <c r="M116" s="183"/>
      <c r="N116" s="178"/>
      <c r="O116" s="178"/>
      <c r="P116" s="182"/>
      <c r="Q116" s="182"/>
      <c r="R116" s="183"/>
      <c r="S116" s="188"/>
      <c r="T116" s="75"/>
    </row>
    <row r="117" spans="1:20" x14ac:dyDescent="0.25">
      <c r="A117" s="56" t="s">
        <v>11</v>
      </c>
      <c r="B117" s="124">
        <v>665.28</v>
      </c>
      <c r="C117" s="57">
        <v>8.17</v>
      </c>
      <c r="D117" s="57">
        <v>8.17</v>
      </c>
      <c r="E117" s="124">
        <f>(B117*C117+B117*D117*3.33)*12</f>
        <v>282420.14169600001</v>
      </c>
      <c r="F117" s="27">
        <f>+F20</f>
        <v>68</v>
      </c>
      <c r="G117" s="26">
        <v>52</v>
      </c>
      <c r="H117" s="13">
        <f t="shared" si="129"/>
        <v>1176.21504</v>
      </c>
      <c r="I117" s="55">
        <f t="shared" si="31"/>
        <v>27.645862090676857</v>
      </c>
      <c r="J117" s="55">
        <f t="shared" si="130"/>
        <v>478.19821742382294</v>
      </c>
      <c r="K117" s="13">
        <f t="shared" si="32"/>
        <v>8.7499153516992029E-2</v>
      </c>
      <c r="M117" s="55">
        <f t="shared" si="33"/>
        <v>8.952235882647025E-2</v>
      </c>
      <c r="N117" s="57">
        <f t="shared" si="34"/>
        <v>8.26</v>
      </c>
      <c r="O117" s="57">
        <f t="shared" si="35"/>
        <v>8.26</v>
      </c>
      <c r="P117" s="13">
        <f>(B117*N117+B117*O117*3.33)*12</f>
        <v>285531.25708799995</v>
      </c>
      <c r="Q117" s="13">
        <f t="shared" si="36"/>
        <v>3111.1153919999488</v>
      </c>
      <c r="R117" s="50"/>
      <c r="S117" s="47">
        <f t="shared" si="37"/>
        <v>1.1015911872705002E-2</v>
      </c>
      <c r="T117" s="75"/>
    </row>
    <row r="118" spans="1:20" x14ac:dyDescent="0.25">
      <c r="A118" s="56" t="s">
        <v>10</v>
      </c>
      <c r="B118" s="124">
        <v>28.8</v>
      </c>
      <c r="C118" s="57">
        <v>8.17</v>
      </c>
      <c r="D118" s="57">
        <v>8.17</v>
      </c>
      <c r="E118" s="124">
        <f>(B118*C118+B118*D118*7.66)*12</f>
        <v>24451.960319999998</v>
      </c>
      <c r="F118" s="27">
        <v>68</v>
      </c>
      <c r="G118" s="26">
        <v>104</v>
      </c>
      <c r="H118" s="13">
        <f t="shared" si="129"/>
        <v>101.8368</v>
      </c>
      <c r="I118" s="55">
        <f t="shared" si="31"/>
        <v>27.645862090676857</v>
      </c>
      <c r="J118" s="55">
        <f t="shared" si="130"/>
        <v>41.402443066997662</v>
      </c>
      <c r="K118" s="13">
        <f t="shared" si="32"/>
        <v>8.7499153516992029E-2</v>
      </c>
      <c r="M118" s="55">
        <f t="shared" si="33"/>
        <v>8.952235882647025E-2</v>
      </c>
      <c r="N118" s="57">
        <f t="shared" si="34"/>
        <v>8.26</v>
      </c>
      <c r="O118" s="57">
        <f t="shared" si="35"/>
        <v>8.26</v>
      </c>
      <c r="P118" s="13">
        <f>(B118*N118+B118*O118*7.66)*12</f>
        <v>24721.320959999997</v>
      </c>
      <c r="Q118" s="13">
        <f>+P118-E118</f>
        <v>269.36063999999897</v>
      </c>
      <c r="R118" s="50"/>
      <c r="S118" s="47">
        <f t="shared" si="37"/>
        <v>1.1015911872705002E-2</v>
      </c>
      <c r="T118" s="75"/>
    </row>
    <row r="119" spans="1:20" x14ac:dyDescent="0.25">
      <c r="A119" s="56" t="s">
        <v>9</v>
      </c>
      <c r="B119" s="124">
        <v>4.96</v>
      </c>
      <c r="C119" s="57">
        <v>8.17</v>
      </c>
      <c r="D119" s="57">
        <v>8.17</v>
      </c>
      <c r="E119" s="124">
        <f>(B119*C119+B119*D119*11.99)*12</f>
        <v>6316.7564160000002</v>
      </c>
      <c r="F119" s="27">
        <v>68</v>
      </c>
      <c r="G119" s="26">
        <f>52*3</f>
        <v>156</v>
      </c>
      <c r="H119" s="13">
        <f t="shared" si="129"/>
        <v>26.307839999999999</v>
      </c>
      <c r="I119" s="55">
        <f t="shared" si="31"/>
        <v>27.645862090676857</v>
      </c>
      <c r="J119" s="55">
        <f t="shared" si="130"/>
        <v>10.695631125641063</v>
      </c>
      <c r="K119" s="13">
        <f t="shared" si="32"/>
        <v>8.7499153516992029E-2</v>
      </c>
      <c r="M119" s="55">
        <f t="shared" si="33"/>
        <v>8.952235882647025E-2</v>
      </c>
      <c r="N119" s="57">
        <f t="shared" si="34"/>
        <v>8.26</v>
      </c>
      <c r="O119" s="57">
        <f t="shared" si="35"/>
        <v>8.26</v>
      </c>
      <c r="P119" s="13">
        <f>(B119*N119+B119*O119*11.99)*12</f>
        <v>6386.3412480000006</v>
      </c>
      <c r="Q119" s="13">
        <f t="shared" si="36"/>
        <v>69.584832000000461</v>
      </c>
      <c r="R119" s="50"/>
      <c r="S119" s="47">
        <f t="shared" si="37"/>
        <v>1.1015911872705002E-2</v>
      </c>
      <c r="T119" s="75"/>
    </row>
    <row r="120" spans="1:20" x14ac:dyDescent="0.25">
      <c r="A120" s="56" t="s">
        <v>158</v>
      </c>
      <c r="B120" s="124">
        <v>2.98</v>
      </c>
      <c r="C120" s="57">
        <v>8.17</v>
      </c>
      <c r="D120" s="57">
        <v>8.17</v>
      </c>
      <c r="E120" s="124">
        <f>(B120*C120+B120*D120*16.32)*12</f>
        <v>5060.1973440000002</v>
      </c>
      <c r="F120" s="27">
        <v>68</v>
      </c>
      <c r="G120" s="26">
        <v>208</v>
      </c>
      <c r="H120" s="13">
        <f t="shared" ref="H120:H121" si="179">+G120*F120*B120/2000</f>
        <v>21.074560000000002</v>
      </c>
      <c r="I120" s="55">
        <f t="shared" ref="I120:I121" si="180">+F120*$I$8</f>
        <v>27.645862090676857</v>
      </c>
      <c r="J120" s="55">
        <f t="shared" ref="J120:J121" si="181">+G120*I120*B120/2000</f>
        <v>8.5680055791425715</v>
      </c>
      <c r="K120" s="13">
        <f t="shared" ref="K120:K121" si="182">+I120*$K$10</f>
        <v>8.7499153516992029E-2</v>
      </c>
      <c r="M120" s="55">
        <f t="shared" ref="M120:M121" si="183">+K120/$M$10</f>
        <v>8.952235882647025E-2</v>
      </c>
      <c r="N120" s="57">
        <f t="shared" ref="N120:N121" si="184">ROUND(C120+M120,2)</f>
        <v>8.26</v>
      </c>
      <c r="O120" s="57">
        <f t="shared" ref="O120:O121" si="185">ROUND(D120+M120,2)</f>
        <v>8.26</v>
      </c>
      <c r="P120" s="13">
        <f>(B120*N120+B120*O120*16.32)*12</f>
        <v>5115.9400319999995</v>
      </c>
      <c r="Q120" s="13">
        <f t="shared" ref="Q120:Q121" si="186">+P120-E120</f>
        <v>55.742687999999362</v>
      </c>
      <c r="R120" s="50"/>
      <c r="S120" s="47">
        <f t="shared" ref="S120:S121" si="187">(N120-C120)/C120</f>
        <v>1.1015911872705002E-2</v>
      </c>
      <c r="T120" s="75"/>
    </row>
    <row r="121" spans="1:20" x14ac:dyDescent="0.25">
      <c r="A121" s="56" t="s">
        <v>159</v>
      </c>
      <c r="B121" s="124">
        <v>0</v>
      </c>
      <c r="C121" s="57">
        <v>8.17</v>
      </c>
      <c r="D121" s="57">
        <v>8.17</v>
      </c>
      <c r="E121" s="124">
        <f>(B121*C121+B121*D121*20.65)*12</f>
        <v>0</v>
      </c>
      <c r="F121" s="27">
        <v>68</v>
      </c>
      <c r="G121" s="26">
        <v>260</v>
      </c>
      <c r="H121" s="13">
        <f t="shared" si="179"/>
        <v>0</v>
      </c>
      <c r="I121" s="55">
        <f t="shared" si="180"/>
        <v>27.645862090676857</v>
      </c>
      <c r="J121" s="55">
        <f t="shared" si="181"/>
        <v>0</v>
      </c>
      <c r="K121" s="13">
        <f t="shared" si="182"/>
        <v>8.7499153516992029E-2</v>
      </c>
      <c r="M121" s="55">
        <f t="shared" si="183"/>
        <v>8.952235882647025E-2</v>
      </c>
      <c r="N121" s="57">
        <f t="shared" si="184"/>
        <v>8.26</v>
      </c>
      <c r="O121" s="57">
        <f t="shared" si="185"/>
        <v>8.26</v>
      </c>
      <c r="P121" s="13">
        <f>(B121*N121+B121*O121*20.65)*12</f>
        <v>0</v>
      </c>
      <c r="Q121" s="13">
        <f t="shared" si="186"/>
        <v>0</v>
      </c>
      <c r="R121" s="50"/>
      <c r="S121" s="47">
        <f t="shared" si="187"/>
        <v>1.1015911872705002E-2</v>
      </c>
      <c r="T121" s="75"/>
    </row>
    <row r="122" spans="1:20" x14ac:dyDescent="0.25">
      <c r="A122" s="56" t="s">
        <v>8</v>
      </c>
      <c r="B122" s="124">
        <v>1.99</v>
      </c>
      <c r="C122" s="57">
        <v>8.17</v>
      </c>
      <c r="D122" s="57">
        <v>8.17</v>
      </c>
      <c r="E122" s="124">
        <f>(B122*C122+B122*D122*24.98)*12</f>
        <v>5068.6876080000002</v>
      </c>
      <c r="F122" s="28">
        <v>68</v>
      </c>
      <c r="G122" s="26">
        <f>52*6</f>
        <v>312</v>
      </c>
      <c r="H122" s="13">
        <f t="shared" si="129"/>
        <v>21.109919999999999</v>
      </c>
      <c r="I122" s="55">
        <f t="shared" si="31"/>
        <v>27.645862090676857</v>
      </c>
      <c r="J122" s="55">
        <f t="shared" si="130"/>
        <v>8.5823814274297234</v>
      </c>
      <c r="K122" s="13">
        <f t="shared" si="32"/>
        <v>8.7499153516992029E-2</v>
      </c>
      <c r="M122" s="55">
        <f t="shared" si="33"/>
        <v>8.952235882647025E-2</v>
      </c>
      <c r="N122" s="57">
        <f t="shared" si="34"/>
        <v>8.26</v>
      </c>
      <c r="O122" s="57">
        <f t="shared" si="35"/>
        <v>8.26</v>
      </c>
      <c r="P122" s="13">
        <f>(B122*N122+B122*O122*24.98)*12</f>
        <v>5124.5238240000008</v>
      </c>
      <c r="Q122" s="13">
        <f t="shared" si="36"/>
        <v>55.836216000000604</v>
      </c>
      <c r="R122" s="50"/>
      <c r="S122" s="47">
        <f t="shared" si="37"/>
        <v>1.1015911872705002E-2</v>
      </c>
      <c r="T122" s="75"/>
    </row>
    <row r="123" spans="1:20" s="39" customFormat="1" x14ac:dyDescent="0.25">
      <c r="A123" s="56" t="s">
        <v>137</v>
      </c>
      <c r="B123" s="124">
        <v>183.7</v>
      </c>
      <c r="C123" s="57">
        <v>3.49</v>
      </c>
      <c r="D123" s="57">
        <v>0</v>
      </c>
      <c r="E123" s="124">
        <f>B123*C123*12</f>
        <v>7693.3559999999998</v>
      </c>
      <c r="F123" s="62">
        <f>F15</f>
        <v>34</v>
      </c>
      <c r="G123" s="62">
        <v>52</v>
      </c>
      <c r="H123" s="63">
        <f>+G123*F123*B123/2000</f>
        <v>162.39079999999998</v>
      </c>
      <c r="I123" s="50">
        <f t="shared" ref="I123" si="188">+F123*$I$8</f>
        <v>13.822931045338429</v>
      </c>
      <c r="J123" s="50">
        <f>+G123*I123*B123/2000</f>
        <v>66.021083258745406</v>
      </c>
      <c r="K123" s="63">
        <f t="shared" ref="K123" si="189">+I123*$K$10</f>
        <v>4.3749576758496014E-2</v>
      </c>
      <c r="M123" s="50">
        <f t="shared" ref="M123" si="190">+K123/$M$10</f>
        <v>4.4761179413235125E-2</v>
      </c>
      <c r="N123" s="57">
        <f>ROUND(C123+M123,2)</f>
        <v>3.53</v>
      </c>
      <c r="O123" s="57">
        <v>0</v>
      </c>
      <c r="P123" s="63">
        <f>B123*N123*12</f>
        <v>7781.5319999999992</v>
      </c>
      <c r="Q123" s="63">
        <f>+P123-E123</f>
        <v>88.175999999999476</v>
      </c>
      <c r="R123" s="50"/>
      <c r="S123" s="74">
        <f>(N123-C123)/C123</f>
        <v>1.1461318051575813E-2</v>
      </c>
      <c r="T123" s="75"/>
    </row>
    <row r="124" spans="1:20" x14ac:dyDescent="0.25">
      <c r="A124" s="56" t="s">
        <v>7</v>
      </c>
      <c r="B124" s="124">
        <v>217.46</v>
      </c>
      <c r="C124" s="57">
        <v>3.49</v>
      </c>
      <c r="D124" s="57">
        <v>3.49</v>
      </c>
      <c r="E124" s="124">
        <f>(B124*C124+B124*D124*3.33)*12</f>
        <v>39434.283384000009</v>
      </c>
      <c r="F124" s="28">
        <f>+F19</f>
        <v>34</v>
      </c>
      <c r="G124" s="26">
        <v>52</v>
      </c>
      <c r="H124" s="13">
        <f t="shared" si="129"/>
        <v>192.23464000000001</v>
      </c>
      <c r="I124" s="55">
        <f t="shared" si="31"/>
        <v>13.822931045338429</v>
      </c>
      <c r="J124" s="55">
        <f t="shared" si="130"/>
        <v>78.154299213101666</v>
      </c>
      <c r="K124" s="13">
        <f t="shared" si="32"/>
        <v>4.3749576758496014E-2</v>
      </c>
      <c r="M124" s="55">
        <f t="shared" si="33"/>
        <v>4.4761179413235125E-2</v>
      </c>
      <c r="N124" s="57">
        <f t="shared" si="34"/>
        <v>3.53</v>
      </c>
      <c r="O124" s="57">
        <f t="shared" si="35"/>
        <v>3.53</v>
      </c>
      <c r="P124" s="13">
        <f>(B124*N124+B124*O124*3.33)*12</f>
        <v>39886.252248000004</v>
      </c>
      <c r="Q124" s="13">
        <f t="shared" si="36"/>
        <v>451.96886399999494</v>
      </c>
      <c r="R124" s="50"/>
      <c r="S124" s="47">
        <f t="shared" si="37"/>
        <v>1.1461318051575813E-2</v>
      </c>
      <c r="T124" s="75"/>
    </row>
    <row r="125" spans="1:20" x14ac:dyDescent="0.25">
      <c r="A125" s="56" t="s">
        <v>160</v>
      </c>
      <c r="B125" s="124">
        <v>0</v>
      </c>
      <c r="C125" s="57">
        <v>3.49</v>
      </c>
      <c r="D125" s="57">
        <v>3.49</v>
      </c>
      <c r="E125" s="124">
        <f>(B125*C125+B125*D125*7.66)*12</f>
        <v>0</v>
      </c>
      <c r="F125" s="28">
        <f>+F23</f>
        <v>34</v>
      </c>
      <c r="G125" s="26">
        <v>104</v>
      </c>
      <c r="H125" s="13">
        <f t="shared" ref="H125:H127" si="191">+G125*F125*B125/2000</f>
        <v>0</v>
      </c>
      <c r="I125" s="55">
        <f t="shared" ref="I125:I126" si="192">+F125*$I$8</f>
        <v>13.822931045338429</v>
      </c>
      <c r="J125" s="55">
        <f t="shared" ref="J125:J127" si="193">+G125*I125*B125/2000</f>
        <v>0</v>
      </c>
      <c r="K125" s="13">
        <f t="shared" ref="K125:K126" si="194">+I125*$K$10</f>
        <v>4.3749576758496014E-2</v>
      </c>
      <c r="M125" s="55">
        <f t="shared" ref="M125:M127" si="195">+K125/$M$10</f>
        <v>4.4761179413235125E-2</v>
      </c>
      <c r="N125" s="57">
        <f t="shared" ref="N125:N126" si="196">ROUND(C125+M125,2)</f>
        <v>3.53</v>
      </c>
      <c r="O125" s="57">
        <f t="shared" ref="O125:O127" si="197">ROUND(D125+M125,2)</f>
        <v>3.53</v>
      </c>
      <c r="P125" s="13">
        <f>(B125*N125+B125*O125*7.66)*12</f>
        <v>0</v>
      </c>
      <c r="Q125" s="13">
        <f t="shared" ref="Q125:Q127" si="198">+P125-E125</f>
        <v>0</v>
      </c>
      <c r="R125" s="50"/>
      <c r="S125" s="47">
        <f t="shared" ref="S125:S127" si="199">(N125-C125)/C125</f>
        <v>1.1461318051575813E-2</v>
      </c>
      <c r="T125" s="75"/>
    </row>
    <row r="126" spans="1:20" x14ac:dyDescent="0.25">
      <c r="A126" s="56" t="s">
        <v>161</v>
      </c>
      <c r="B126" s="124">
        <v>0</v>
      </c>
      <c r="C126" s="57">
        <v>3.49</v>
      </c>
      <c r="D126" s="57">
        <v>3.49</v>
      </c>
      <c r="E126" s="124">
        <f>(B126*C126+B126*D126*11.99)*12</f>
        <v>0</v>
      </c>
      <c r="F126" s="28">
        <f>+F15</f>
        <v>34</v>
      </c>
      <c r="G126" s="26">
        <v>156</v>
      </c>
      <c r="H126" s="13">
        <f t="shared" si="191"/>
        <v>0</v>
      </c>
      <c r="I126" s="55">
        <f t="shared" si="192"/>
        <v>13.822931045338429</v>
      </c>
      <c r="J126" s="55">
        <f t="shared" si="193"/>
        <v>0</v>
      </c>
      <c r="K126" s="13">
        <f t="shared" si="194"/>
        <v>4.3749576758496014E-2</v>
      </c>
      <c r="M126" s="55">
        <f>+K126/$M$10</f>
        <v>4.4761179413235125E-2</v>
      </c>
      <c r="N126" s="57">
        <f t="shared" si="196"/>
        <v>3.53</v>
      </c>
      <c r="O126" s="57">
        <f t="shared" si="197"/>
        <v>3.53</v>
      </c>
      <c r="P126" s="13">
        <f>(B126*N126+B126*O126*11.99)*12</f>
        <v>0</v>
      </c>
      <c r="Q126" s="13">
        <f t="shared" si="198"/>
        <v>0</v>
      </c>
      <c r="R126" s="50"/>
      <c r="S126" s="47">
        <f t="shared" si="199"/>
        <v>1.1461318051575813E-2</v>
      </c>
      <c r="T126" s="75"/>
    </row>
    <row r="127" spans="1:20" x14ac:dyDescent="0.25">
      <c r="A127" s="56" t="s">
        <v>162</v>
      </c>
      <c r="B127" s="124">
        <v>0</v>
      </c>
      <c r="C127" s="57">
        <v>3.49</v>
      </c>
      <c r="D127" s="57">
        <v>3.49</v>
      </c>
      <c r="E127" s="124">
        <f>(B127*C127+B127*D127*16.32)*12</f>
        <v>0</v>
      </c>
      <c r="F127" s="28">
        <v>34</v>
      </c>
      <c r="G127" s="26">
        <v>208</v>
      </c>
      <c r="H127" s="13">
        <f t="shared" si="191"/>
        <v>0</v>
      </c>
      <c r="I127" s="55">
        <f>+F127*$I$8</f>
        <v>13.822931045338429</v>
      </c>
      <c r="J127" s="55">
        <f t="shared" si="193"/>
        <v>0</v>
      </c>
      <c r="K127" s="13">
        <f>+I127*$K$10</f>
        <v>4.3749576758496014E-2</v>
      </c>
      <c r="M127" s="55">
        <f t="shared" si="195"/>
        <v>4.4761179413235125E-2</v>
      </c>
      <c r="N127" s="57">
        <f>ROUND(C127+M127,2)</f>
        <v>3.53</v>
      </c>
      <c r="O127" s="57">
        <f t="shared" si="197"/>
        <v>3.53</v>
      </c>
      <c r="P127" s="13">
        <f>(B127*N127+B127*O127*16.32)*12</f>
        <v>0</v>
      </c>
      <c r="Q127" s="13">
        <f t="shared" si="198"/>
        <v>0</v>
      </c>
      <c r="R127" s="50"/>
      <c r="S127" s="47">
        <f t="shared" si="199"/>
        <v>1.1461318051575813E-2</v>
      </c>
      <c r="T127" s="75"/>
    </row>
    <row r="128" spans="1:20" s="39" customFormat="1" x14ac:dyDescent="0.25">
      <c r="A128" s="176" t="s">
        <v>168</v>
      </c>
      <c r="B128" s="177">
        <v>2328.4699999999998</v>
      </c>
      <c r="C128" s="178">
        <v>3.49</v>
      </c>
      <c r="D128" s="123"/>
      <c r="E128" s="179">
        <f>+B128*C128*12</f>
        <v>97516.323599999989</v>
      </c>
      <c r="F128" s="180">
        <f>+F124</f>
        <v>34</v>
      </c>
      <c r="G128" s="181">
        <v>1</v>
      </c>
      <c r="H128" s="182">
        <f t="shared" si="129"/>
        <v>39.58399</v>
      </c>
      <c r="I128" s="183">
        <f>+F128*$I$8</f>
        <v>13.822931045338429</v>
      </c>
      <c r="J128" s="183">
        <f>+G128*I128*B128/2000</f>
        <v>16.093140125569583</v>
      </c>
      <c r="K128" s="182">
        <f t="shared" si="32"/>
        <v>4.3749576758496014E-2</v>
      </c>
      <c r="L128" s="184"/>
      <c r="M128" s="183">
        <f t="shared" si="33"/>
        <v>4.4761179413235125E-2</v>
      </c>
      <c r="N128" s="178">
        <f t="shared" si="34"/>
        <v>3.53</v>
      </c>
      <c r="O128" s="123"/>
      <c r="P128" s="63">
        <f>+N128*B128*12</f>
        <v>98633.989199999982</v>
      </c>
      <c r="Q128" s="63">
        <f t="shared" si="36"/>
        <v>1117.665599999993</v>
      </c>
      <c r="R128" s="50"/>
      <c r="S128" s="74">
        <f t="shared" si="37"/>
        <v>1.1461318051575813E-2</v>
      </c>
      <c r="T128" s="75"/>
    </row>
    <row r="129" spans="1:20" s="39" customFormat="1" x14ac:dyDescent="0.25">
      <c r="A129" s="176" t="s">
        <v>169</v>
      </c>
      <c r="B129" s="177">
        <v>0</v>
      </c>
      <c r="C129" s="178">
        <v>5.27</v>
      </c>
      <c r="D129" s="179"/>
      <c r="E129" s="179"/>
      <c r="F129" s="180">
        <f>F18</f>
        <v>47</v>
      </c>
      <c r="G129" s="181">
        <v>12</v>
      </c>
      <c r="H129" s="182">
        <f t="shared" ref="H129:H130" si="200">+G129*F129*B129/2000</f>
        <v>0</v>
      </c>
      <c r="I129" s="183">
        <f>+F129*$I$8</f>
        <v>19.108169386203123</v>
      </c>
      <c r="J129" s="183">
        <f t="shared" ref="J129:J130" si="201">+G129*I129*B129/2000</f>
        <v>0</v>
      </c>
      <c r="K129" s="182">
        <f t="shared" ref="K129:K130" si="202">+I129*$K$10</f>
        <v>6.0477356107332729E-2</v>
      </c>
      <c r="L129" s="184"/>
      <c r="M129" s="183">
        <f t="shared" ref="M129:M130" si="203">+K129/$M$10</f>
        <v>6.1875748012413266E-2</v>
      </c>
      <c r="N129" s="178">
        <f t="shared" ref="N129:N130" si="204">ROUND(C129+M129,2)</f>
        <v>5.33</v>
      </c>
      <c r="O129" s="57"/>
      <c r="P129" s="63">
        <f t="shared" ref="P129:P130" si="205">+N129*B129*12</f>
        <v>0</v>
      </c>
      <c r="Q129" s="63">
        <f t="shared" ref="Q129:Q130" si="206">+P129-E129</f>
        <v>0</v>
      </c>
      <c r="R129" s="50"/>
      <c r="S129" s="74">
        <f t="shared" ref="S129:S130" si="207">(N129-C129)/C129</f>
        <v>1.1385199240986812E-2</v>
      </c>
      <c r="T129" s="75"/>
    </row>
    <row r="130" spans="1:20" s="39" customFormat="1" x14ac:dyDescent="0.25">
      <c r="A130" s="176" t="s">
        <v>170</v>
      </c>
      <c r="B130" s="177">
        <v>0</v>
      </c>
      <c r="C130" s="178">
        <v>8.17</v>
      </c>
      <c r="D130" s="179"/>
      <c r="E130" s="179"/>
      <c r="F130" s="180">
        <f>F20</f>
        <v>68</v>
      </c>
      <c r="G130" s="181">
        <v>12</v>
      </c>
      <c r="H130" s="182">
        <f t="shared" si="200"/>
        <v>0</v>
      </c>
      <c r="I130" s="183">
        <f t="shared" ref="I130" si="208">+F130*$I$8</f>
        <v>27.645862090676857</v>
      </c>
      <c r="J130" s="183">
        <f t="shared" si="201"/>
        <v>0</v>
      </c>
      <c r="K130" s="182">
        <f t="shared" si="202"/>
        <v>8.7499153516992029E-2</v>
      </c>
      <c r="L130" s="184"/>
      <c r="M130" s="183">
        <f t="shared" si="203"/>
        <v>8.952235882647025E-2</v>
      </c>
      <c r="N130" s="178">
        <f t="shared" si="204"/>
        <v>8.26</v>
      </c>
      <c r="O130" s="57"/>
      <c r="P130" s="63">
        <f t="shared" si="205"/>
        <v>0</v>
      </c>
      <c r="Q130" s="63">
        <f t="shared" si="206"/>
        <v>0</v>
      </c>
      <c r="R130" s="50"/>
      <c r="S130" s="74">
        <f t="shared" si="207"/>
        <v>1.1015911872705002E-2</v>
      </c>
      <c r="T130" s="75"/>
    </row>
    <row r="131" spans="1:20" s="39" customFormat="1" x14ac:dyDescent="0.25">
      <c r="A131" s="176" t="s">
        <v>92</v>
      </c>
      <c r="B131" s="177">
        <v>0</v>
      </c>
      <c r="C131" s="178">
        <v>18.22</v>
      </c>
      <c r="D131" s="179"/>
      <c r="E131" s="179">
        <f t="shared" ref="E131:E136" si="209">+B131*C131*12</f>
        <v>0</v>
      </c>
      <c r="F131" s="180">
        <f>+F35</f>
        <v>175</v>
      </c>
      <c r="G131" s="181">
        <v>12</v>
      </c>
      <c r="H131" s="182">
        <f t="shared" si="129"/>
        <v>0</v>
      </c>
      <c r="I131" s="183">
        <f t="shared" ref="I131:I136" si="210">+F131*$I$8</f>
        <v>71.147439203947798</v>
      </c>
      <c r="J131" s="183">
        <f t="shared" si="130"/>
        <v>0</v>
      </c>
      <c r="K131" s="182">
        <f t="shared" si="32"/>
        <v>0.22518164508049421</v>
      </c>
      <c r="L131" s="184"/>
      <c r="M131" s="183">
        <f t="shared" si="33"/>
        <v>0.23038842345047494</v>
      </c>
      <c r="N131" s="178">
        <f t="shared" si="34"/>
        <v>18.45</v>
      </c>
      <c r="O131" s="57"/>
      <c r="P131" s="63">
        <f t="shared" ref="P131:P136" si="211">+N131*B131*12</f>
        <v>0</v>
      </c>
      <c r="Q131" s="63">
        <f t="shared" si="36"/>
        <v>0</v>
      </c>
      <c r="R131" s="50"/>
      <c r="S131" s="74">
        <f t="shared" si="37"/>
        <v>1.2623490669593876E-2</v>
      </c>
      <c r="T131" s="75"/>
    </row>
    <row r="132" spans="1:20" s="39" customFormat="1" x14ac:dyDescent="0.25">
      <c r="A132" s="176" t="s">
        <v>95</v>
      </c>
      <c r="B132" s="177">
        <f>0</f>
        <v>0</v>
      </c>
      <c r="C132" s="178">
        <v>25.69</v>
      </c>
      <c r="D132" s="179"/>
      <c r="E132" s="179">
        <f t="shared" si="209"/>
        <v>0</v>
      </c>
      <c r="F132" s="180">
        <f>+F46</f>
        <v>250</v>
      </c>
      <c r="G132" s="181">
        <v>12</v>
      </c>
      <c r="H132" s="182">
        <f t="shared" si="129"/>
        <v>0</v>
      </c>
      <c r="I132" s="183">
        <f t="shared" si="210"/>
        <v>101.63919886278256</v>
      </c>
      <c r="J132" s="183">
        <f t="shared" si="130"/>
        <v>0</v>
      </c>
      <c r="K132" s="182">
        <f t="shared" si="32"/>
        <v>0.32168806440070602</v>
      </c>
      <c r="L132" s="184"/>
      <c r="M132" s="183">
        <f>+K132/$M$10</f>
        <v>0.32912631921496421</v>
      </c>
      <c r="N132" s="178">
        <f>ROUND(C132+M132,2)</f>
        <v>26.02</v>
      </c>
      <c r="O132" s="57"/>
      <c r="P132" s="63">
        <f t="shared" si="211"/>
        <v>0</v>
      </c>
      <c r="Q132" s="63">
        <f t="shared" si="36"/>
        <v>0</v>
      </c>
      <c r="R132" s="50"/>
      <c r="S132" s="74">
        <f t="shared" si="37"/>
        <v>1.2845465161541388E-2</v>
      </c>
      <c r="T132" s="75"/>
    </row>
    <row r="133" spans="1:20" s="39" customFormat="1" x14ac:dyDescent="0.25">
      <c r="A133" s="176" t="s">
        <v>97</v>
      </c>
      <c r="B133" s="177">
        <v>0</v>
      </c>
      <c r="C133" s="178">
        <v>33.340000000000003</v>
      </c>
      <c r="D133" s="179"/>
      <c r="E133" s="179">
        <f t="shared" si="209"/>
        <v>0</v>
      </c>
      <c r="F133" s="180">
        <f>+F58</f>
        <v>324</v>
      </c>
      <c r="G133" s="181">
        <v>12</v>
      </c>
      <c r="H133" s="182">
        <f t="shared" si="129"/>
        <v>0</v>
      </c>
      <c r="I133" s="183">
        <f t="shared" si="210"/>
        <v>131.72440172616621</v>
      </c>
      <c r="J133" s="183">
        <f t="shared" si="130"/>
        <v>0</v>
      </c>
      <c r="K133" s="182">
        <f t="shared" si="32"/>
        <v>0.416907731463315</v>
      </c>
      <c r="L133" s="184"/>
      <c r="M133" s="183">
        <f t="shared" si="33"/>
        <v>0.42654770970259359</v>
      </c>
      <c r="N133" s="178">
        <f t="shared" si="34"/>
        <v>33.770000000000003</v>
      </c>
      <c r="O133" s="57"/>
      <c r="P133" s="63">
        <f t="shared" si="211"/>
        <v>0</v>
      </c>
      <c r="Q133" s="63">
        <f t="shared" si="36"/>
        <v>0</v>
      </c>
      <c r="R133" s="50"/>
      <c r="S133" s="74">
        <f t="shared" si="37"/>
        <v>1.2897420515896811E-2</v>
      </c>
      <c r="T133" s="75"/>
    </row>
    <row r="134" spans="1:20" s="39" customFormat="1" x14ac:dyDescent="0.25">
      <c r="A134" s="176" t="s">
        <v>100</v>
      </c>
      <c r="B134" s="177">
        <v>0</v>
      </c>
      <c r="C134" s="178">
        <v>48.82</v>
      </c>
      <c r="D134" s="179"/>
      <c r="E134" s="179">
        <f t="shared" si="209"/>
        <v>0</v>
      </c>
      <c r="F134" s="180">
        <f>+F69</f>
        <v>473</v>
      </c>
      <c r="G134" s="181">
        <v>12</v>
      </c>
      <c r="H134" s="182">
        <f t="shared" ref="H134:H136" si="212">+G134*F134*B134/2000</f>
        <v>0</v>
      </c>
      <c r="I134" s="183">
        <f t="shared" si="210"/>
        <v>192.30136424838463</v>
      </c>
      <c r="J134" s="183">
        <f t="shared" ref="J134:J136" si="213">+G134*I134*B134/2000</f>
        <v>0</v>
      </c>
      <c r="K134" s="182">
        <f t="shared" si="32"/>
        <v>0.60863381784613579</v>
      </c>
      <c r="L134" s="184"/>
      <c r="M134" s="183">
        <f t="shared" si="33"/>
        <v>0.62270699595471224</v>
      </c>
      <c r="N134" s="178">
        <f t="shared" si="34"/>
        <v>49.44</v>
      </c>
      <c r="O134" s="57"/>
      <c r="P134" s="63">
        <f t="shared" si="211"/>
        <v>0</v>
      </c>
      <c r="Q134" s="63">
        <f t="shared" si="36"/>
        <v>0</v>
      </c>
      <c r="R134" s="50"/>
      <c r="S134" s="74">
        <f t="shared" si="37"/>
        <v>1.2699713232281799E-2</v>
      </c>
      <c r="T134" s="75"/>
    </row>
    <row r="135" spans="1:20" s="39" customFormat="1" x14ac:dyDescent="0.25">
      <c r="A135" s="176" t="s">
        <v>103</v>
      </c>
      <c r="B135" s="177">
        <v>0</v>
      </c>
      <c r="C135" s="178">
        <v>62.66</v>
      </c>
      <c r="D135" s="179"/>
      <c r="E135" s="179">
        <f t="shared" si="209"/>
        <v>0</v>
      </c>
      <c r="F135" s="180">
        <f>+F80</f>
        <v>613</v>
      </c>
      <c r="G135" s="181">
        <v>12</v>
      </c>
      <c r="H135" s="182">
        <f t="shared" si="212"/>
        <v>0</v>
      </c>
      <c r="I135" s="183">
        <f t="shared" si="210"/>
        <v>249.21931561154287</v>
      </c>
      <c r="J135" s="183">
        <f t="shared" si="213"/>
        <v>0</v>
      </c>
      <c r="K135" s="182">
        <f>+I135*$K$10</f>
        <v>0.78877913391053123</v>
      </c>
      <c r="L135" s="184"/>
      <c r="M135" s="183">
        <f t="shared" si="33"/>
        <v>0.80701773471509231</v>
      </c>
      <c r="N135" s="178">
        <f t="shared" si="34"/>
        <v>63.47</v>
      </c>
      <c r="O135" s="57"/>
      <c r="P135" s="63">
        <f t="shared" si="211"/>
        <v>0</v>
      </c>
      <c r="Q135" s="63">
        <f t="shared" si="36"/>
        <v>0</v>
      </c>
      <c r="R135" s="50"/>
      <c r="S135" s="74">
        <f t="shared" ref="S135:S136" si="214">(N135-C135)/C135</f>
        <v>1.2926907117778524E-2</v>
      </c>
      <c r="T135" s="75"/>
    </row>
    <row r="136" spans="1:20" s="39" customFormat="1" x14ac:dyDescent="0.25">
      <c r="A136" s="176" t="s">
        <v>106</v>
      </c>
      <c r="B136" s="177">
        <v>0</v>
      </c>
      <c r="C136" s="178">
        <v>93.39</v>
      </c>
      <c r="D136" s="179"/>
      <c r="E136" s="179">
        <f t="shared" si="209"/>
        <v>0</v>
      </c>
      <c r="F136" s="180">
        <f>+F91</f>
        <v>840</v>
      </c>
      <c r="G136" s="181">
        <v>12</v>
      </c>
      <c r="H136" s="182">
        <f t="shared" si="212"/>
        <v>0</v>
      </c>
      <c r="I136" s="183">
        <f t="shared" si="210"/>
        <v>341.50770817894943</v>
      </c>
      <c r="J136" s="183">
        <f t="shared" si="213"/>
        <v>0</v>
      </c>
      <c r="K136" s="182">
        <f t="shared" si="32"/>
        <v>1.0808718963863722</v>
      </c>
      <c r="L136" s="184"/>
      <c r="M136" s="183">
        <f t="shared" si="33"/>
        <v>1.1058644325622797</v>
      </c>
      <c r="N136" s="178">
        <f t="shared" si="34"/>
        <v>94.5</v>
      </c>
      <c r="O136" s="57"/>
      <c r="P136" s="63">
        <f t="shared" si="211"/>
        <v>0</v>
      </c>
      <c r="Q136" s="63">
        <f t="shared" ref="Q136" si="215">+P136-E136</f>
        <v>0</v>
      </c>
      <c r="R136" s="50"/>
      <c r="S136" s="74">
        <f t="shared" si="214"/>
        <v>1.1885640860905872E-2</v>
      </c>
      <c r="T136" s="75"/>
    </row>
    <row r="137" spans="1:20" s="39" customFormat="1" x14ac:dyDescent="0.25">
      <c r="A137" s="176" t="s">
        <v>135</v>
      </c>
      <c r="B137" s="177">
        <v>0</v>
      </c>
      <c r="C137" s="178">
        <v>122.8</v>
      </c>
      <c r="D137" s="179"/>
      <c r="E137" s="179">
        <f t="shared" ref="E137:E143" si="216">+B137*C137*12</f>
        <v>0</v>
      </c>
      <c r="F137" s="180">
        <f>+F107</f>
        <v>980</v>
      </c>
      <c r="G137" s="181">
        <v>12</v>
      </c>
      <c r="H137" s="182">
        <f t="shared" ref="H137:H143" si="217">+G137*F137*B137/2000</f>
        <v>0</v>
      </c>
      <c r="I137" s="183">
        <f>+F137*$I$8</f>
        <v>398.42565954210767</v>
      </c>
      <c r="J137" s="183">
        <f>+G137*I137*B137/2000</f>
        <v>0</v>
      </c>
      <c r="K137" s="182">
        <f>+I137*$K$10</f>
        <v>1.2610172124507677</v>
      </c>
      <c r="L137" s="184"/>
      <c r="M137" s="183">
        <f t="shared" ref="M137:M143" si="218">+K137/$M$10</f>
        <v>1.2901751713226597</v>
      </c>
      <c r="N137" s="178">
        <f>ROUND(C137+M137,2)</f>
        <v>124.09</v>
      </c>
      <c r="O137" s="57"/>
      <c r="P137" s="63">
        <f t="shared" ref="P137:P143" si="219">+N137*B137*12</f>
        <v>0</v>
      </c>
      <c r="Q137" s="63">
        <f>+P137-E137</f>
        <v>0</v>
      </c>
      <c r="R137" s="50"/>
      <c r="S137" s="74">
        <f t="shared" ref="S137:S143" si="220">(N137-C137)/C137</f>
        <v>1.0504885993485393E-2</v>
      </c>
      <c r="T137" s="75"/>
    </row>
    <row r="138" spans="1:20" s="39" customFormat="1" x14ac:dyDescent="0.25">
      <c r="A138" s="159" t="s">
        <v>171</v>
      </c>
      <c r="B138" s="160">
        <v>0</v>
      </c>
      <c r="C138" s="167">
        <v>56.43</v>
      </c>
      <c r="D138" s="161"/>
      <c r="E138" s="161">
        <f t="shared" si="216"/>
        <v>0</v>
      </c>
      <c r="F138" s="162">
        <f>+F42</f>
        <v>175</v>
      </c>
      <c r="G138" s="163">
        <v>12</v>
      </c>
      <c r="H138" s="164">
        <f t="shared" si="217"/>
        <v>0</v>
      </c>
      <c r="I138" s="165">
        <f>+F138*$I$8</f>
        <v>71.147439203947798</v>
      </c>
      <c r="J138" s="165">
        <f t="shared" ref="J138:J143" si="221">+G138*I138*B138/2000</f>
        <v>0</v>
      </c>
      <c r="K138" s="164">
        <f t="shared" ref="K138:K143" si="222">+I138*$K$10</f>
        <v>0.22518164508049421</v>
      </c>
      <c r="L138" s="166"/>
      <c r="M138" s="165">
        <f>+K138/$M$10</f>
        <v>0.23038842345047494</v>
      </c>
      <c r="N138" s="167">
        <f>N33</f>
        <v>57.06</v>
      </c>
      <c r="O138" s="57"/>
      <c r="P138" s="63">
        <f t="shared" si="219"/>
        <v>0</v>
      </c>
      <c r="Q138" s="63">
        <f t="shared" ref="Q138:Q143" si="223">+P138-E138</f>
        <v>0</v>
      </c>
      <c r="R138" s="50"/>
      <c r="S138" s="74">
        <f t="shared" si="220"/>
        <v>1.1164274322169104E-2</v>
      </c>
      <c r="T138" s="75"/>
    </row>
    <row r="139" spans="1:20" s="39" customFormat="1" x14ac:dyDescent="0.25">
      <c r="A139" s="159" t="s">
        <v>172</v>
      </c>
      <c r="B139" s="160">
        <f>0</f>
        <v>0</v>
      </c>
      <c r="C139" s="167">
        <v>77.849999999999994</v>
      </c>
      <c r="D139" s="161"/>
      <c r="E139" s="161">
        <f t="shared" si="216"/>
        <v>0</v>
      </c>
      <c r="F139" s="162">
        <f>+F53</f>
        <v>250</v>
      </c>
      <c r="G139" s="163">
        <v>12</v>
      </c>
      <c r="H139" s="164">
        <f t="shared" si="217"/>
        <v>0</v>
      </c>
      <c r="I139" s="165">
        <f t="shared" ref="I139:I143" si="224">+F139*$I$8</f>
        <v>101.63919886278256</v>
      </c>
      <c r="J139" s="165">
        <f t="shared" si="221"/>
        <v>0</v>
      </c>
      <c r="K139" s="164">
        <f t="shared" si="222"/>
        <v>0.32168806440070602</v>
      </c>
      <c r="L139" s="166"/>
      <c r="M139" s="165">
        <f>+K139/$M$10</f>
        <v>0.32912631921496421</v>
      </c>
      <c r="N139" s="167">
        <f>N44</f>
        <v>78.760000000000005</v>
      </c>
      <c r="O139" s="57"/>
      <c r="P139" s="63">
        <f t="shared" si="219"/>
        <v>0</v>
      </c>
      <c r="Q139" s="63">
        <f t="shared" si="223"/>
        <v>0</v>
      </c>
      <c r="R139" s="50"/>
      <c r="S139" s="74">
        <f t="shared" si="220"/>
        <v>1.1689145793192175E-2</v>
      </c>
      <c r="T139" s="75"/>
    </row>
    <row r="140" spans="1:20" s="39" customFormat="1" x14ac:dyDescent="0.25">
      <c r="A140" s="159" t="s">
        <v>173</v>
      </c>
      <c r="B140" s="160">
        <v>0</v>
      </c>
      <c r="C140" s="167">
        <v>98.19</v>
      </c>
      <c r="D140" s="161"/>
      <c r="E140" s="161">
        <f t="shared" si="216"/>
        <v>0</v>
      </c>
      <c r="F140" s="162">
        <f>+F65</f>
        <v>324</v>
      </c>
      <c r="G140" s="163">
        <v>12</v>
      </c>
      <c r="H140" s="164">
        <f t="shared" si="217"/>
        <v>0</v>
      </c>
      <c r="I140" s="165">
        <f t="shared" si="224"/>
        <v>131.72440172616621</v>
      </c>
      <c r="J140" s="165">
        <f t="shared" si="221"/>
        <v>0</v>
      </c>
      <c r="K140" s="164">
        <f t="shared" si="222"/>
        <v>0.416907731463315</v>
      </c>
      <c r="L140" s="166"/>
      <c r="M140" s="165">
        <f>+K140/$M$10</f>
        <v>0.42654770970259359</v>
      </c>
      <c r="N140" s="167">
        <f>N55</f>
        <v>99.36</v>
      </c>
      <c r="O140" s="57"/>
      <c r="P140" s="63">
        <f t="shared" si="219"/>
        <v>0</v>
      </c>
      <c r="Q140" s="63">
        <f t="shared" si="223"/>
        <v>0</v>
      </c>
      <c r="R140" s="50"/>
      <c r="S140" s="74">
        <f t="shared" si="220"/>
        <v>1.1915673693858863E-2</v>
      </c>
      <c r="T140" s="75"/>
    </row>
    <row r="141" spans="1:20" s="39" customFormat="1" x14ac:dyDescent="0.25">
      <c r="A141" s="159" t="s">
        <v>174</v>
      </c>
      <c r="B141" s="160">
        <v>0</v>
      </c>
      <c r="C141" s="167">
        <v>134.43</v>
      </c>
      <c r="D141" s="161"/>
      <c r="E141" s="161">
        <f t="shared" si="216"/>
        <v>0</v>
      </c>
      <c r="F141" s="162">
        <f>+F76</f>
        <v>473</v>
      </c>
      <c r="G141" s="163">
        <v>12</v>
      </c>
      <c r="H141" s="164">
        <f t="shared" si="217"/>
        <v>0</v>
      </c>
      <c r="I141" s="165">
        <f t="shared" si="224"/>
        <v>192.30136424838463</v>
      </c>
      <c r="J141" s="165">
        <f t="shared" si="221"/>
        <v>0</v>
      </c>
      <c r="K141" s="164">
        <f t="shared" si="222"/>
        <v>0.60863381784613579</v>
      </c>
      <c r="L141" s="166"/>
      <c r="M141" s="165">
        <f t="shared" si="218"/>
        <v>0.62270699595471224</v>
      </c>
      <c r="N141" s="167">
        <f>N67</f>
        <v>136.13999999999999</v>
      </c>
      <c r="O141" s="57"/>
      <c r="P141" s="63">
        <f t="shared" si="219"/>
        <v>0</v>
      </c>
      <c r="Q141" s="63">
        <f t="shared" si="223"/>
        <v>0</v>
      </c>
      <c r="R141" s="50"/>
      <c r="S141" s="74">
        <f t="shared" si="220"/>
        <v>1.2720374916313171E-2</v>
      </c>
      <c r="T141" s="75"/>
    </row>
    <row r="142" spans="1:20" s="39" customFormat="1" x14ac:dyDescent="0.25">
      <c r="A142" s="159" t="s">
        <v>175</v>
      </c>
      <c r="B142" s="160">
        <v>0</v>
      </c>
      <c r="C142" s="167">
        <v>187.01</v>
      </c>
      <c r="D142" s="161"/>
      <c r="E142" s="161">
        <f t="shared" si="216"/>
        <v>0</v>
      </c>
      <c r="F142" s="162">
        <f>+F87</f>
        <v>613</v>
      </c>
      <c r="G142" s="163">
        <v>12</v>
      </c>
      <c r="H142" s="164">
        <f t="shared" si="217"/>
        <v>0</v>
      </c>
      <c r="I142" s="165">
        <f t="shared" si="224"/>
        <v>249.21931561154287</v>
      </c>
      <c r="J142" s="165">
        <f t="shared" si="221"/>
        <v>0</v>
      </c>
      <c r="K142" s="164">
        <f t="shared" si="222"/>
        <v>0.78877913391053123</v>
      </c>
      <c r="L142" s="166"/>
      <c r="M142" s="165">
        <f t="shared" si="218"/>
        <v>0.80701773471509231</v>
      </c>
      <c r="N142" s="167">
        <f>N79</f>
        <v>189.43</v>
      </c>
      <c r="O142" s="57"/>
      <c r="P142" s="63">
        <f t="shared" si="219"/>
        <v>0</v>
      </c>
      <c r="Q142" s="63">
        <f t="shared" si="223"/>
        <v>0</v>
      </c>
      <c r="R142" s="50"/>
      <c r="S142" s="74">
        <f t="shared" si="220"/>
        <v>1.294048446607142E-2</v>
      </c>
      <c r="T142" s="75"/>
    </row>
    <row r="143" spans="1:20" s="39" customFormat="1" x14ac:dyDescent="0.25">
      <c r="A143" s="159" t="s">
        <v>176</v>
      </c>
      <c r="B143" s="160">
        <v>0</v>
      </c>
      <c r="C143" s="167">
        <v>270.31</v>
      </c>
      <c r="D143" s="161"/>
      <c r="E143" s="161">
        <f t="shared" si="216"/>
        <v>0</v>
      </c>
      <c r="F143" s="162">
        <f>+F98</f>
        <v>840</v>
      </c>
      <c r="G143" s="163">
        <v>12</v>
      </c>
      <c r="H143" s="164">
        <f t="shared" si="217"/>
        <v>0</v>
      </c>
      <c r="I143" s="165">
        <f t="shared" si="224"/>
        <v>341.50770817894943</v>
      </c>
      <c r="J143" s="165">
        <f t="shared" si="221"/>
        <v>0</v>
      </c>
      <c r="K143" s="164">
        <f t="shared" si="222"/>
        <v>1.0808718963863722</v>
      </c>
      <c r="L143" s="166"/>
      <c r="M143" s="165">
        <f t="shared" si="218"/>
        <v>1.1058644325622797</v>
      </c>
      <c r="N143" s="167">
        <f>N90</f>
        <v>273.35000000000002</v>
      </c>
      <c r="O143" s="57"/>
      <c r="P143" s="63">
        <f t="shared" si="219"/>
        <v>0</v>
      </c>
      <c r="Q143" s="63">
        <f t="shared" si="223"/>
        <v>0</v>
      </c>
      <c r="R143" s="50"/>
      <c r="S143" s="74">
        <f t="shared" si="220"/>
        <v>1.1246346787022384E-2</v>
      </c>
      <c r="T143" s="75"/>
    </row>
    <row r="144" spans="1:20" s="39" customFormat="1" x14ac:dyDescent="0.25">
      <c r="A144" s="159" t="s">
        <v>177</v>
      </c>
      <c r="B144" s="160">
        <v>0</v>
      </c>
      <c r="C144" s="167">
        <v>349.61</v>
      </c>
      <c r="D144" s="161"/>
      <c r="E144" s="161">
        <f t="shared" ref="E144:E145" si="225">+B144*C144*12</f>
        <v>0</v>
      </c>
      <c r="F144" s="162">
        <f>+F116</f>
        <v>0</v>
      </c>
      <c r="G144" s="163">
        <v>12</v>
      </c>
      <c r="H144" s="164">
        <f>+G144*F144*B144/2000</f>
        <v>0</v>
      </c>
      <c r="I144" s="165">
        <f>+F144*$I$8</f>
        <v>0</v>
      </c>
      <c r="J144" s="165">
        <f>+G144*I144*B144/2000</f>
        <v>0</v>
      </c>
      <c r="K144" s="164">
        <f t="shared" ref="K144" si="226">+I144*$K$10</f>
        <v>0</v>
      </c>
      <c r="L144" s="166"/>
      <c r="M144" s="165">
        <f t="shared" ref="M144" si="227">+K144/$M$10</f>
        <v>0</v>
      </c>
      <c r="N144" s="167">
        <f>N113</f>
        <v>353.3</v>
      </c>
      <c r="O144" s="57"/>
      <c r="P144" s="63">
        <f t="shared" ref="P144" si="228">+N144*B144*12</f>
        <v>0</v>
      </c>
      <c r="Q144" s="63">
        <f>+P144-E144</f>
        <v>0</v>
      </c>
      <c r="R144" s="50"/>
      <c r="S144" s="74">
        <f>(N144-C144)/C144</f>
        <v>1.0554618002917529E-2</v>
      </c>
      <c r="T144" s="75"/>
    </row>
    <row r="145" spans="1:20" s="39" customFormat="1" x14ac:dyDescent="0.25">
      <c r="A145" s="159" t="s">
        <v>206</v>
      </c>
      <c r="B145" s="160">
        <v>0</v>
      </c>
      <c r="C145" s="167">
        <v>7.23</v>
      </c>
      <c r="D145" s="161">
        <v>7.23</v>
      </c>
      <c r="E145" s="161">
        <f t="shared" si="225"/>
        <v>0</v>
      </c>
      <c r="F145" s="162">
        <v>68</v>
      </c>
      <c r="G145" s="163">
        <v>12</v>
      </c>
      <c r="H145" s="164">
        <f>+G145*F145*B145/2000</f>
        <v>0</v>
      </c>
      <c r="I145" s="165">
        <f>+F145*$I$8</f>
        <v>27.645862090676857</v>
      </c>
      <c r="J145" s="165">
        <f>+G145*I145*B145/2000</f>
        <v>0</v>
      </c>
      <c r="K145" s="164">
        <f>+I145*$K$10</f>
        <v>8.7499153516992029E-2</v>
      </c>
      <c r="L145" s="166"/>
      <c r="M145" s="165">
        <f>+K145/$M$10</f>
        <v>8.952235882647025E-2</v>
      </c>
      <c r="N145" s="167">
        <f>ROUND(C145+M145,2)</f>
        <v>7.32</v>
      </c>
      <c r="O145" s="167">
        <f>ROUND(D145+M145,2)</f>
        <v>7.32</v>
      </c>
      <c r="P145" s="63">
        <f t="shared" ref="P145" si="229">+N145*B145*12</f>
        <v>0</v>
      </c>
      <c r="Q145" s="63">
        <f>+P145-E145</f>
        <v>0</v>
      </c>
      <c r="R145" s="50"/>
      <c r="S145" s="74">
        <f>(N145-C145)/C145</f>
        <v>1.2448132780082968E-2</v>
      </c>
      <c r="T145" s="75"/>
    </row>
    <row r="146" spans="1:20" x14ac:dyDescent="0.25">
      <c r="B146" s="56"/>
      <c r="C146" s="57"/>
      <c r="D146" s="57"/>
      <c r="E146" s="54"/>
      <c r="F146" s="28"/>
      <c r="G146" s="26"/>
      <c r="H146" s="13"/>
      <c r="I146" s="55"/>
      <c r="J146" s="55"/>
      <c r="K146" s="13"/>
      <c r="M146" s="55"/>
      <c r="N146" s="54"/>
      <c r="O146" s="54"/>
      <c r="P146" s="13"/>
      <c r="Q146" s="13"/>
      <c r="T146" s="75"/>
    </row>
    <row r="147" spans="1:20" ht="15.75" thickBot="1" x14ac:dyDescent="0.3">
      <c r="A147" s="18"/>
      <c r="B147" s="18"/>
      <c r="C147" s="64"/>
      <c r="D147" s="64"/>
      <c r="E147" s="64"/>
      <c r="H147" s="60"/>
      <c r="I147" s="13"/>
      <c r="J147" s="60"/>
      <c r="N147" s="53"/>
      <c r="O147" s="53"/>
    </row>
    <row r="148" spans="1:20" ht="15.75" thickBot="1" x14ac:dyDescent="0.3">
      <c r="A148" s="18" t="s">
        <v>116</v>
      </c>
      <c r="B148" s="143">
        <f>SUM(B35:B127)</f>
        <v>5165.3599999999969</v>
      </c>
      <c r="C148" s="18"/>
      <c r="D148" s="18"/>
      <c r="E148" s="135">
        <f>SUM(E35:E145)</f>
        <v>11129373.682523999</v>
      </c>
      <c r="H148" s="144">
        <f>SUM(H35:H145)</f>
        <v>48740.221080000003</v>
      </c>
      <c r="I148" s="144">
        <f>SUM(I35:I145)</f>
        <v>24342.994684431891</v>
      </c>
      <c r="J148" s="144">
        <f>SUM(J35:J145)</f>
        <v>19815.66809186442</v>
      </c>
      <c r="N148" s="53"/>
      <c r="O148" s="53"/>
      <c r="P148" s="145">
        <f>SUM(P35:P145)</f>
        <v>11258373.115224</v>
      </c>
      <c r="Q148" s="145">
        <f>SUM(Q35:Q145)</f>
        <v>128999.43269999903</v>
      </c>
      <c r="R148" s="65"/>
    </row>
    <row r="149" spans="1:20" ht="15.75" thickTop="1" x14ac:dyDescent="0.25">
      <c r="A149" s="18"/>
      <c r="B149" s="66"/>
      <c r="C149" s="18"/>
      <c r="D149" s="18"/>
      <c r="E149" s="67"/>
      <c r="H149" s="60"/>
      <c r="I149" s="60"/>
      <c r="J149" s="60"/>
      <c r="N149" s="53"/>
      <c r="O149" s="53"/>
      <c r="P149" s="55"/>
      <c r="R149" s="65"/>
    </row>
    <row r="150" spans="1:20" x14ac:dyDescent="0.25">
      <c r="A150" s="18"/>
      <c r="B150" s="18"/>
      <c r="C150" s="64"/>
      <c r="D150" s="64"/>
      <c r="E150" s="64"/>
      <c r="F150" s="18"/>
      <c r="G150" s="18"/>
      <c r="H150" s="18"/>
      <c r="Q150" s="55">
        <f>+P148-E148</f>
        <v>128999.4327000007</v>
      </c>
      <c r="R150" s="65"/>
    </row>
    <row r="151" spans="1:20" ht="15.75" thickBot="1" x14ac:dyDescent="0.3">
      <c r="A151" s="68"/>
      <c r="B151" s="68"/>
      <c r="C151" s="64"/>
      <c r="D151" s="64"/>
      <c r="E151" s="64"/>
      <c r="F151" s="18"/>
      <c r="G151" s="18"/>
      <c r="H151" s="18"/>
      <c r="P151" s="28"/>
      <c r="Q151" s="13"/>
      <c r="R151" s="65"/>
    </row>
    <row r="152" spans="1:20" ht="15.75" thickBot="1" x14ac:dyDescent="0.3">
      <c r="E152" s="140"/>
      <c r="F152" s="142"/>
      <c r="G152" s="141" t="s">
        <v>167</v>
      </c>
      <c r="H152" s="157">
        <f>H27+H148</f>
        <v>68952.358720000004</v>
      </c>
      <c r="I152" s="157">
        <f>I27+I148</f>
        <v>24609.695942247832</v>
      </c>
      <c r="J152" s="158">
        <f>J27+J148</f>
        <v>28033.049999999988</v>
      </c>
      <c r="K152" s="38"/>
    </row>
    <row r="154" spans="1:20" x14ac:dyDescent="0.25">
      <c r="B154" s="55">
        <f>SUM(B35:B128)</f>
        <v>7493.8299999999963</v>
      </c>
      <c r="C154" s="55">
        <f>SUM(C33:C128)</f>
        <v>7177.73</v>
      </c>
      <c r="D154" s="55">
        <f>SUM(D33:D128)</f>
        <v>4201.0600000000004</v>
      </c>
      <c r="E154" s="55">
        <f>SUM(E33:E128)</f>
        <v>11129373.682523999</v>
      </c>
      <c r="F154" s="55"/>
      <c r="G154" s="55"/>
      <c r="H154" s="55"/>
      <c r="I154" s="55"/>
      <c r="J154" s="55"/>
      <c r="K154" s="55"/>
      <c r="L154" s="55"/>
      <c r="M154" s="55"/>
      <c r="N154" s="55">
        <f>SUM(N33:N128)</f>
        <v>7249.27</v>
      </c>
      <c r="O154" s="55">
        <f>SUM(O33:O128)</f>
        <v>4250.6000000000013</v>
      </c>
      <c r="P154" s="55">
        <f>SUM(P33:P128)</f>
        <v>11258373.115224</v>
      </c>
      <c r="Q154" s="55">
        <f>SUM(Q33:Q128)</f>
        <v>128999.43269999903</v>
      </c>
    </row>
    <row r="155" spans="1:20" x14ac:dyDescent="0.25">
      <c r="A155" s="191" t="s">
        <v>191</v>
      </c>
      <c r="B155" s="192">
        <f>-7493.83</f>
        <v>-7493.83</v>
      </c>
      <c r="C155" s="192">
        <f>-7177.73</f>
        <v>-7177.73</v>
      </c>
      <c r="D155" s="192">
        <f>-4201.06</f>
        <v>-4201.0600000000004</v>
      </c>
      <c r="E155" s="192">
        <v>-11129373.68</v>
      </c>
      <c r="F155" s="193"/>
      <c r="G155" s="193"/>
      <c r="H155" s="193"/>
      <c r="I155" s="193"/>
      <c r="J155" s="193"/>
      <c r="K155" s="193"/>
      <c r="L155" s="193"/>
      <c r="M155" s="193"/>
      <c r="N155" s="194">
        <v>-7249.27</v>
      </c>
      <c r="O155" s="194">
        <v>-4250.6000000000004</v>
      </c>
      <c r="P155" s="194">
        <v>-11258373.119999999</v>
      </c>
      <c r="Q155" s="192">
        <v>-128999.43</v>
      </c>
    </row>
    <row r="156" spans="1:20" x14ac:dyDescent="0.25">
      <c r="B156" s="13">
        <f>B154+B155</f>
        <v>0</v>
      </c>
      <c r="C156" s="13">
        <f t="shared" ref="C156:D156" si="230">C154+C155</f>
        <v>0</v>
      </c>
      <c r="D156" s="13">
        <f t="shared" si="230"/>
        <v>0</v>
      </c>
      <c r="E156" s="13">
        <f>E154+E155</f>
        <v>2.5239996612071991E-3</v>
      </c>
      <c r="F156" s="13"/>
      <c r="G156" s="13"/>
      <c r="H156" s="13"/>
      <c r="I156" s="13"/>
      <c r="J156" s="13"/>
      <c r="K156" s="13"/>
      <c r="L156" s="13"/>
      <c r="M156" s="13"/>
      <c r="N156" s="13">
        <f t="shared" ref="N156" si="231">N154+N155</f>
        <v>0</v>
      </c>
      <c r="O156" s="63">
        <f>O154+O155</f>
        <v>0</v>
      </c>
      <c r="P156" s="13">
        <f>P154+P155</f>
        <v>-4.7759991139173508E-3</v>
      </c>
      <c r="Q156" s="13">
        <f>Q154+Q155</f>
        <v>2.6999990368494764E-3</v>
      </c>
    </row>
    <row r="157" spans="1:20" x14ac:dyDescent="0.25">
      <c r="N157" s="15"/>
      <c r="O157" s="15"/>
    </row>
    <row r="158" spans="1:20" x14ac:dyDescent="0.25">
      <c r="N158" s="15"/>
      <c r="O158" s="15"/>
    </row>
    <row r="159" spans="1:20" x14ac:dyDescent="0.25">
      <c r="N159" s="15"/>
      <c r="O159" s="15"/>
    </row>
    <row r="160" spans="1:20" x14ac:dyDescent="0.25">
      <c r="N160" s="15"/>
      <c r="O160" s="15"/>
    </row>
    <row r="161" spans="1:15" x14ac:dyDescent="0.25">
      <c r="N161" s="15"/>
      <c r="O161" s="15"/>
    </row>
    <row r="162" spans="1:15" x14ac:dyDescent="0.25">
      <c r="N162" s="15"/>
      <c r="O162" s="15"/>
    </row>
    <row r="163" spans="1:15" x14ac:dyDescent="0.25">
      <c r="N163" s="15"/>
      <c r="O163" s="15"/>
    </row>
    <row r="164" spans="1:15" x14ac:dyDescent="0.25">
      <c r="N164" s="15"/>
      <c r="O164" s="15"/>
    </row>
    <row r="165" spans="1:15" x14ac:dyDescent="0.25">
      <c r="N165" s="15"/>
      <c r="O165" s="15"/>
    </row>
    <row r="166" spans="1:15" x14ac:dyDescent="0.25">
      <c r="N166" s="15"/>
      <c r="O166" s="15"/>
    </row>
    <row r="167" spans="1:15" hidden="1" outlineLevel="1" x14ac:dyDescent="0.25">
      <c r="N167" s="15"/>
      <c r="O167" s="15"/>
    </row>
    <row r="168" spans="1:15" hidden="1" outlineLevel="1" x14ac:dyDescent="0.25">
      <c r="A168" s="15" t="s">
        <v>129</v>
      </c>
      <c r="H168" s="44" t="s">
        <v>127</v>
      </c>
      <c r="I168" s="15" t="s">
        <v>126</v>
      </c>
      <c r="J168" s="15" t="s">
        <v>63</v>
      </c>
      <c r="K168" s="15" t="s">
        <v>128</v>
      </c>
      <c r="M168" s="69"/>
      <c r="N168" s="15"/>
      <c r="O168" s="15"/>
    </row>
    <row r="169" spans="1:15" hidden="1" outlineLevel="1" x14ac:dyDescent="0.25">
      <c r="A169" s="15" t="str">
        <f>A19</f>
        <v>32 EOW</v>
      </c>
      <c r="H169" s="15" t="e">
        <f>G19*F19*#REF!</f>
        <v>#REF!</v>
      </c>
      <c r="I169" s="15" t="e">
        <f>H169*I8</f>
        <v>#REF!</v>
      </c>
      <c r="J169" s="13" t="e">
        <f>I169*K10</f>
        <v>#REF!</v>
      </c>
      <c r="K169" s="13" t="e">
        <f>J169/M10</f>
        <v>#REF!</v>
      </c>
      <c r="L169" s="13" t="e">
        <f>K169/#REF!</f>
        <v>#REF!</v>
      </c>
      <c r="M169" s="13" t="e">
        <f>L169/12</f>
        <v>#REF!</v>
      </c>
      <c r="N169" s="15"/>
      <c r="O169" s="15"/>
    </row>
    <row r="170" spans="1:15" hidden="1" outlineLevel="1" x14ac:dyDescent="0.25">
      <c r="N170" s="15"/>
      <c r="O170" s="15"/>
    </row>
    <row r="171" spans="1:15" hidden="1" outlineLevel="1" x14ac:dyDescent="0.25">
      <c r="N171" s="15"/>
      <c r="O171" s="15"/>
    </row>
    <row r="172" spans="1:15" collapsed="1" x14ac:dyDescent="0.25">
      <c r="N172" s="15"/>
      <c r="O172" s="15"/>
    </row>
    <row r="173" spans="1:15" x14ac:dyDescent="0.25">
      <c r="N173" s="15"/>
      <c r="O173" s="15"/>
    </row>
    <row r="174" spans="1:15" x14ac:dyDescent="0.25">
      <c r="N174" s="15"/>
      <c r="O174" s="15"/>
    </row>
    <row r="175" spans="1:15" x14ac:dyDescent="0.25">
      <c r="N175" s="15"/>
      <c r="O175" s="15"/>
    </row>
    <row r="176" spans="1:15" x14ac:dyDescent="0.25">
      <c r="N176" s="15"/>
      <c r="O176" s="15"/>
    </row>
    <row r="177" spans="14:15" x14ac:dyDescent="0.25">
      <c r="N177" s="15"/>
      <c r="O177" s="15"/>
    </row>
    <row r="178" spans="14:15" x14ac:dyDescent="0.25">
      <c r="N178" s="15"/>
      <c r="O178" s="15"/>
    </row>
    <row r="179" spans="14:15" x14ac:dyDescent="0.25">
      <c r="N179" s="15"/>
      <c r="O179" s="15"/>
    </row>
    <row r="180" spans="14:15" x14ac:dyDescent="0.25">
      <c r="N180" s="15"/>
      <c r="O180" s="15"/>
    </row>
    <row r="181" spans="14:15" x14ac:dyDescent="0.25">
      <c r="N181" s="15"/>
      <c r="O181" s="15"/>
    </row>
    <row r="182" spans="14:15" x14ac:dyDescent="0.25">
      <c r="N182" s="15"/>
      <c r="O182" s="15"/>
    </row>
    <row r="183" spans="14:15" x14ac:dyDescent="0.25">
      <c r="N183" s="15"/>
      <c r="O183" s="15"/>
    </row>
    <row r="184" spans="14:15" x14ac:dyDescent="0.25">
      <c r="N184" s="15"/>
      <c r="O184" s="15"/>
    </row>
    <row r="185" spans="14:15" x14ac:dyDescent="0.25">
      <c r="N185" s="15"/>
      <c r="O185" s="15"/>
    </row>
    <row r="186" spans="14:15" x14ac:dyDescent="0.25">
      <c r="N186" s="15"/>
      <c r="O186" s="15"/>
    </row>
  </sheetData>
  <mergeCells count="1">
    <mergeCell ref="N7:O7"/>
  </mergeCells>
  <pageMargins left="0.7" right="0.7" top="0.75" bottom="0.75" header="0.3" footer="0.3"/>
  <pageSetup scale="35" fitToHeight="1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21"/>
  <sheetViews>
    <sheetView workbookViewId="0">
      <selection activeCell="E30" sqref="E30"/>
    </sheetView>
  </sheetViews>
  <sheetFormatPr defaultRowHeight="15" x14ac:dyDescent="0.25"/>
  <cols>
    <col min="3" max="3" width="13.28515625" bestFit="1" customWidth="1"/>
    <col min="4" max="4" width="3.7109375" customWidth="1"/>
    <col min="5" max="5" width="14.28515625" customWidth="1"/>
    <col min="9" max="9" width="14" customWidth="1"/>
  </cols>
  <sheetData>
    <row r="1" spans="2:5" x14ac:dyDescent="0.25">
      <c r="B1" s="173" t="s">
        <v>187</v>
      </c>
    </row>
    <row r="2" spans="2:5" x14ac:dyDescent="0.25">
      <c r="B2" t="s">
        <v>188</v>
      </c>
    </row>
    <row r="3" spans="2:5" x14ac:dyDescent="0.25">
      <c r="B3" t="s">
        <v>193</v>
      </c>
    </row>
    <row r="4" spans="2:5" ht="15.75" thickBot="1" x14ac:dyDescent="0.3"/>
    <row r="5" spans="2:5" ht="15.75" thickBot="1" x14ac:dyDescent="0.3">
      <c r="C5" s="187" t="s">
        <v>207</v>
      </c>
      <c r="D5" s="173"/>
      <c r="E5" s="187" t="s">
        <v>200</v>
      </c>
    </row>
    <row r="6" spans="2:5" x14ac:dyDescent="0.25">
      <c r="C6" t="s">
        <v>197</v>
      </c>
      <c r="E6" t="s">
        <v>198</v>
      </c>
    </row>
    <row r="7" spans="2:5" x14ac:dyDescent="0.25">
      <c r="C7" s="185">
        <v>6.1791967044282923E-3</v>
      </c>
      <c r="E7" s="204">
        <v>5.5690072639226146E-3</v>
      </c>
    </row>
    <row r="8" spans="2:5" x14ac:dyDescent="0.25">
      <c r="C8" s="74">
        <v>6.1813186813186715E-3</v>
      </c>
      <c r="E8" s="47">
        <v>6.7664547877793373E-3</v>
      </c>
    </row>
    <row r="9" spans="2:5" x14ac:dyDescent="0.25">
      <c r="C9" s="74">
        <v>6.4516129032256685E-3</v>
      </c>
      <c r="E9" s="47">
        <v>7.0207570207571424E-3</v>
      </c>
    </row>
    <row r="10" spans="2:5" x14ac:dyDescent="0.25">
      <c r="C10" s="74">
        <v>8.097165991902841E-3</v>
      </c>
      <c r="E10" s="47">
        <v>7.3769085606450457E-3</v>
      </c>
    </row>
    <row r="11" spans="2:5" x14ac:dyDescent="0.25">
      <c r="C11" s="74">
        <v>8.1466395112016355E-3</v>
      </c>
      <c r="E11" s="47">
        <v>7.6214108472172932E-3</v>
      </c>
    </row>
    <row r="12" spans="2:5" x14ac:dyDescent="0.25">
      <c r="C12" s="74">
        <v>8.3798882681563706E-3</v>
      </c>
      <c r="E12" s="47">
        <v>8.0532212885154209E-3</v>
      </c>
    </row>
    <row r="13" spans="2:5" x14ac:dyDescent="0.25">
      <c r="C13" s="74">
        <v>8.4626234132581801E-3</v>
      </c>
      <c r="E13" s="47">
        <v>8.0532212885154209E-3</v>
      </c>
    </row>
    <row r="14" spans="2:5" x14ac:dyDescent="0.25">
      <c r="C14" s="74">
        <v>8.7804878048780358E-3</v>
      </c>
      <c r="E14" s="47">
        <v>8.0532212885154209E-3</v>
      </c>
    </row>
    <row r="15" spans="2:5" x14ac:dyDescent="0.25">
      <c r="C15" s="74">
        <v>1.0082493125572817E-2</v>
      </c>
      <c r="E15" s="47">
        <v>8.0532212885154209E-3</v>
      </c>
    </row>
    <row r="16" spans="2:5" x14ac:dyDescent="0.25">
      <c r="C16" s="74">
        <v>1.1065812463599167E-2</v>
      </c>
      <c r="E16" s="47">
        <v>8.0532212885154209E-3</v>
      </c>
    </row>
    <row r="17" spans="3:5" x14ac:dyDescent="0.25">
      <c r="C17" s="74">
        <v>1.1373578302712229E-2</v>
      </c>
      <c r="E17" s="47">
        <v>8.0532212885154209E-3</v>
      </c>
    </row>
    <row r="18" spans="3:5" x14ac:dyDescent="0.25">
      <c r="C18" s="74">
        <v>1.1454753722794919E-2</v>
      </c>
      <c r="E18" s="47">
        <v>8.0532212885154209E-3</v>
      </c>
    </row>
    <row r="19" spans="3:5" x14ac:dyDescent="0.25">
      <c r="C19" s="74">
        <v>1.2464046021093019E-2</v>
      </c>
      <c r="E19" s="47">
        <v>8.6230876216966661E-3</v>
      </c>
    </row>
    <row r="20" spans="3:5" x14ac:dyDescent="0.25">
      <c r="C20" s="74">
        <v>1.3659237958303342E-2</v>
      </c>
      <c r="E20" s="47">
        <v>8.6864964464332273E-3</v>
      </c>
    </row>
    <row r="21" spans="3:5" x14ac:dyDescent="0.25">
      <c r="C21" s="204">
        <v>1.369863013698628E-2</v>
      </c>
      <c r="E21" s="74">
        <v>8.6864964464332273E-3</v>
      </c>
    </row>
    <row r="22" spans="3:5" x14ac:dyDescent="0.25">
      <c r="E22" s="47">
        <v>8.6864964464332273E-3</v>
      </c>
    </row>
    <row r="23" spans="3:5" x14ac:dyDescent="0.25">
      <c r="E23" s="47">
        <v>8.6864964464332273E-3</v>
      </c>
    </row>
    <row r="24" spans="3:5" x14ac:dyDescent="0.25">
      <c r="E24" s="47">
        <v>8.6864964464332273E-3</v>
      </c>
    </row>
    <row r="25" spans="3:5" x14ac:dyDescent="0.25">
      <c r="E25" s="47">
        <v>8.6864964464332273E-3</v>
      </c>
    </row>
    <row r="26" spans="3:5" x14ac:dyDescent="0.25">
      <c r="E26" s="47">
        <v>8.6864964464332273E-3</v>
      </c>
    </row>
    <row r="27" spans="3:5" x14ac:dyDescent="0.25">
      <c r="E27" s="47">
        <v>8.7582991948013892E-3</v>
      </c>
    </row>
    <row r="28" spans="3:5" x14ac:dyDescent="0.25">
      <c r="E28" s="47">
        <v>8.8377075522227712E-3</v>
      </c>
    </row>
    <row r="29" spans="3:5" x14ac:dyDescent="0.25">
      <c r="E29" s="47">
        <v>8.8428845626541824E-3</v>
      </c>
    </row>
    <row r="30" spans="3:5" x14ac:dyDescent="0.25">
      <c r="E30" s="47">
        <v>8.9795350132256171E-3</v>
      </c>
    </row>
    <row r="31" spans="3:5" x14ac:dyDescent="0.25">
      <c r="E31" s="47">
        <v>8.9795350132256171E-3</v>
      </c>
    </row>
    <row r="32" spans="3:5" x14ac:dyDescent="0.25">
      <c r="E32" s="47">
        <v>8.9795350132256171E-3</v>
      </c>
    </row>
    <row r="33" spans="5:5" x14ac:dyDescent="0.25">
      <c r="E33" s="47">
        <v>8.9795350132256171E-3</v>
      </c>
    </row>
    <row r="34" spans="5:5" x14ac:dyDescent="0.25">
      <c r="E34" s="47">
        <v>8.9795350132256171E-3</v>
      </c>
    </row>
    <row r="35" spans="5:5" x14ac:dyDescent="0.25">
      <c r="E35" s="47">
        <v>8.9795350132256171E-3</v>
      </c>
    </row>
    <row r="36" spans="5:5" x14ac:dyDescent="0.25">
      <c r="E36" s="47">
        <v>8.9795350132256171E-3</v>
      </c>
    </row>
    <row r="37" spans="5:5" x14ac:dyDescent="0.25">
      <c r="E37" s="47">
        <v>9.0947546531302808E-3</v>
      </c>
    </row>
    <row r="38" spans="5:5" x14ac:dyDescent="0.25">
      <c r="E38" s="47">
        <v>9.0947546531302808E-3</v>
      </c>
    </row>
    <row r="39" spans="5:5" x14ac:dyDescent="0.25">
      <c r="E39" s="47">
        <v>9.0947546531302808E-3</v>
      </c>
    </row>
    <row r="40" spans="5:5" x14ac:dyDescent="0.25">
      <c r="E40" s="47">
        <v>9.0947546531302808E-3</v>
      </c>
    </row>
    <row r="41" spans="5:5" x14ac:dyDescent="0.25">
      <c r="E41" s="47">
        <v>9.0947546531302808E-3</v>
      </c>
    </row>
    <row r="42" spans="5:5" x14ac:dyDescent="0.25">
      <c r="E42" s="47">
        <v>9.0947546531302808E-3</v>
      </c>
    </row>
    <row r="43" spans="5:5" x14ac:dyDescent="0.25">
      <c r="E43" s="47">
        <v>9.0947546531302808E-3</v>
      </c>
    </row>
    <row r="44" spans="5:5" x14ac:dyDescent="0.25">
      <c r="E44" s="47">
        <v>9.4019989835676717E-3</v>
      </c>
    </row>
    <row r="45" spans="5:5" x14ac:dyDescent="0.25">
      <c r="E45" s="47">
        <v>9.447165850244953E-3</v>
      </c>
    </row>
    <row r="46" spans="5:5" x14ac:dyDescent="0.25">
      <c r="E46" s="47">
        <v>9.4637223974763669E-3</v>
      </c>
    </row>
    <row r="47" spans="5:5" x14ac:dyDescent="0.25">
      <c r="E47" s="47">
        <v>9.4637223974763669E-3</v>
      </c>
    </row>
    <row r="48" spans="5:5" x14ac:dyDescent="0.25">
      <c r="E48" s="47">
        <v>9.4637223974763669E-3</v>
      </c>
    </row>
    <row r="49" spans="5:5" x14ac:dyDescent="0.25">
      <c r="E49" s="47">
        <v>9.4637223974763669E-3</v>
      </c>
    </row>
    <row r="50" spans="5:5" x14ac:dyDescent="0.25">
      <c r="E50" s="47">
        <v>9.4637223974763669E-3</v>
      </c>
    </row>
    <row r="51" spans="5:5" x14ac:dyDescent="0.25">
      <c r="E51" s="47">
        <v>9.4637223974763669E-3</v>
      </c>
    </row>
    <row r="52" spans="5:5" x14ac:dyDescent="0.25">
      <c r="E52" s="47">
        <v>9.4637223974763669E-3</v>
      </c>
    </row>
    <row r="53" spans="5:5" x14ac:dyDescent="0.25">
      <c r="E53" s="47">
        <v>9.5303511633897092E-3</v>
      </c>
    </row>
    <row r="54" spans="5:5" x14ac:dyDescent="0.25">
      <c r="E54" s="47">
        <v>9.536082474226798E-3</v>
      </c>
    </row>
    <row r="55" spans="5:5" x14ac:dyDescent="0.25">
      <c r="E55" s="47">
        <v>9.536082474226798E-3</v>
      </c>
    </row>
    <row r="56" spans="5:5" x14ac:dyDescent="0.25">
      <c r="E56" s="47">
        <v>9.536082474226798E-3</v>
      </c>
    </row>
    <row r="57" spans="5:5" x14ac:dyDescent="0.25">
      <c r="E57" s="47">
        <v>9.536082474226798E-3</v>
      </c>
    </row>
    <row r="58" spans="5:5" x14ac:dyDescent="0.25">
      <c r="E58" s="47">
        <v>9.536082474226798E-3</v>
      </c>
    </row>
    <row r="59" spans="5:5" x14ac:dyDescent="0.25">
      <c r="E59" s="47">
        <v>9.536082474226798E-3</v>
      </c>
    </row>
    <row r="60" spans="5:5" x14ac:dyDescent="0.25">
      <c r="E60" s="47">
        <v>9.536082474226798E-3</v>
      </c>
    </row>
    <row r="61" spans="5:5" x14ac:dyDescent="0.25">
      <c r="E61" s="47">
        <v>9.640802363551618E-3</v>
      </c>
    </row>
    <row r="62" spans="5:5" x14ac:dyDescent="0.25">
      <c r="E62" s="47">
        <v>9.640802363551618E-3</v>
      </c>
    </row>
    <row r="63" spans="5:5" x14ac:dyDescent="0.25">
      <c r="E63" s="47">
        <v>9.640802363551618E-3</v>
      </c>
    </row>
    <row r="64" spans="5:5" x14ac:dyDescent="0.25">
      <c r="E64" s="47">
        <v>9.640802363551618E-3</v>
      </c>
    </row>
    <row r="65" spans="5:5" x14ac:dyDescent="0.25">
      <c r="E65" s="47">
        <v>9.640802363551618E-3</v>
      </c>
    </row>
    <row r="66" spans="5:5" x14ac:dyDescent="0.25">
      <c r="E66" s="47">
        <v>9.640802363551618E-3</v>
      </c>
    </row>
    <row r="67" spans="5:5" x14ac:dyDescent="0.25">
      <c r="E67" s="47">
        <v>9.640802363551618E-3</v>
      </c>
    </row>
    <row r="68" spans="5:5" x14ac:dyDescent="0.25">
      <c r="E68" s="47">
        <v>1.0118675827607775E-2</v>
      </c>
    </row>
    <row r="69" spans="5:5" x14ac:dyDescent="0.25">
      <c r="E69" s="47">
        <v>1.0554618002917529E-2</v>
      </c>
    </row>
    <row r="70" spans="5:5" x14ac:dyDescent="0.25">
      <c r="E70" s="47">
        <v>1.0554618002917529E-2</v>
      </c>
    </row>
    <row r="71" spans="5:5" x14ac:dyDescent="0.25">
      <c r="E71" s="74">
        <v>1.1164274322169104E-2</v>
      </c>
    </row>
    <row r="72" spans="5:5" x14ac:dyDescent="0.25">
      <c r="E72" s="74">
        <v>1.1164274322169104E-2</v>
      </c>
    </row>
    <row r="73" spans="5:5" x14ac:dyDescent="0.25">
      <c r="E73" s="47">
        <v>1.1246346787022384E-2</v>
      </c>
    </row>
    <row r="74" spans="5:5" x14ac:dyDescent="0.25">
      <c r="E74" s="47">
        <v>1.1246346787022384E-2</v>
      </c>
    </row>
    <row r="75" spans="5:5" x14ac:dyDescent="0.25">
      <c r="E75" s="47">
        <v>1.1385199240986812E-2</v>
      </c>
    </row>
    <row r="76" spans="5:5" x14ac:dyDescent="0.25">
      <c r="E76" s="47">
        <v>1.1385199240986812E-2</v>
      </c>
    </row>
    <row r="77" spans="5:5" x14ac:dyDescent="0.25">
      <c r="E77" s="47">
        <v>1.1385199240986812E-2</v>
      </c>
    </row>
    <row r="78" spans="5:5" x14ac:dyDescent="0.25">
      <c r="E78" s="47">
        <v>1.1385199240986812E-2</v>
      </c>
    </row>
    <row r="79" spans="5:5" x14ac:dyDescent="0.25">
      <c r="E79" s="47">
        <v>1.1385199240986812E-2</v>
      </c>
    </row>
    <row r="80" spans="5:5" x14ac:dyDescent="0.25">
      <c r="E80" s="47">
        <v>1.1385199240986812E-2</v>
      </c>
    </row>
    <row r="81" spans="5:5" x14ac:dyDescent="0.25">
      <c r="E81" s="47">
        <v>1.1689145793192175E-2</v>
      </c>
    </row>
    <row r="82" spans="5:5" x14ac:dyDescent="0.25">
      <c r="E82" s="47">
        <v>1.1689145793192175E-2</v>
      </c>
    </row>
    <row r="83" spans="5:5" x14ac:dyDescent="0.25">
      <c r="E83" s="47">
        <v>1.1915673693858863E-2</v>
      </c>
    </row>
    <row r="84" spans="5:5" x14ac:dyDescent="0.25">
      <c r="E84" s="47">
        <v>1.1915673693858863E-2</v>
      </c>
    </row>
    <row r="85" spans="5:5" x14ac:dyDescent="0.25">
      <c r="E85" s="47">
        <v>1.1915673693858863E-2</v>
      </c>
    </row>
    <row r="86" spans="5:5" x14ac:dyDescent="0.25">
      <c r="E86" s="47">
        <v>1.2720374916313171E-2</v>
      </c>
    </row>
    <row r="87" spans="5:5" x14ac:dyDescent="0.25">
      <c r="E87" s="47">
        <v>1.2720374916313171E-2</v>
      </c>
    </row>
    <row r="88" spans="5:5" x14ac:dyDescent="0.25">
      <c r="E88" s="47">
        <v>1.294048446607142E-2</v>
      </c>
    </row>
    <row r="89" spans="5:5" x14ac:dyDescent="0.25">
      <c r="E89" s="47">
        <v>1.294048446607142E-2</v>
      </c>
    </row>
    <row r="90" spans="5:5" x14ac:dyDescent="0.25">
      <c r="E90" s="188"/>
    </row>
    <row r="91" spans="5:5" x14ac:dyDescent="0.25">
      <c r="E91" s="47">
        <v>1.1015911872705002E-2</v>
      </c>
    </row>
    <row r="92" spans="5:5" x14ac:dyDescent="0.25">
      <c r="E92" s="47">
        <v>1.1015911872705002E-2</v>
      </c>
    </row>
    <row r="93" spans="5:5" x14ac:dyDescent="0.25">
      <c r="E93" s="47">
        <v>1.1015911872705002E-2</v>
      </c>
    </row>
    <row r="94" spans="5:5" x14ac:dyDescent="0.25">
      <c r="E94" s="47">
        <v>1.1015911872705002E-2</v>
      </c>
    </row>
    <row r="95" spans="5:5" x14ac:dyDescent="0.25">
      <c r="E95" s="47">
        <v>1.1015911872705002E-2</v>
      </c>
    </row>
    <row r="96" spans="5:5" x14ac:dyDescent="0.25">
      <c r="E96" s="47">
        <v>1.1015911872705002E-2</v>
      </c>
    </row>
    <row r="97" spans="5:5" x14ac:dyDescent="0.25">
      <c r="E97" s="74">
        <v>1.1461318051575813E-2</v>
      </c>
    </row>
    <row r="98" spans="5:5" x14ac:dyDescent="0.25">
      <c r="E98" s="47">
        <v>1.1461318051575813E-2</v>
      </c>
    </row>
    <row r="99" spans="5:5" x14ac:dyDescent="0.25">
      <c r="E99" s="47">
        <v>1.1461318051575813E-2</v>
      </c>
    </row>
    <row r="100" spans="5:5" x14ac:dyDescent="0.25">
      <c r="E100" s="47">
        <v>1.1461318051575813E-2</v>
      </c>
    </row>
    <row r="101" spans="5:5" x14ac:dyDescent="0.25">
      <c r="E101" s="47">
        <v>1.1461318051575813E-2</v>
      </c>
    </row>
    <row r="102" spans="5:5" x14ac:dyDescent="0.25">
      <c r="E102" s="74">
        <v>1.1461318051575813E-2</v>
      </c>
    </row>
    <row r="103" spans="5:5" x14ac:dyDescent="0.25">
      <c r="E103" s="74">
        <v>1.1385199240986812E-2</v>
      </c>
    </row>
    <row r="104" spans="5:5" x14ac:dyDescent="0.25">
      <c r="E104" s="74">
        <v>1.1015911872705002E-2</v>
      </c>
    </row>
    <row r="105" spans="5:5" x14ac:dyDescent="0.25">
      <c r="E105" s="74">
        <v>1.2623490669593876E-2</v>
      </c>
    </row>
    <row r="106" spans="5:5" x14ac:dyDescent="0.25">
      <c r="E106" s="74">
        <v>1.2845465161541388E-2</v>
      </c>
    </row>
    <row r="107" spans="5:5" x14ac:dyDescent="0.25">
      <c r="E107" s="74">
        <v>1.2897420515896811E-2</v>
      </c>
    </row>
    <row r="108" spans="5:5" x14ac:dyDescent="0.25">
      <c r="E108" s="74">
        <v>1.2699713232281799E-2</v>
      </c>
    </row>
    <row r="109" spans="5:5" x14ac:dyDescent="0.25">
      <c r="E109" s="74">
        <v>1.2926907117778524E-2</v>
      </c>
    </row>
    <row r="110" spans="5:5" x14ac:dyDescent="0.25">
      <c r="E110" s="74">
        <v>1.1885640860905872E-2</v>
      </c>
    </row>
    <row r="111" spans="5:5" x14ac:dyDescent="0.25">
      <c r="E111" s="74">
        <v>1.0504885993485393E-2</v>
      </c>
    </row>
    <row r="112" spans="5:5" x14ac:dyDescent="0.25">
      <c r="E112" s="74">
        <v>1.1164274322169104E-2</v>
      </c>
    </row>
    <row r="113" spans="5:5" x14ac:dyDescent="0.25">
      <c r="E113" s="74">
        <v>1.1689145793192175E-2</v>
      </c>
    </row>
    <row r="114" spans="5:5" x14ac:dyDescent="0.25">
      <c r="E114" s="74">
        <v>1.1915673693858863E-2</v>
      </c>
    </row>
    <row r="115" spans="5:5" x14ac:dyDescent="0.25">
      <c r="E115" s="74">
        <v>1.2720374916313171E-2</v>
      </c>
    </row>
    <row r="116" spans="5:5" x14ac:dyDescent="0.25">
      <c r="E116" s="74">
        <v>1.294048446607142E-2</v>
      </c>
    </row>
    <row r="117" spans="5:5" x14ac:dyDescent="0.25">
      <c r="E117" s="74">
        <v>1.1246346787022384E-2</v>
      </c>
    </row>
    <row r="118" spans="5:5" x14ac:dyDescent="0.25">
      <c r="E118" s="74">
        <v>1.0554618002917529E-2</v>
      </c>
    </row>
    <row r="119" spans="5:5" x14ac:dyDescent="0.25">
      <c r="E119" s="185">
        <v>1.2448132780082968E-2</v>
      </c>
    </row>
    <row r="120" spans="5:5" x14ac:dyDescent="0.25">
      <c r="E120" s="42"/>
    </row>
    <row r="121" spans="5:5" x14ac:dyDescent="0.25">
      <c r="E121" s="42"/>
    </row>
  </sheetData>
  <sortState ref="B5:B73">
    <sortCondition ref="B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17B0F79B583F4583A27E32D5C4F454" ma:contentTypeVersion="24" ma:contentTypeDescription="" ma:contentTypeScope="" ma:versionID="3266fecb3d22fb2494cdd13eba21e8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230951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E62ACD-3D2A-4916-B81A-D38E87DBF50A}"/>
</file>

<file path=customXml/itemProps2.xml><?xml version="1.0" encoding="utf-8"?>
<ds:datastoreItem xmlns:ds="http://schemas.openxmlformats.org/officeDocument/2006/customXml" ds:itemID="{AFFAEA16-C584-459F-9396-5688F21B5E0E}"/>
</file>

<file path=customXml/itemProps3.xml><?xml version="1.0" encoding="utf-8"?>
<ds:datastoreItem xmlns:ds="http://schemas.openxmlformats.org/officeDocument/2006/customXml" ds:itemID="{B7D1932D-36E1-4589-8A13-8EEA6E1A7F5C}"/>
</file>

<file path=customXml/itemProps4.xml><?xml version="1.0" encoding="utf-8"?>
<ds:datastoreItem xmlns:ds="http://schemas.openxmlformats.org/officeDocument/2006/customXml" ds:itemID="{9D4C31B9-EF8B-435A-9DCE-54BDB6813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% spread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2023-11-07T21:29:20Z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0x0101006E56B4D1795A2E4DB2F0B01679ED314A007E17B0F79B583F4583A27E32D5C4F454</vt:lpwstr>
  </property>
  <property fmtid="{D5CDD505-2E9C-101B-9397-08002B2CF9AE}" pid="3" name="_docset_NoMedatataSyncRequired">
    <vt:lpwstr>False</vt:lpwstr>
  </property>
</Properties>
</file>