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ENERGY EFFICIENCY\Conservation Plan docs\BCP 24-25\2024-25 BCP FINAL DOCUMENTS\"/>
    </mc:Choice>
  </mc:AlternateContent>
  <xr:revisionPtr revIDLastSave="0" documentId="8_{E835590C-2E29-4C85-9D6B-56C155D22E9E}" xr6:coauthVersionLast="47" xr6:coauthVersionMax="47" xr10:uidLastSave="{00000000-0000-0000-0000-000000000000}"/>
  <bookViews>
    <workbookView xWindow="-28920" yWindow="-120" windowWidth="29040" windowHeight="15840" activeTab="8" xr2:uid="{FC778165-239F-48A7-B5DD-090D37EC2404}"/>
  </bookViews>
  <sheets>
    <sheet name="Savings Potential" sheetId="13" r:id="rId1"/>
    <sheet name="Table 1" sheetId="21" r:id="rId2"/>
    <sheet name="Table 2" sheetId="22" r:id="rId3"/>
    <sheet name="Appendix Table 2 details" sheetId="23" r:id="rId4"/>
    <sheet name="Table 3" sheetId="5" r:id="rId5"/>
    <sheet name="Table 4" sheetId="24" r:id="rId6"/>
    <sheet name="Table 5" sheetId="15" r:id="rId7"/>
    <sheet name="Table 6" sheetId="18" r:id="rId8"/>
    <sheet name="Table 7" sheetId="19" r:id="rId9"/>
  </sheets>
  <definedNames>
    <definedName name="_Hlk53425096" localSheetId="8">'Table 7'!$B$3</definedName>
    <definedName name="_Hlk53425129" localSheetId="8">'Table 7'!$B$16</definedName>
    <definedName name="_Toc83807174" localSheetId="6">'Table 5'!$A$1</definedName>
    <definedName name="_Toc83807177" localSheetId="7">'Table 6'!$A$1</definedName>
    <definedName name="_Toc83807180" localSheetId="8">'Table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4" l="1"/>
  <c r="C72" i="23"/>
  <c r="E17" i="22"/>
  <c r="D18" i="24"/>
  <c r="E13" i="24"/>
  <c r="D10" i="24"/>
  <c r="D16" i="24"/>
  <c r="C16" i="24"/>
  <c r="D8" i="24"/>
  <c r="D6" i="24"/>
  <c r="C6" i="24"/>
  <c r="E23" i="24"/>
  <c r="E22" i="24"/>
  <c r="E12" i="24"/>
  <c r="E11" i="24"/>
  <c r="C18" i="24"/>
  <c r="D17" i="24"/>
  <c r="C17" i="24"/>
  <c r="C8" i="24"/>
  <c r="D7" i="24"/>
  <c r="C7" i="24"/>
  <c r="E16" i="22"/>
  <c r="C18" i="23"/>
  <c r="C55" i="23"/>
  <c r="C17" i="23"/>
  <c r="C71" i="23"/>
  <c r="D28" i="23"/>
  <c r="D27" i="23"/>
  <c r="D29" i="23"/>
  <c r="C6" i="21"/>
  <c r="C12" i="23"/>
  <c r="C20" i="23"/>
  <c r="C56" i="23"/>
  <c r="C57" i="23"/>
  <c r="C52" i="23"/>
  <c r="C51" i="23"/>
  <c r="C14" i="23"/>
  <c r="C13" i="23"/>
  <c r="H6" i="21"/>
  <c r="D6" i="21"/>
  <c r="I17" i="23"/>
  <c r="I50" i="23" s="1"/>
  <c r="L17" i="23"/>
  <c r="K17" i="23"/>
  <c r="C75" i="23" l="1"/>
  <c r="L50" i="23"/>
  <c r="K50" i="23"/>
  <c r="C34" i="23" l="1"/>
  <c r="C28" i="23"/>
  <c r="C33" i="23" s="1"/>
  <c r="D60" i="23"/>
  <c r="D61" i="23"/>
  <c r="D62" i="23"/>
  <c r="D63" i="23"/>
  <c r="D64" i="23"/>
  <c r="D65" i="23"/>
  <c r="C58" i="23" s="1"/>
  <c r="D66" i="23"/>
  <c r="D67" i="23"/>
  <c r="D68" i="23"/>
  <c r="D69" i="23"/>
  <c r="D59" i="23"/>
  <c r="D24" i="23"/>
  <c r="C46" i="23"/>
  <c r="C8" i="23"/>
  <c r="C13" i="22"/>
  <c r="E13" i="22"/>
  <c r="E20" i="22"/>
  <c r="C17" i="22"/>
  <c r="E14" i="22"/>
  <c r="C14" i="22"/>
  <c r="C12" i="22"/>
  <c r="G8" i="22"/>
  <c r="G6" i="21" l="1"/>
  <c r="E12" i="22" l="1"/>
  <c r="C50" i="23"/>
  <c r="C53" i="23" s="1"/>
  <c r="C7" i="21"/>
  <c r="H7" i="21"/>
  <c r="E7" i="22" s="1"/>
  <c r="C45" i="23" s="1"/>
  <c r="D7" i="21"/>
  <c r="C7" i="22" s="1"/>
  <c r="J10" i="21"/>
  <c r="E18" i="22" s="1"/>
  <c r="C73" i="23" s="1"/>
  <c r="F10" i="21"/>
  <c r="C18" i="22" s="1"/>
  <c r="C35" i="23" s="1"/>
  <c r="E18" i="24"/>
  <c r="E17" i="24"/>
  <c r="E16" i="24"/>
  <c r="E8" i="24"/>
  <c r="E7" i="24"/>
  <c r="E6" i="24"/>
  <c r="C66" i="23"/>
  <c r="G19" i="22"/>
  <c r="G17" i="22"/>
  <c r="E15" i="22"/>
  <c r="C15" i="22"/>
  <c r="G14" i="22"/>
  <c r="G13" i="22"/>
  <c r="G12" i="22"/>
  <c r="G7" i="22"/>
  <c r="K10" i="21"/>
  <c r="K9" i="21"/>
  <c r="K8" i="21"/>
  <c r="J6" i="21"/>
  <c r="F6" i="21"/>
  <c r="E19" i="24" l="1"/>
  <c r="E9" i="24"/>
  <c r="G18" i="22"/>
  <c r="C7" i="23"/>
  <c r="F7" i="21"/>
  <c r="G7" i="21"/>
  <c r="C6" i="22"/>
  <c r="C15" i="23"/>
  <c r="G15" i="22"/>
  <c r="K6" i="21"/>
  <c r="D20" i="24" l="1"/>
  <c r="D25" i="24"/>
  <c r="C25" i="24"/>
  <c r="C20" i="24"/>
  <c r="E24" i="24"/>
  <c r="C10" i="24"/>
  <c r="C6" i="23"/>
  <c r="C9" i="23" s="1"/>
  <c r="C32" i="23" s="1"/>
  <c r="J7" i="21"/>
  <c r="E6" i="22"/>
  <c r="C36" i="23"/>
  <c r="C9" i="22"/>
  <c r="K7" i="21"/>
  <c r="C16" i="22" l="1"/>
  <c r="C44" i="23"/>
  <c r="C47" i="23" s="1"/>
  <c r="C70" i="23" s="1"/>
  <c r="E9" i="22"/>
  <c r="G9" i="22" s="1"/>
  <c r="G6" i="22"/>
  <c r="G16" i="22" l="1"/>
  <c r="C20" i="22"/>
  <c r="G20" i="22" s="1"/>
</calcChain>
</file>

<file path=xl/sharedStrings.xml><?xml version="1.0" encoding="utf-8"?>
<sst xmlns="http://schemas.openxmlformats.org/spreadsheetml/2006/main" count="290" uniqueCount="164">
  <si>
    <t>Residential</t>
  </si>
  <si>
    <t>C/I</t>
  </si>
  <si>
    <t>Low Income</t>
  </si>
  <si>
    <r>
      <t>Therm Targets</t>
    </r>
    <r>
      <rPr>
        <b/>
        <vertAlign val="superscript"/>
        <sz val="8"/>
        <color theme="1"/>
        <rFont val="Arial"/>
        <family val="2"/>
      </rPr>
      <t>2</t>
    </r>
  </si>
  <si>
    <t>NEEA Natural Gas Market Transformation</t>
  </si>
  <si>
    <t>Regional Technical Forum</t>
  </si>
  <si>
    <t>Conservation Potential Assessment</t>
  </si>
  <si>
    <t xml:space="preserve"> 1st year Total</t>
  </si>
  <si>
    <t>2nd year  Totals</t>
  </si>
  <si>
    <t>Incentive Estimates</t>
  </si>
  <si>
    <t>Program</t>
  </si>
  <si>
    <t>Budget</t>
  </si>
  <si>
    <t>Allocated as DBtC</t>
  </si>
  <si>
    <t>Notes</t>
  </si>
  <si>
    <t>√</t>
  </si>
  <si>
    <t>See Residential section</t>
  </si>
  <si>
    <t>Commercial/Industrial</t>
  </si>
  <si>
    <t>See Com/Ind section</t>
  </si>
  <si>
    <t>Total Incentives</t>
  </si>
  <si>
    <t>Non-Incentive/CNGC Program Implementation Expenses</t>
  </si>
  <si>
    <t>Portfolio Admin Total</t>
  </si>
  <si>
    <t>Labor</t>
  </si>
  <si>
    <t>Third Party Commercial/ Industrial Program Mgmt.</t>
  </si>
  <si>
    <t>Annual Software fees</t>
  </si>
  <si>
    <t>Labor breakout 
(Internal reference)</t>
  </si>
  <si>
    <t>Outreach / Trade Ally / Quality Control</t>
  </si>
  <si>
    <t>Breakdown</t>
  </si>
  <si>
    <t>Other</t>
  </si>
  <si>
    <t>Travel</t>
  </si>
  <si>
    <t>Office supplies</t>
  </si>
  <si>
    <t xml:space="preserve">Portfolio Admin Total (Included from above) </t>
  </si>
  <si>
    <t>Non-Incentive/Admin Expenses</t>
  </si>
  <si>
    <t>Regional Collaboration</t>
  </si>
  <si>
    <t>NEEA  &amp; RTF (excluded from DBtC)</t>
  </si>
  <si>
    <t>Total Program Expense</t>
  </si>
  <si>
    <t>Non-residential</t>
  </si>
  <si>
    <t>Low income</t>
  </si>
  <si>
    <t>CPA</t>
  </si>
  <si>
    <t>EM&amp;V</t>
  </si>
  <si>
    <t>Evaluation, Measurement &amp; Verification</t>
  </si>
  <si>
    <t>Direct Benefit to Customers</t>
  </si>
  <si>
    <t>Other Costs</t>
  </si>
  <si>
    <t>Total Utility Costs</t>
  </si>
  <si>
    <t>Portfolio Ratio</t>
  </si>
  <si>
    <t>NEEA / RTF</t>
  </si>
  <si>
    <t>BIENNIUM</t>
  </si>
  <si>
    <r>
      <t>Cascade Admin Budget</t>
    </r>
    <r>
      <rPr>
        <b/>
        <vertAlign val="superscript"/>
        <sz val="8"/>
        <color theme="1"/>
        <rFont val="Arial"/>
        <family val="2"/>
      </rPr>
      <t>1</t>
    </r>
  </si>
  <si>
    <t>Biennial Totals</t>
  </si>
  <si>
    <t xml:space="preserve">Biennial Totals: </t>
  </si>
  <si>
    <t>Portfolio Admin Expenses Breakout:</t>
  </si>
  <si>
    <t>Full program costs</t>
  </si>
  <si>
    <t>Staff, software, marketing</t>
  </si>
  <si>
    <t>C/I vendor, marketing, staff</t>
  </si>
  <si>
    <t>Residential, Com/Ind, &amp; LI</t>
  </si>
  <si>
    <t>LI Weatherization outreach</t>
  </si>
  <si>
    <t>Customer Resolution</t>
  </si>
  <si>
    <t>Trade Ally support &amp; auditing</t>
  </si>
  <si>
    <t>Professional dues, and memberships</t>
  </si>
  <si>
    <t>Outreach: campaigns, web</t>
  </si>
  <si>
    <t>General operating expenses</t>
  </si>
  <si>
    <t>Professional development</t>
  </si>
  <si>
    <t>Direct Benefit</t>
  </si>
  <si>
    <t>Program Delivery (Not included in DBtC)</t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</si>
  <si>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Rebate payments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</si>
  <si>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Bonus coupons to customers for using qualified Trade Allies (TAs)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</si>
  <si>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QC Inspections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</si>
  <si>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Local energy program partnerships promoting the EEIP by assisting customers with rebates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</si>
  <si>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Customer service resolution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</si>
  <si>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Bundled measure promotions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</si>
  <si>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Labor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</si>
  <si>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TA program materials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</si>
  <si>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Cooperative marketing &amp; training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</si>
  <si>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TA outreach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</si>
  <si>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Residential EEIP ad placement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</si>
  <si>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Software access fees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</si>
  <si>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Industry appropriate organizational dues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</si>
  <si>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Travel expenses for program delivery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</si>
  <si>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Seminar and training attendance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</si>
  <si>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Miscellaneous operating expenses</t>
    </r>
  </si>
  <si>
    <t>Commercial &amp; Industrial</t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</si>
  <si>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Rebate Payments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</si>
  <si>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 xml:space="preserve">Partnerships with local energy programs promoting the EEIP through customer engagement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</si>
  <si>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Third party program management inclusive of commercial marketing efforts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</si>
  <si>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 xml:space="preserve">Internal staffing &amp; oversight from CNGC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</si>
  <si>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Industry specific Trade organization dues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</si>
  <si>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Travel expenses for program delivery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</si>
  <si>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 xml:space="preserve">Seminar and training attendance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</si>
  <si>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Promotional giveaways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</si>
  <si>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Miscellaneous operating expenses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</si>
  <si>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Rebates for weatherization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</si>
  <si>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 xml:space="preserve">Agency customer outreach 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</si>
  <si>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>Agency indirect rates and administration fee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</si>
  <si>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Arial"/>
        <family val="2"/>
      </rPr>
      <t xml:space="preserve">CNGC labor for program administration </t>
    </r>
  </si>
  <si>
    <t>Washington Conservation Climate Zones by District</t>
  </si>
  <si>
    <t>Zone 1</t>
  </si>
  <si>
    <t>Zone 2</t>
  </si>
  <si>
    <t>Zone 3</t>
  </si>
  <si>
    <t>Bellingham</t>
  </si>
  <si>
    <t>Aberdeen</t>
  </si>
  <si>
    <t>Sunnyside</t>
  </si>
  <si>
    <t>Mount Vernon</t>
  </si>
  <si>
    <t>Bremerton</t>
  </si>
  <si>
    <t>Tri-Cities</t>
  </si>
  <si>
    <t>Longview</t>
  </si>
  <si>
    <t>Walla Walla</t>
  </si>
  <si>
    <t>Wenatchee</t>
  </si>
  <si>
    <t>Yakima</t>
  </si>
  <si>
    <t>Year</t>
  </si>
  <si>
    <t>Number of Homes Served</t>
  </si>
  <si>
    <t>Therm Savings</t>
  </si>
  <si>
    <t>Total Funds Paid Out to Agencies</t>
  </si>
  <si>
    <t>Average Rebate Per Home</t>
  </si>
  <si>
    <t>Avoided Cost Per Therm Paid for 30-Year Measures</t>
  </si>
  <si>
    <t>2020*</t>
  </si>
  <si>
    <t>Cycle 6 Total</t>
  </si>
  <si>
    <t>Program Budgets</t>
  </si>
  <si>
    <t>n/a</t>
  </si>
  <si>
    <t>Total Portfolio Expense</t>
  </si>
  <si>
    <r>
      <t xml:space="preserve">Implementation, rebate processing, </t>
    </r>
    <r>
      <rPr>
        <sz val="9"/>
        <rFont val="Arial"/>
        <family val="2"/>
      </rPr>
      <t>pilots</t>
    </r>
    <r>
      <rPr>
        <sz val="9"/>
        <color theme="1"/>
        <rFont val="Arial"/>
        <family val="2"/>
      </rPr>
      <t>, outreach for C/I, total for contractor is dependent on vendor goal achievement</t>
    </r>
  </si>
  <si>
    <t>Residential Pilots</t>
  </si>
  <si>
    <t>EM&amp;V - Third Party measure assessment annually</t>
  </si>
  <si>
    <t>RFP New Conservation Potential Assessment</t>
  </si>
  <si>
    <t>Table 2: Program Budgets</t>
  </si>
  <si>
    <t>Table 3: Direct Benefit to Customer Expenses</t>
  </si>
  <si>
    <t>Table 5: Service Territory Climate Zones</t>
  </si>
  <si>
    <r>
      <t>1</t>
    </r>
    <r>
      <rPr>
        <i/>
        <sz val="9"/>
        <color theme="1"/>
        <rFont val="Arial"/>
        <family val="2"/>
      </rPr>
      <t xml:space="preserve"> Budgets in this table are estimates and refer to administrative costs for program implementation, not rebates </t>
    </r>
  </si>
  <si>
    <t>Calendar Year 2024</t>
  </si>
  <si>
    <t>Calendar Year 2025</t>
  </si>
  <si>
    <t>Table 1: EEIP Goals 2024 &amp; 2025</t>
  </si>
  <si>
    <t>CY 2024</t>
  </si>
  <si>
    <t>CY 2025</t>
  </si>
  <si>
    <t>Total Incentives (from above)</t>
  </si>
  <si>
    <t>Conservation Potential Assessment (CY 2026/2027)</t>
  </si>
  <si>
    <t>Cascade Natural Gas – 2023 DBtC Category Clarifications</t>
  </si>
  <si>
    <t>*2025 Subject to change based on Annual Conservation Plan update</t>
  </si>
  <si>
    <t>2024 Program Budgets</t>
  </si>
  <si>
    <t>2025 Program Budget Estimates*</t>
  </si>
  <si>
    <t>Note on pilots - $200,000 for Residential and Commercial Pilots Annually. Itemized for Residential Program</t>
  </si>
  <si>
    <t>See LI Section</t>
  </si>
  <si>
    <t xml:space="preserve">Bonus coupons delivered by TAs to customers </t>
  </si>
  <si>
    <t>Bonus coupons delivered by TAs to customers</t>
  </si>
  <si>
    <t>Trade Ally support</t>
  </si>
  <si>
    <t>Residential &amp; Low-Income rebate processing, TA Program, program updates,</t>
  </si>
  <si>
    <t>2022*</t>
  </si>
  <si>
    <t>2023 BCP Labor Estimate</t>
  </si>
  <si>
    <t>2% Y.o.Y increase</t>
  </si>
  <si>
    <t>This section 2% Y.o.Y growth  (IRP Inflation Rate)</t>
  </si>
  <si>
    <t xml:space="preserve"> 30/70 C/I and Res split, previously approved by commission. </t>
  </si>
  <si>
    <r>
      <t>2</t>
    </r>
    <r>
      <rPr>
        <i/>
        <sz val="9"/>
        <color theme="1"/>
        <rFont val="Arial"/>
        <family val="2"/>
      </rPr>
      <t xml:space="preserve"> Therm targets have been developed with LoadMAP through the 2023 CPA</t>
    </r>
  </si>
  <si>
    <t>Staff, Implementation</t>
  </si>
  <si>
    <t>Staff allocated 70% residential/ 30% Commercial/ Industrial, Low-income + temporary staff</t>
  </si>
  <si>
    <t>Outreach: campaigns, web, postage</t>
  </si>
  <si>
    <t xml:space="preserve">DBtC - Cascade Natural Gas 2024 Conservation Budget </t>
  </si>
  <si>
    <t xml:space="preserve">DBtC - Cascade Natural Gas 2025 Conservation Budget </t>
  </si>
  <si>
    <t>Total 2024 Program Expense</t>
  </si>
  <si>
    <t>Total 2025 Program Expense</t>
  </si>
  <si>
    <t xml:space="preserve">*For gas programs, NEEA, EM&amp;V, and the CPA are excluded from DBtC </t>
  </si>
  <si>
    <t xml:space="preserve">CNGC Washington Commitment </t>
  </si>
  <si>
    <t>Table 7: NEEA Annual Cost Commitment</t>
  </si>
  <si>
    <t>Cycle 7 Total</t>
  </si>
  <si>
    <t>Table 4: DBtC</t>
  </si>
  <si>
    <t>Table 6: Weatherization Incentive Program Participation Levels &amp; Savings by Year</t>
  </si>
  <si>
    <r>
      <t>Figure 8: Cumulative UCT Achievable Economic Potential by Sector</t>
    </r>
    <r>
      <rPr>
        <sz val="9"/>
        <color rgb="FF000000"/>
        <rFont val="Arial"/>
        <family val="2"/>
      </rPr>
      <t> </t>
    </r>
  </si>
  <si>
    <r>
      <t>Figure 7: DSM Forecast by Potential Calculation</t>
    </r>
    <r>
      <rPr>
        <sz val="9"/>
        <color rgb="FF000000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</si>
</sst>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_);_(&quot;$&quot;* \(#,##0\);_(&quot;$&quot;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</font>
    <font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4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Wingdings"/>
      <charset val="2"/>
    </font>
    <font>
      <sz val="7"/>
      <color rgb="FF000000"/>
      <name val="Times New Roman"/>
      <family val="1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vertAlign val="superscript"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4DB0C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6" fontId="7" fillId="0" borderId="0" xfId="0" applyNumberFormat="1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2" fillId="9" borderId="9" xfId="0" applyFont="1" applyFill="1" applyBorder="1" applyAlignment="1">
      <alignment horizontal="center" vertical="center"/>
    </xf>
    <xf numFmtId="0" fontId="27" fillId="0" borderId="0" xfId="0" applyFont="1"/>
    <xf numFmtId="0" fontId="21" fillId="0" borderId="0" xfId="0" applyFont="1" applyAlignment="1">
      <alignment horizontal="center" vertical="center" wrapText="1"/>
    </xf>
    <xf numFmtId="0" fontId="10" fillId="0" borderId="0" xfId="0" applyFont="1"/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/>
    <xf numFmtId="165" fontId="30" fillId="0" borderId="0" xfId="0" applyNumberFormat="1" applyFont="1"/>
    <xf numFmtId="0" fontId="15" fillId="0" borderId="1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6" fillId="0" borderId="0" xfId="3" applyFill="1" applyBorder="1" applyAlignment="1">
      <alignment horizontal="center" vertical="center" wrapText="1"/>
    </xf>
    <xf numFmtId="165" fontId="10" fillId="0" borderId="0" xfId="0" applyNumberFormat="1" applyFont="1"/>
    <xf numFmtId="0" fontId="18" fillId="7" borderId="14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vertical="center"/>
    </xf>
    <xf numFmtId="0" fontId="15" fillId="8" borderId="15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5" fillId="11" borderId="1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5" fillId="11" borderId="13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0" fillId="0" borderId="0" xfId="1" applyNumberFormat="1" applyFont="1"/>
    <xf numFmtId="3" fontId="10" fillId="0" borderId="0" xfId="0" applyNumberFormat="1" applyFont="1"/>
    <xf numFmtId="0" fontId="15" fillId="11" borderId="9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30" fillId="0" borderId="18" xfId="0" applyFont="1" applyBorder="1" applyAlignment="1">
      <alignment horizontal="center" wrapText="1"/>
    </xf>
    <xf numFmtId="0" fontId="30" fillId="0" borderId="19" xfId="0" applyFont="1" applyBorder="1" applyAlignment="1">
      <alignment horizontal="center"/>
    </xf>
    <xf numFmtId="166" fontId="10" fillId="0" borderId="19" xfId="1" applyNumberFormat="1" applyFont="1" applyBorder="1"/>
    <xf numFmtId="166" fontId="10" fillId="0" borderId="0" xfId="0" applyNumberFormat="1" applyFont="1"/>
    <xf numFmtId="0" fontId="33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33" fillId="0" borderId="14" xfId="0" applyFont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11" borderId="15" xfId="0" applyFont="1" applyFill="1" applyBorder="1"/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5" fillId="11" borderId="13" xfId="0" applyFont="1" applyFill="1" applyBorder="1"/>
    <xf numFmtId="0" fontId="15" fillId="0" borderId="16" xfId="0" applyFont="1" applyBorder="1" applyAlignment="1">
      <alignment vertical="center" wrapText="1"/>
    </xf>
    <xf numFmtId="0" fontId="15" fillId="0" borderId="7" xfId="0" applyFont="1" applyBorder="1"/>
    <xf numFmtId="0" fontId="15" fillId="0" borderId="15" xfId="0" applyFont="1" applyBorder="1"/>
    <xf numFmtId="0" fontId="15" fillId="0" borderId="8" xfId="0" applyFont="1" applyBorder="1"/>
    <xf numFmtId="0" fontId="15" fillId="11" borderId="8" xfId="0" applyFont="1" applyFill="1" applyBorder="1"/>
    <xf numFmtId="0" fontId="34" fillId="9" borderId="9" xfId="0" applyFont="1" applyFill="1" applyBorder="1" applyAlignment="1">
      <alignment horizontal="center" vertical="center" wrapText="1"/>
    </xf>
    <xf numFmtId="6" fontId="22" fillId="9" borderId="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165" fontId="22" fillId="7" borderId="12" xfId="0" applyNumberFormat="1" applyFont="1" applyFill="1" applyBorder="1" applyAlignment="1">
      <alignment horizontal="center" vertical="center"/>
    </xf>
    <xf numFmtId="6" fontId="10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35" fillId="12" borderId="12" xfId="0" applyFont="1" applyFill="1" applyBorder="1" applyAlignment="1">
      <alignment horizontal="center" vertical="center" wrapText="1"/>
    </xf>
    <xf numFmtId="6" fontId="34" fillId="12" borderId="12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165" fontId="11" fillId="0" borderId="8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9" fontId="13" fillId="0" borderId="12" xfId="2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165" fontId="11" fillId="11" borderId="11" xfId="0" applyNumberFormat="1" applyFont="1" applyFill="1" applyBorder="1" applyAlignment="1">
      <alignment vertical="center" wrapText="1"/>
    </xf>
    <xf numFmtId="165" fontId="11" fillId="11" borderId="3" xfId="0" applyNumberFormat="1" applyFont="1" applyFill="1" applyBorder="1" applyAlignment="1">
      <alignment vertical="center" wrapText="1"/>
    </xf>
    <xf numFmtId="165" fontId="11" fillId="11" borderId="4" xfId="0" applyNumberFormat="1" applyFont="1" applyFill="1" applyBorder="1" applyAlignment="1">
      <alignment vertical="center" wrapText="1"/>
    </xf>
    <xf numFmtId="165" fontId="11" fillId="11" borderId="8" xfId="0" applyNumberFormat="1" applyFont="1" applyFill="1" applyBorder="1" applyAlignment="1">
      <alignment vertical="center" wrapText="1"/>
    </xf>
    <xf numFmtId="165" fontId="2" fillId="0" borderId="0" xfId="0" applyNumberFormat="1" applyFont="1"/>
    <xf numFmtId="0" fontId="11" fillId="0" borderId="0" xfId="0" applyFont="1"/>
    <xf numFmtId="6" fontId="7" fillId="4" borderId="11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6" fontId="9" fillId="2" borderId="12" xfId="0" applyNumberFormat="1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 vertical="center"/>
    </xf>
    <xf numFmtId="165" fontId="39" fillId="13" borderId="12" xfId="0" applyNumberFormat="1" applyFont="1" applyFill="1" applyBorder="1" applyAlignment="1">
      <alignment vertical="center" wrapText="1"/>
    </xf>
    <xf numFmtId="165" fontId="38" fillId="13" borderId="12" xfId="0" applyNumberFormat="1" applyFont="1" applyFill="1" applyBorder="1"/>
    <xf numFmtId="9" fontId="16" fillId="13" borderId="12" xfId="2" applyFont="1" applyFill="1" applyBorder="1" applyAlignment="1">
      <alignment horizontal="center" vertical="center"/>
    </xf>
    <xf numFmtId="165" fontId="13" fillId="0" borderId="8" xfId="0" applyNumberFormat="1" applyFont="1" applyBorder="1" applyAlignment="1">
      <alignment vertical="center" wrapText="1"/>
    </xf>
    <xf numFmtId="0" fontId="40" fillId="0" borderId="8" xfId="0" applyFont="1" applyBorder="1" applyAlignment="1">
      <alignment horizontal="right" vertical="center" wrapText="1"/>
    </xf>
    <xf numFmtId="0" fontId="40" fillId="0" borderId="24" xfId="0" applyFont="1" applyBorder="1" applyAlignment="1">
      <alignment horizontal="right" vertical="center" wrapText="1"/>
    </xf>
    <xf numFmtId="0" fontId="40" fillId="0" borderId="25" xfId="0" applyFont="1" applyBorder="1" applyAlignment="1">
      <alignment horizontal="right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23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center" wrapText="1" indent="2"/>
    </xf>
    <xf numFmtId="0" fontId="0" fillId="0" borderId="1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4" fillId="0" borderId="26" xfId="0" applyFont="1" applyBorder="1" applyAlignment="1">
      <alignment horizontal="left" vertical="center" wrapText="1" indent="2"/>
    </xf>
    <xf numFmtId="0" fontId="44" fillId="0" borderId="23" xfId="0" applyFont="1" applyBorder="1" applyAlignment="1">
      <alignment horizontal="left" vertical="center" wrapText="1" indent="2"/>
    </xf>
    <xf numFmtId="0" fontId="42" fillId="0" borderId="26" xfId="0" applyFont="1" applyBorder="1" applyAlignment="1">
      <alignment horizontal="left" vertical="center" wrapText="1" indent="2"/>
    </xf>
    <xf numFmtId="0" fontId="42" fillId="0" borderId="23" xfId="0" applyFont="1" applyBorder="1" applyAlignment="1">
      <alignment horizontal="left" vertical="center" wrapText="1" indent="2"/>
    </xf>
    <xf numFmtId="0" fontId="42" fillId="0" borderId="8" xfId="0" applyFont="1" applyBorder="1" applyAlignment="1">
      <alignment horizontal="left" vertical="center" wrapText="1" indent="2"/>
    </xf>
    <xf numFmtId="0" fontId="42" fillId="0" borderId="26" xfId="0" applyFont="1" applyBorder="1" applyAlignment="1">
      <alignment horizontal="justify" vertical="center" wrapText="1"/>
    </xf>
    <xf numFmtId="0" fontId="0" fillId="0" borderId="23" xfId="0" applyBorder="1" applyAlignment="1">
      <alignment vertical="center" wrapText="1"/>
    </xf>
    <xf numFmtId="0" fontId="48" fillId="0" borderId="9" xfId="0" applyFont="1" applyBorder="1" applyAlignment="1">
      <alignment horizontal="justify" vertical="center" wrapText="1"/>
    </xf>
    <xf numFmtId="0" fontId="48" fillId="0" borderId="8" xfId="0" applyFont="1" applyBorder="1" applyAlignment="1">
      <alignment horizontal="justify" vertical="center" wrapText="1"/>
    </xf>
    <xf numFmtId="0" fontId="46" fillId="0" borderId="9" xfId="0" applyFont="1" applyBorder="1" applyAlignment="1">
      <alignment horizontal="justify" vertical="center" wrapText="1"/>
    </xf>
    <xf numFmtId="0" fontId="46" fillId="0" borderId="8" xfId="0" applyFont="1" applyBorder="1" applyAlignment="1">
      <alignment horizontal="justify" vertical="center" wrapText="1"/>
    </xf>
    <xf numFmtId="0" fontId="47" fillId="15" borderId="11" xfId="0" applyFont="1" applyFill="1" applyBorder="1" applyAlignment="1">
      <alignment vertical="center" wrapText="1"/>
    </xf>
    <xf numFmtId="0" fontId="47" fillId="15" borderId="3" xfId="0" applyFont="1" applyFill="1" applyBorder="1" applyAlignment="1">
      <alignment vertical="center" wrapText="1"/>
    </xf>
    <xf numFmtId="0" fontId="47" fillId="15" borderId="4" xfId="0" applyFont="1" applyFill="1" applyBorder="1" applyAlignment="1">
      <alignment vertical="center" wrapText="1"/>
    </xf>
    <xf numFmtId="0" fontId="46" fillId="0" borderId="11" xfId="0" applyFont="1" applyBorder="1" applyAlignment="1">
      <alignment vertical="center" wrapText="1"/>
    </xf>
    <xf numFmtId="0" fontId="46" fillId="0" borderId="3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  <xf numFmtId="0" fontId="47" fillId="17" borderId="12" xfId="0" applyFont="1" applyFill="1" applyBorder="1" applyAlignment="1">
      <alignment horizontal="center" vertical="center" wrapText="1"/>
    </xf>
    <xf numFmtId="0" fontId="29" fillId="17" borderId="4" xfId="0" applyFont="1" applyFill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6" fontId="29" fillId="8" borderId="8" xfId="0" applyNumberFormat="1" applyFont="1" applyFill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6" fontId="51" fillId="0" borderId="8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6" fontId="20" fillId="0" borderId="12" xfId="0" applyNumberFormat="1" applyFont="1" applyBorder="1" applyAlignment="1">
      <alignment horizontal="center" vertical="center" wrapText="1"/>
    </xf>
    <xf numFmtId="165" fontId="34" fillId="7" borderId="8" xfId="0" applyNumberFormat="1" applyFont="1" applyFill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 wrapText="1"/>
    </xf>
    <xf numFmtId="165" fontId="18" fillId="9" borderId="12" xfId="0" applyNumberFormat="1" applyFont="1" applyFill="1" applyBorder="1" applyAlignment="1">
      <alignment horizontal="center" vertical="center" wrapText="1"/>
    </xf>
    <xf numFmtId="0" fontId="35" fillId="18" borderId="9" xfId="0" applyFont="1" applyFill="1" applyBorder="1" applyAlignment="1">
      <alignment horizontal="center" vertical="center" wrapText="1"/>
    </xf>
    <xf numFmtId="6" fontId="18" fillId="7" borderId="12" xfId="0" applyNumberFormat="1" applyFont="1" applyFill="1" applyBorder="1" applyAlignment="1">
      <alignment horizontal="center" vertical="center" wrapText="1"/>
    </xf>
    <xf numFmtId="6" fontId="18" fillId="19" borderId="12" xfId="0" applyNumberFormat="1" applyFont="1" applyFill="1" applyBorder="1" applyAlignment="1">
      <alignment horizontal="center" vertical="center" wrapText="1"/>
    </xf>
    <xf numFmtId="0" fontId="52" fillId="5" borderId="12" xfId="0" applyFont="1" applyFill="1" applyBorder="1" applyAlignment="1">
      <alignment horizontal="center" vertical="center"/>
    </xf>
    <xf numFmtId="6" fontId="53" fillId="5" borderId="12" xfId="0" applyNumberFormat="1" applyFont="1" applyFill="1" applyBorder="1" applyAlignment="1">
      <alignment horizontal="center" vertical="center" wrapText="1"/>
    </xf>
    <xf numFmtId="0" fontId="34" fillId="18" borderId="12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/>
    </xf>
    <xf numFmtId="0" fontId="23" fillId="18" borderId="10" xfId="0" applyFont="1" applyFill="1" applyBorder="1" applyAlignment="1">
      <alignment horizontal="center" vertical="center"/>
    </xf>
    <xf numFmtId="166" fontId="54" fillId="0" borderId="19" xfId="0" applyNumberFormat="1" applyFont="1" applyBorder="1"/>
    <xf numFmtId="166" fontId="54" fillId="0" borderId="19" xfId="1" applyNumberFormat="1" applyFont="1" applyBorder="1"/>
    <xf numFmtId="0" fontId="23" fillId="18" borderId="9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23" fillId="18" borderId="13" xfId="0" applyFont="1" applyFill="1" applyBorder="1" applyAlignment="1">
      <alignment horizontal="center" vertical="center" wrapText="1"/>
    </xf>
    <xf numFmtId="6" fontId="25" fillId="18" borderId="15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6" fontId="17" fillId="5" borderId="9" xfId="0" applyNumberFormat="1" applyFont="1" applyFill="1" applyBorder="1" applyAlignment="1">
      <alignment horizontal="center" vertical="center"/>
    </xf>
    <xf numFmtId="0" fontId="35" fillId="18" borderId="13" xfId="0" applyFont="1" applyFill="1" applyBorder="1" applyAlignment="1">
      <alignment horizontal="center" vertical="center" wrapText="1"/>
    </xf>
    <xf numFmtId="6" fontId="32" fillId="18" borderId="15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4" xfId="0" applyNumberFormat="1" applyFont="1" applyBorder="1" applyAlignment="1">
      <alignment vertical="center" wrapText="1"/>
    </xf>
    <xf numFmtId="167" fontId="11" fillId="0" borderId="11" xfId="0" applyNumberFormat="1" applyFont="1" applyBorder="1" applyAlignment="1">
      <alignment vertical="center" wrapText="1"/>
    </xf>
    <xf numFmtId="165" fontId="39" fillId="0" borderId="16" xfId="0" applyNumberFormat="1" applyFont="1" applyBorder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6" fontId="7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6" fontId="20" fillId="0" borderId="12" xfId="0" applyNumberFormat="1" applyFont="1" applyFill="1" applyBorder="1" applyAlignment="1">
      <alignment horizontal="center" vertical="center" wrapText="1"/>
    </xf>
    <xf numFmtId="165" fontId="15" fillId="0" borderId="29" xfId="0" applyNumberFormat="1" applyFont="1" applyFill="1" applyBorder="1" applyAlignment="1">
      <alignment vertical="center" wrapText="1"/>
    </xf>
    <xf numFmtId="6" fontId="20" fillId="0" borderId="8" xfId="0" applyNumberFormat="1" applyFont="1" applyFill="1" applyBorder="1" applyAlignment="1">
      <alignment horizontal="center" vertical="center" wrapText="1"/>
    </xf>
    <xf numFmtId="6" fontId="7" fillId="0" borderId="21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51" fillId="0" borderId="0" xfId="0" applyFont="1"/>
    <xf numFmtId="6" fontId="19" fillId="0" borderId="12" xfId="0" applyNumberFormat="1" applyFont="1" applyFill="1" applyBorder="1" applyAlignment="1">
      <alignment horizontal="center" vertical="center"/>
    </xf>
    <xf numFmtId="6" fontId="19" fillId="0" borderId="8" xfId="0" applyNumberFormat="1" applyFont="1" applyFill="1" applyBorder="1" applyAlignment="1">
      <alignment horizontal="center" vertical="center"/>
    </xf>
    <xf numFmtId="165" fontId="19" fillId="0" borderId="8" xfId="0" applyNumberFormat="1" applyFont="1" applyFill="1" applyBorder="1" applyAlignment="1">
      <alignment horizontal="center" vertical="center"/>
    </xf>
    <xf numFmtId="6" fontId="32" fillId="0" borderId="9" xfId="0" applyNumberFormat="1" applyFont="1" applyFill="1" applyBorder="1" applyAlignment="1">
      <alignment horizontal="center" vertical="center"/>
    </xf>
    <xf numFmtId="6" fontId="24" fillId="0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6" fontId="11" fillId="0" borderId="8" xfId="0" applyNumberFormat="1" applyFont="1" applyBorder="1" applyAlignment="1">
      <alignment horizontal="center" vertical="center" wrapText="1"/>
    </xf>
    <xf numFmtId="8" fontId="11" fillId="0" borderId="8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6" fontId="11" fillId="0" borderId="4" xfId="0" applyNumberFormat="1" applyFont="1" applyBorder="1" applyAlignment="1">
      <alignment horizontal="center" vertical="center" wrapText="1"/>
    </xf>
    <xf numFmtId="8" fontId="11" fillId="0" borderId="4" xfId="0" applyNumberFormat="1" applyFont="1" applyBorder="1" applyAlignment="1">
      <alignment horizontal="center" vertical="center" wrapText="1"/>
    </xf>
    <xf numFmtId="8" fontId="11" fillId="0" borderId="8" xfId="0" applyNumberFormat="1" applyFont="1" applyFill="1" applyBorder="1" applyAlignment="1">
      <alignment horizontal="center" vertical="center" wrapText="1"/>
    </xf>
    <xf numFmtId="167" fontId="8" fillId="0" borderId="19" xfId="0" applyNumberFormat="1" applyFont="1" applyFill="1" applyBorder="1" applyAlignment="1">
      <alignment horizontal="right" vertical="center"/>
    </xf>
    <xf numFmtId="6" fontId="8" fillId="0" borderId="19" xfId="0" applyNumberFormat="1" applyFont="1" applyFill="1" applyBorder="1" applyAlignment="1">
      <alignment horizontal="right" vertical="center" wrapText="1"/>
    </xf>
    <xf numFmtId="6" fontId="8" fillId="0" borderId="19" xfId="0" applyNumberFormat="1" applyFont="1" applyFill="1" applyBorder="1" applyAlignment="1">
      <alignment horizontal="right" vertical="center"/>
    </xf>
    <xf numFmtId="6" fontId="8" fillId="0" borderId="22" xfId="0" applyNumberFormat="1" applyFont="1" applyFill="1" applyBorder="1" applyAlignment="1">
      <alignment horizontal="right" vertical="center"/>
    </xf>
    <xf numFmtId="165" fontId="11" fillId="0" borderId="15" xfId="0" applyNumberFormat="1" applyFont="1" applyFill="1" applyBorder="1" applyAlignment="1">
      <alignment vertical="center" wrapText="1"/>
    </xf>
    <xf numFmtId="6" fontId="34" fillId="19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/>
    <xf numFmtId="6" fontId="51" fillId="0" borderId="8" xfId="5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9" fillId="0" borderId="11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165" fontId="19" fillId="0" borderId="11" xfId="0" applyNumberFormat="1" applyFont="1" applyFill="1" applyBorder="1" applyAlignment="1">
      <alignment horizontal="center" vertical="center"/>
    </xf>
    <xf numFmtId="165" fontId="19" fillId="0" borderId="4" xfId="0" applyNumberFormat="1" applyFont="1" applyFill="1" applyBorder="1" applyAlignment="1">
      <alignment horizontal="center" vertical="center"/>
    </xf>
    <xf numFmtId="165" fontId="19" fillId="0" borderId="11" xfId="1" applyNumberFormat="1" applyFont="1" applyFill="1" applyBorder="1" applyAlignment="1">
      <alignment horizontal="center" vertical="center"/>
    </xf>
    <xf numFmtId="165" fontId="19" fillId="0" borderId="4" xfId="1" applyNumberFormat="1" applyFont="1" applyFill="1" applyBorder="1" applyAlignment="1">
      <alignment horizontal="center" vertical="center"/>
    </xf>
    <xf numFmtId="165" fontId="22" fillId="7" borderId="11" xfId="0" applyNumberFormat="1" applyFont="1" applyFill="1" applyBorder="1" applyAlignment="1">
      <alignment horizontal="center" vertical="center"/>
    </xf>
    <xf numFmtId="165" fontId="22" fillId="7" borderId="4" xfId="0" applyNumberFormat="1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165" fontId="15" fillId="0" borderId="11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165" fontId="22" fillId="9" borderId="11" xfId="0" applyNumberFormat="1" applyFont="1" applyFill="1" applyBorder="1" applyAlignment="1">
      <alignment horizontal="center" vertical="center" wrapText="1"/>
    </xf>
    <xf numFmtId="165" fontId="22" fillId="9" borderId="4" xfId="0" applyNumberFormat="1" applyFont="1" applyFill="1" applyBorder="1" applyAlignment="1">
      <alignment horizontal="center" vertical="center" wrapText="1"/>
    </xf>
    <xf numFmtId="6" fontId="53" fillId="5" borderId="11" xfId="0" applyNumberFormat="1" applyFont="1" applyFill="1" applyBorder="1" applyAlignment="1">
      <alignment horizontal="center" vertical="center"/>
    </xf>
    <xf numFmtId="6" fontId="53" fillId="5" borderId="4" xfId="0" applyNumberFormat="1" applyFont="1" applyFill="1" applyBorder="1" applyAlignment="1">
      <alignment horizontal="center" vertical="center"/>
    </xf>
    <xf numFmtId="165" fontId="53" fillId="5" borderId="11" xfId="0" applyNumberFormat="1" applyFont="1" applyFill="1" applyBorder="1" applyAlignment="1">
      <alignment horizontal="center" vertical="center"/>
    </xf>
    <xf numFmtId="165" fontId="53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6" fontId="34" fillId="0" borderId="11" xfId="0" applyNumberFormat="1" applyFont="1" applyFill="1" applyBorder="1" applyAlignment="1">
      <alignment horizontal="center" vertical="center" wrapText="1"/>
    </xf>
    <xf numFmtId="6" fontId="34" fillId="0" borderId="4" xfId="0" applyNumberFormat="1" applyFont="1" applyFill="1" applyBorder="1" applyAlignment="1">
      <alignment horizontal="center" vertical="center" wrapText="1"/>
    </xf>
    <xf numFmtId="165" fontId="18" fillId="0" borderId="11" xfId="0" applyNumberFormat="1" applyFont="1" applyFill="1" applyBorder="1" applyAlignment="1">
      <alignment horizontal="center" vertical="center"/>
    </xf>
    <xf numFmtId="165" fontId="18" fillId="0" borderId="4" xfId="0" applyNumberFormat="1" applyFont="1" applyFill="1" applyBorder="1" applyAlignment="1">
      <alignment horizontal="center" vertical="center"/>
    </xf>
    <xf numFmtId="165" fontId="22" fillId="11" borderId="11" xfId="0" applyNumberFormat="1" applyFont="1" applyFill="1" applyBorder="1" applyAlignment="1">
      <alignment horizontal="center" vertical="center"/>
    </xf>
    <xf numFmtId="165" fontId="22" fillId="11" borderId="3" xfId="0" applyNumberFormat="1" applyFont="1" applyFill="1" applyBorder="1" applyAlignment="1">
      <alignment horizontal="center" vertical="center"/>
    </xf>
    <xf numFmtId="165" fontId="22" fillId="11" borderId="4" xfId="0" applyNumberFormat="1" applyFont="1" applyFill="1" applyBorder="1" applyAlignment="1">
      <alignment horizontal="center" vertical="center"/>
    </xf>
    <xf numFmtId="0" fontId="34" fillId="18" borderId="11" xfId="0" applyFont="1" applyFill="1" applyBorder="1" applyAlignment="1">
      <alignment horizontal="center" vertical="center" wrapText="1"/>
    </xf>
    <xf numFmtId="0" fontId="34" fillId="18" borderId="3" xfId="0" applyFont="1" applyFill="1" applyBorder="1" applyAlignment="1">
      <alignment horizontal="center" vertical="center" wrapText="1"/>
    </xf>
    <xf numFmtId="0" fontId="34" fillId="18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5" fontId="22" fillId="0" borderId="11" xfId="0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6" borderId="11" xfId="0" applyFont="1" applyFill="1" applyBorder="1" applyAlignment="1">
      <alignment horizontal="center" vertical="center"/>
    </xf>
    <xf numFmtId="0" fontId="41" fillId="6" borderId="3" xfId="0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justify" vertical="center" wrapText="1"/>
    </xf>
    <xf numFmtId="0" fontId="28" fillId="0" borderId="13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justify" vertical="center" wrapText="1"/>
    </xf>
    <xf numFmtId="0" fontId="36" fillId="14" borderId="11" xfId="0" applyFont="1" applyFill="1" applyBorder="1" applyAlignment="1">
      <alignment horizontal="center"/>
    </xf>
    <xf numFmtId="0" fontId="36" fillId="14" borderId="3" xfId="0" applyFont="1" applyFill="1" applyBorder="1" applyAlignment="1">
      <alignment horizontal="center"/>
    </xf>
    <xf numFmtId="0" fontId="36" fillId="14" borderId="4" xfId="0" applyFont="1" applyFill="1" applyBorder="1" applyAlignment="1">
      <alignment horizontal="center"/>
    </xf>
    <xf numFmtId="0" fontId="16" fillId="13" borderId="11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3" fillId="16" borderId="11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6" fillId="0" borderId="17" xfId="0" applyFont="1" applyBorder="1" applyAlignment="1">
      <alignment horizontal="left" vertical="center" wrapText="1"/>
    </xf>
  </cellXfs>
  <cellStyles count="6">
    <cellStyle name="Comma" xfId="1" builtinId="3"/>
    <cellStyle name="Currency" xfId="5" builtinId="4"/>
    <cellStyle name="Hyperlink" xfId="3" builtinId="8"/>
    <cellStyle name="Normal" xfId="0" builtinId="0"/>
    <cellStyle name="Normal 2" xfId="4" xr:uid="{02B0F892-F1FF-4113-AC2C-A15784CD7239}"/>
    <cellStyle name="Percent" xfId="2" builtinId="5"/>
  </cellStyles>
  <dxfs count="0"/>
  <tableStyles count="0" defaultTableStyle="TableStyleMedium2" defaultPivotStyle="PivotStyleLight16"/>
  <colors>
    <mruColors>
      <color rgb="FF4DB0C7"/>
      <color rgb="FFFBD4B4"/>
      <color rgb="FF9BBB59"/>
      <color rgb="FF31869B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130966</xdr:rowOff>
    </xdr:from>
    <xdr:to>
      <xdr:col>12</xdr:col>
      <xdr:colOff>609600</xdr:colOff>
      <xdr:row>33</xdr:row>
      <xdr:rowOff>152397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CCE4FE-7FE2-FD3C-2B39-A6AD0CE7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726279"/>
          <a:ext cx="11980069" cy="5736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</xdr:row>
      <xdr:rowOff>-1</xdr:rowOff>
    </xdr:from>
    <xdr:to>
      <xdr:col>31</xdr:col>
      <xdr:colOff>419100</xdr:colOff>
      <xdr:row>18</xdr:row>
      <xdr:rowOff>11906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F54D0B-BF94-1587-5F09-8B584890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6938" y="785812"/>
          <a:ext cx="14147006" cy="2678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9</xdr:row>
      <xdr:rowOff>133350</xdr:rowOff>
    </xdr:from>
    <xdr:to>
      <xdr:col>3</xdr:col>
      <xdr:colOff>781050</xdr:colOff>
      <xdr:row>9</xdr:row>
      <xdr:rowOff>2438400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FD9516CB-878F-4424-935C-519A25B5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" b="31503"/>
        <a:stretch>
          <a:fillRect/>
        </a:stretch>
      </xdr:blipFill>
      <xdr:spPr bwMode="auto">
        <a:xfrm>
          <a:off x="1905000" y="1943100"/>
          <a:ext cx="344805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EEC7-00B7-49AD-8CBF-0904F1DA97D3}">
  <dimension ref="B2:P3"/>
  <sheetViews>
    <sheetView zoomScale="80" zoomScaleNormal="80" workbookViewId="0">
      <selection activeCell="I43" sqref="I43"/>
    </sheetView>
  </sheetViews>
  <sheetFormatPr defaultRowHeight="15" x14ac:dyDescent="0.25"/>
  <cols>
    <col min="2" max="2" width="30.5703125" bestFit="1" customWidth="1"/>
    <col min="3" max="3" width="12.140625" bestFit="1" customWidth="1"/>
    <col min="4" max="4" width="14.28515625" bestFit="1" customWidth="1"/>
    <col min="5" max="5" width="10.85546875" bestFit="1" customWidth="1"/>
    <col min="6" max="7" width="12.140625" bestFit="1" customWidth="1"/>
    <col min="9" max="9" width="32.85546875" customWidth="1"/>
    <col min="10" max="14" width="12.140625" bestFit="1" customWidth="1"/>
    <col min="16" max="16" width="40" bestFit="1" customWidth="1"/>
    <col min="17" max="17" width="13.140625" bestFit="1" customWidth="1"/>
    <col min="18" max="18" width="12.85546875" customWidth="1"/>
    <col min="19" max="21" width="13.140625" bestFit="1" customWidth="1"/>
  </cols>
  <sheetData>
    <row r="2" spans="2:16" ht="15.75" x14ac:dyDescent="0.25">
      <c r="B2" s="169"/>
    </row>
    <row r="3" spans="2:16" ht="15.75" x14ac:dyDescent="0.25">
      <c r="B3" s="194" t="s">
        <v>163</v>
      </c>
      <c r="O3" s="169"/>
      <c r="P3" s="194" t="s">
        <v>162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11D7-E1FA-477B-A71F-3D2E87E90074}">
  <dimension ref="A1:L15"/>
  <sheetViews>
    <sheetView zoomScale="145" zoomScaleNormal="145" workbookViewId="0">
      <selection activeCell="C3" sqref="C3"/>
    </sheetView>
  </sheetViews>
  <sheetFormatPr defaultRowHeight="15" x14ac:dyDescent="0.25"/>
  <cols>
    <col min="3" max="3" width="9.5703125" bestFit="1" customWidth="1"/>
    <col min="4" max="4" width="9.85546875" bestFit="1" customWidth="1"/>
    <col min="5" max="5" width="9.28515625" bestFit="1" customWidth="1"/>
    <col min="6" max="6" width="10.140625" customWidth="1"/>
    <col min="7" max="7" width="9.140625" bestFit="1" customWidth="1"/>
    <col min="9" max="9" width="9.28515625" customWidth="1"/>
    <col min="11" max="11" width="9.42578125" style="70" customWidth="1"/>
  </cols>
  <sheetData>
    <row r="1" spans="1:12" x14ac:dyDescent="0.25">
      <c r="A1" s="207" t="s">
        <v>128</v>
      </c>
      <c r="B1" s="207"/>
      <c r="C1" s="207"/>
    </row>
    <row r="3" spans="1:12" ht="15.75" thickBot="1" x14ac:dyDescent="0.3"/>
    <row r="4" spans="1:12" ht="15.75" customHeight="1" thickBot="1" x14ac:dyDescent="0.3">
      <c r="B4" s="7"/>
      <c r="C4" s="208" t="s">
        <v>126</v>
      </c>
      <c r="D4" s="209"/>
      <c r="E4" s="209"/>
      <c r="F4" s="210"/>
      <c r="G4" s="208" t="s">
        <v>127</v>
      </c>
      <c r="H4" s="209"/>
      <c r="I4" s="209"/>
      <c r="J4" s="210"/>
      <c r="K4" s="196" t="s">
        <v>47</v>
      </c>
    </row>
    <row r="5" spans="1:12" ht="23.25" thickBot="1" x14ac:dyDescent="0.3">
      <c r="B5" s="8"/>
      <c r="C5" s="1" t="s">
        <v>0</v>
      </c>
      <c r="D5" s="2" t="s">
        <v>1</v>
      </c>
      <c r="E5" s="1" t="s">
        <v>2</v>
      </c>
      <c r="F5" s="1" t="s">
        <v>7</v>
      </c>
      <c r="G5" s="71" t="s">
        <v>0</v>
      </c>
      <c r="H5" s="3" t="s">
        <v>1</v>
      </c>
      <c r="I5" s="1" t="s">
        <v>2</v>
      </c>
      <c r="J5" s="1" t="s">
        <v>8</v>
      </c>
      <c r="K5" s="197"/>
    </row>
    <row r="6" spans="1:12" ht="34.5" thickBot="1" x14ac:dyDescent="0.3">
      <c r="B6" s="4" t="s">
        <v>46</v>
      </c>
      <c r="C6" s="160">
        <f>150000+100000+7025+20750+5175+8250+25640+11823.21+5000+37000+10000+20800+69000+4000+162000+13000+1596+195315+21600+38500+675+200000+'Appendix Table 2 details'!L17</f>
        <v>1708245.87512</v>
      </c>
      <c r="D6" s="165">
        <f>894300+200000+'Appendix Table 2 details'!K17</f>
        <v>1351912.8564800001</v>
      </c>
      <c r="E6" s="166">
        <v>459191</v>
      </c>
      <c r="F6" s="166">
        <f>SUM(C6:E6)</f>
        <v>3519349.7316000001</v>
      </c>
      <c r="G6" s="167">
        <f>C6*1.02</f>
        <v>1742410.7926224</v>
      </c>
      <c r="H6" s="160">
        <f>990640+200000+'Appendix Table 2 details'!K50</f>
        <v>1453405.1136095999</v>
      </c>
      <c r="I6" s="166">
        <v>517391</v>
      </c>
      <c r="J6" s="160">
        <f>SUM(G6:I6)</f>
        <v>3713206.9062319999</v>
      </c>
      <c r="K6" s="87">
        <f>SUM(F6,J6)</f>
        <v>7232556.6378319999</v>
      </c>
      <c r="L6" s="10"/>
    </row>
    <row r="7" spans="1:12" ht="23.25" thickBot="1" x14ac:dyDescent="0.3">
      <c r="B7" s="4" t="s">
        <v>3</v>
      </c>
      <c r="C7" s="162">
        <f>446143-E7</f>
        <v>426621</v>
      </c>
      <c r="D7" s="162">
        <f>300711+67989</f>
        <v>368700</v>
      </c>
      <c r="E7" s="168">
        <v>19522</v>
      </c>
      <c r="F7" s="162">
        <f>SUM(C7:E7)</f>
        <v>814843</v>
      </c>
      <c r="G7" s="163">
        <f>969752-C7-E7-I7</f>
        <v>502044</v>
      </c>
      <c r="H7" s="162">
        <f>670319+142141-D7</f>
        <v>443760</v>
      </c>
      <c r="I7" s="168">
        <v>21565</v>
      </c>
      <c r="J7" s="162">
        <f>SUM(G7:I7)</f>
        <v>967369</v>
      </c>
      <c r="K7" s="85">
        <f>SUM(F7,J7)</f>
        <v>1782212</v>
      </c>
    </row>
    <row r="8" spans="1:12" ht="15.75" thickBot="1" x14ac:dyDescent="0.3">
      <c r="B8" s="198" t="s">
        <v>4</v>
      </c>
      <c r="C8" s="199"/>
      <c r="D8" s="199"/>
      <c r="E8" s="200"/>
      <c r="F8" s="164">
        <v>348908.4</v>
      </c>
      <c r="G8" s="201"/>
      <c r="H8" s="202"/>
      <c r="I8" s="203"/>
      <c r="J8" s="166">
        <v>651234</v>
      </c>
      <c r="K8" s="86">
        <f>SUM(F8,J8)</f>
        <v>1000142.4</v>
      </c>
    </row>
    <row r="9" spans="1:12" ht="15.75" thickBot="1" x14ac:dyDescent="0.3">
      <c r="B9" s="198" t="s">
        <v>5</v>
      </c>
      <c r="C9" s="199"/>
      <c r="D9" s="199"/>
      <c r="E9" s="204"/>
      <c r="F9" s="166">
        <v>31300</v>
      </c>
      <c r="G9" s="201"/>
      <c r="H9" s="202"/>
      <c r="I9" s="203"/>
      <c r="J9" s="160">
        <v>58421</v>
      </c>
      <c r="K9" s="86">
        <f>SUM(F9,J9)</f>
        <v>89721</v>
      </c>
    </row>
    <row r="10" spans="1:12" ht="15.75" thickBot="1" x14ac:dyDescent="0.3">
      <c r="B10" s="198" t="s">
        <v>39</v>
      </c>
      <c r="C10" s="199"/>
      <c r="D10" s="199"/>
      <c r="E10" s="204"/>
      <c r="F10" s="129">
        <f>97040+86620</f>
        <v>183660</v>
      </c>
      <c r="G10" s="125"/>
      <c r="H10" s="125"/>
      <c r="I10" s="126"/>
      <c r="J10" s="160">
        <f>94340</f>
        <v>94340</v>
      </c>
      <c r="K10" s="86">
        <f>SUM(F10,J10)</f>
        <v>278000</v>
      </c>
    </row>
    <row r="11" spans="1:12" ht="15.75" thickBot="1" x14ac:dyDescent="0.3">
      <c r="B11" s="198" t="s">
        <v>6</v>
      </c>
      <c r="C11" s="199"/>
      <c r="D11" s="199"/>
      <c r="E11" s="204"/>
      <c r="F11" s="84"/>
      <c r="G11" s="205"/>
      <c r="H11" s="205"/>
      <c r="I11" s="206"/>
      <c r="J11" s="161">
        <v>160000</v>
      </c>
      <c r="K11" s="86">
        <v>160000</v>
      </c>
    </row>
    <row r="13" spans="1:12" x14ac:dyDescent="0.25">
      <c r="B13" s="157" t="s">
        <v>125</v>
      </c>
    </row>
    <row r="14" spans="1:12" x14ac:dyDescent="0.25">
      <c r="B14" s="158" t="s">
        <v>148</v>
      </c>
    </row>
    <row r="15" spans="1:12" x14ac:dyDescent="0.25">
      <c r="B15" s="158"/>
    </row>
  </sheetData>
  <mergeCells count="11">
    <mergeCell ref="B10:E10"/>
    <mergeCell ref="B11:E11"/>
    <mergeCell ref="G11:I11"/>
    <mergeCell ref="A1:C1"/>
    <mergeCell ref="C4:F4"/>
    <mergeCell ref="G4:J4"/>
    <mergeCell ref="K4:K5"/>
    <mergeCell ref="B8:E8"/>
    <mergeCell ref="G8:I8"/>
    <mergeCell ref="B9:E9"/>
    <mergeCell ref="G9:I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63F3-D5A4-4081-A677-15D3DC7E37E2}">
  <dimension ref="A1:N48"/>
  <sheetViews>
    <sheetView topLeftCell="A3" zoomScale="160" zoomScaleNormal="160" workbookViewId="0">
      <selection activeCell="J14" sqref="J14"/>
    </sheetView>
  </sheetViews>
  <sheetFormatPr defaultRowHeight="15" x14ac:dyDescent="0.25"/>
  <cols>
    <col min="2" max="2" width="43.7109375" bestFit="1" customWidth="1"/>
    <col min="3" max="3" width="11.42578125" bestFit="1" customWidth="1"/>
    <col min="4" max="4" width="10.28515625" bestFit="1" customWidth="1"/>
    <col min="5" max="6" width="10.28515625" customWidth="1"/>
    <col min="7" max="7" width="14.7109375" bestFit="1" customWidth="1"/>
    <col min="9" max="9" width="20.85546875" customWidth="1"/>
    <col min="10" max="10" width="25.85546875" customWidth="1"/>
    <col min="11" max="11" width="13.140625" bestFit="1" customWidth="1"/>
    <col min="12" max="13" width="12.42578125" bestFit="1" customWidth="1"/>
  </cols>
  <sheetData>
    <row r="1" spans="1:14" x14ac:dyDescent="0.25">
      <c r="A1" s="238" t="s">
        <v>122</v>
      </c>
      <c r="B1" s="238"/>
    </row>
    <row r="2" spans="1:14" ht="15.75" thickBot="1" x14ac:dyDescent="0.3"/>
    <row r="3" spans="1:14" ht="16.5" thickBot="1" x14ac:dyDescent="0.3">
      <c r="B3" s="211" t="s">
        <v>115</v>
      </c>
      <c r="C3" s="212"/>
      <c r="D3" s="212"/>
      <c r="E3" s="212"/>
      <c r="F3" s="212"/>
      <c r="G3" s="213"/>
      <c r="H3" s="11"/>
      <c r="I3" s="12"/>
      <c r="J3" s="13"/>
      <c r="K3" s="13"/>
      <c r="L3" s="12"/>
      <c r="M3" s="12"/>
      <c r="N3" s="12"/>
    </row>
    <row r="4" spans="1:14" ht="15.75" thickBot="1" x14ac:dyDescent="0.3">
      <c r="B4" s="214" t="s">
        <v>9</v>
      </c>
      <c r="C4" s="215"/>
      <c r="D4" s="215"/>
      <c r="E4" s="215"/>
      <c r="F4" s="215"/>
      <c r="G4" s="216"/>
      <c r="H4" s="14"/>
      <c r="I4" s="12"/>
      <c r="J4" s="12"/>
      <c r="K4" s="12"/>
      <c r="L4" s="12"/>
      <c r="M4" s="12"/>
      <c r="N4" s="12"/>
    </row>
    <row r="5" spans="1:14" ht="15.75" thickBot="1" x14ac:dyDescent="0.3">
      <c r="B5" s="15" t="s">
        <v>10</v>
      </c>
      <c r="C5" s="217" t="s">
        <v>129</v>
      </c>
      <c r="D5" s="218"/>
      <c r="E5" s="217" t="s">
        <v>130</v>
      </c>
      <c r="F5" s="218"/>
      <c r="G5" s="16" t="s">
        <v>45</v>
      </c>
      <c r="H5" s="17"/>
      <c r="I5" s="18"/>
      <c r="J5" s="19"/>
      <c r="K5" s="18"/>
      <c r="L5" s="12"/>
      <c r="M5" s="12"/>
      <c r="N5" s="12"/>
    </row>
    <row r="6" spans="1:14" ht="15.75" thickBot="1" x14ac:dyDescent="0.3">
      <c r="B6" s="20" t="s">
        <v>0</v>
      </c>
      <c r="C6" s="219">
        <f>'Table 1'!C7*11.64</f>
        <v>4965868.4400000004</v>
      </c>
      <c r="D6" s="220"/>
      <c r="E6" s="221">
        <f>11.64*'Table 1'!G7</f>
        <v>5843792.1600000001</v>
      </c>
      <c r="F6" s="222"/>
      <c r="G6" s="44">
        <f>SUM(C6:F6)</f>
        <v>10809660.600000001</v>
      </c>
      <c r="H6" s="22"/>
      <c r="I6" s="12"/>
      <c r="J6" s="23"/>
      <c r="K6" s="12"/>
      <c r="L6" s="12"/>
      <c r="M6" s="12"/>
      <c r="N6" s="12"/>
    </row>
    <row r="7" spans="1:14" ht="15.75" thickBot="1" x14ac:dyDescent="0.3">
      <c r="B7" s="20" t="s">
        <v>16</v>
      </c>
      <c r="C7" s="221">
        <f>'Table 1'!D7*4.77</f>
        <v>1758698.9999999998</v>
      </c>
      <c r="D7" s="222"/>
      <c r="E7" s="221">
        <f>4.77*'Table 1'!H7</f>
        <v>2116735.1999999997</v>
      </c>
      <c r="F7" s="222"/>
      <c r="G7" s="44">
        <f t="shared" ref="G7" si="0">SUM(C7:F7)</f>
        <v>3875434.1999999993</v>
      </c>
      <c r="H7" s="22"/>
      <c r="I7" s="12"/>
      <c r="J7" s="23"/>
      <c r="K7" s="12"/>
      <c r="L7" s="12"/>
      <c r="M7" s="12"/>
      <c r="N7" s="12"/>
    </row>
    <row r="8" spans="1:14" ht="15.75" thickBot="1" x14ac:dyDescent="0.3">
      <c r="B8" s="20" t="s">
        <v>2</v>
      </c>
      <c r="C8" s="223">
        <v>1377574</v>
      </c>
      <c r="D8" s="224"/>
      <c r="E8" s="223">
        <v>1552173</v>
      </c>
      <c r="F8" s="224"/>
      <c r="G8" s="44">
        <f>SUM(C8:F8)</f>
        <v>2929747</v>
      </c>
      <c r="H8" s="22"/>
      <c r="I8" s="12"/>
      <c r="J8" s="12"/>
      <c r="K8" s="12"/>
      <c r="L8" s="12"/>
      <c r="M8" s="12"/>
      <c r="N8" s="12"/>
    </row>
    <row r="9" spans="1:14" ht="15.75" thickBot="1" x14ac:dyDescent="0.3">
      <c r="B9" s="24" t="s">
        <v>18</v>
      </c>
      <c r="C9" s="225">
        <f>SUM(C6:D8)</f>
        <v>8102141.4400000004</v>
      </c>
      <c r="D9" s="226"/>
      <c r="E9" s="225">
        <f>SUM(E6:F8)</f>
        <v>9512700.3599999994</v>
      </c>
      <c r="F9" s="226"/>
      <c r="G9" s="130">
        <f>SUM(C9:F9)</f>
        <v>17614841.800000001</v>
      </c>
      <c r="H9" s="27"/>
    </row>
    <row r="10" spans="1:14" ht="15.75" thickBot="1" x14ac:dyDescent="0.3">
      <c r="B10" s="227" t="s">
        <v>19</v>
      </c>
      <c r="C10" s="228"/>
      <c r="D10" s="228"/>
      <c r="E10" s="228"/>
      <c r="F10" s="228"/>
      <c r="G10" s="229"/>
      <c r="H10" s="28"/>
    </row>
    <row r="11" spans="1:14" ht="15.75" thickBot="1" x14ac:dyDescent="0.3">
      <c r="B11" s="29" t="s">
        <v>10</v>
      </c>
      <c r="C11" s="217" t="s">
        <v>129</v>
      </c>
      <c r="D11" s="218"/>
      <c r="E11" s="217" t="s">
        <v>130</v>
      </c>
      <c r="F11" s="218"/>
      <c r="G11" s="16" t="s">
        <v>45</v>
      </c>
      <c r="H11" s="31"/>
    </row>
    <row r="12" spans="1:14" ht="15.75" thickBot="1" x14ac:dyDescent="0.3">
      <c r="B12" s="20" t="s">
        <v>0</v>
      </c>
      <c r="C12" s="230">
        <f>'Table 1'!C6</f>
        <v>1708245.87512</v>
      </c>
      <c r="D12" s="231"/>
      <c r="E12" s="230">
        <f>'Table 1'!G6</f>
        <v>1742410.7926224</v>
      </c>
      <c r="F12" s="231"/>
      <c r="G12" s="131">
        <f>SUM(C12:F12)</f>
        <v>3450656.6677424</v>
      </c>
      <c r="H12" s="33"/>
    </row>
    <row r="13" spans="1:14" ht="15.75" thickBot="1" x14ac:dyDescent="0.3">
      <c r="B13" s="20" t="s">
        <v>16</v>
      </c>
      <c r="C13" s="230">
        <f>'Table 1'!D6</f>
        <v>1351912.8564800001</v>
      </c>
      <c r="D13" s="231"/>
      <c r="E13" s="230">
        <f>'Table 1'!H6</f>
        <v>1453405.1136095999</v>
      </c>
      <c r="F13" s="231"/>
      <c r="G13" s="131">
        <f t="shared" ref="G13:G15" si="1">SUM(C13:F13)</f>
        <v>2805317.9700896</v>
      </c>
      <c r="H13" s="33"/>
    </row>
    <row r="14" spans="1:14" ht="15.75" thickBot="1" x14ac:dyDescent="0.3">
      <c r="B14" s="20" t="s">
        <v>2</v>
      </c>
      <c r="C14" s="230">
        <f>'Table 1'!E6</f>
        <v>459191</v>
      </c>
      <c r="D14" s="231"/>
      <c r="E14" s="230">
        <f>'Table 1'!I6</f>
        <v>517391</v>
      </c>
      <c r="F14" s="231"/>
      <c r="G14" s="131">
        <f t="shared" si="1"/>
        <v>976582</v>
      </c>
      <c r="H14" s="33"/>
    </row>
    <row r="15" spans="1:14" ht="15.75" thickBot="1" x14ac:dyDescent="0.3">
      <c r="B15" s="9" t="s">
        <v>20</v>
      </c>
      <c r="C15" s="232">
        <f>SUM(C12:D14)</f>
        <v>3519349.7316000001</v>
      </c>
      <c r="D15" s="233"/>
      <c r="E15" s="232">
        <f>SUM(E12:F14)</f>
        <v>3713206.9062319999</v>
      </c>
      <c r="F15" s="233"/>
      <c r="G15" s="132">
        <f t="shared" si="1"/>
        <v>7232556.6378319999</v>
      </c>
      <c r="H15" s="33"/>
    </row>
    <row r="16" spans="1:14" ht="16.5" customHeight="1" thickBot="1" x14ac:dyDescent="0.3">
      <c r="B16" s="63" t="s">
        <v>131</v>
      </c>
      <c r="C16" s="225">
        <f>C9</f>
        <v>8102141.4400000004</v>
      </c>
      <c r="D16" s="226"/>
      <c r="E16" s="225">
        <f>E9</f>
        <v>9512700.3599999994</v>
      </c>
      <c r="F16" s="226"/>
      <c r="G16" s="134">
        <f t="shared" ref="G16:G19" si="2">SUM(C16:F16)</f>
        <v>17614841.800000001</v>
      </c>
      <c r="H16" s="33"/>
    </row>
    <row r="17" spans="2:8" ht="15.75" thickBot="1" x14ac:dyDescent="0.3">
      <c r="B17" s="67" t="s">
        <v>32</v>
      </c>
      <c r="C17" s="239">
        <f>'Table 1'!F8+'Table 1'!F9</f>
        <v>380208.4</v>
      </c>
      <c r="D17" s="240"/>
      <c r="E17" s="241">
        <f>'Table 1'!J8+'Table 1'!J9</f>
        <v>709655</v>
      </c>
      <c r="F17" s="242"/>
      <c r="G17" s="135">
        <f t="shared" si="2"/>
        <v>1089863.3999999999</v>
      </c>
      <c r="H17" s="33"/>
    </row>
    <row r="18" spans="2:8" ht="15.75" thickBot="1" x14ac:dyDescent="0.3">
      <c r="B18" s="67" t="s">
        <v>39</v>
      </c>
      <c r="C18" s="239">
        <f>'Table 1'!F10</f>
        <v>183660</v>
      </c>
      <c r="D18" s="240"/>
      <c r="E18" s="241">
        <f>'Table 1'!J10</f>
        <v>94340</v>
      </c>
      <c r="F18" s="242"/>
      <c r="G18" s="135">
        <f t="shared" si="2"/>
        <v>278000</v>
      </c>
      <c r="H18" s="33"/>
    </row>
    <row r="19" spans="2:8" ht="14.25" customHeight="1" thickBot="1" x14ac:dyDescent="0.3">
      <c r="B19" s="67" t="s">
        <v>132</v>
      </c>
      <c r="C19" s="239" t="s">
        <v>116</v>
      </c>
      <c r="D19" s="240"/>
      <c r="E19" s="241">
        <v>160000</v>
      </c>
      <c r="F19" s="242"/>
      <c r="G19" s="135">
        <f t="shared" si="2"/>
        <v>160000</v>
      </c>
      <c r="H19" s="33"/>
    </row>
    <row r="20" spans="2:8" ht="15.75" thickBot="1" x14ac:dyDescent="0.3">
      <c r="B20" s="136" t="s">
        <v>117</v>
      </c>
      <c r="C20" s="234">
        <f>SUM(C15:D18)</f>
        <v>12185359.571600001</v>
      </c>
      <c r="D20" s="235"/>
      <c r="E20" s="236">
        <f>SUM(E15:F19)</f>
        <v>14189902.266231999</v>
      </c>
      <c r="F20" s="237"/>
      <c r="G20" s="137">
        <f>SUM(C20:F20)</f>
        <v>26375261.837832</v>
      </c>
      <c r="H20" s="33"/>
    </row>
    <row r="21" spans="2:8" x14ac:dyDescent="0.25">
      <c r="B21" s="159"/>
    </row>
    <row r="46" ht="34.5" customHeight="1" x14ac:dyDescent="0.25"/>
    <row r="47" ht="28.5" customHeight="1" x14ac:dyDescent="0.25"/>
    <row r="48" ht="27" customHeight="1" x14ac:dyDescent="0.25"/>
  </sheetData>
  <mergeCells count="34">
    <mergeCell ref="C16:D16"/>
    <mergeCell ref="C20:D20"/>
    <mergeCell ref="E20:F20"/>
    <mergeCell ref="A1:B1"/>
    <mergeCell ref="C17:D17"/>
    <mergeCell ref="E17:F17"/>
    <mergeCell ref="C18:D18"/>
    <mergeCell ref="E18:F18"/>
    <mergeCell ref="C19:D19"/>
    <mergeCell ref="E19:F19"/>
    <mergeCell ref="E16:F16"/>
    <mergeCell ref="C13:D13"/>
    <mergeCell ref="E13:F13"/>
    <mergeCell ref="C14:D14"/>
    <mergeCell ref="E14:F14"/>
    <mergeCell ref="C15:D15"/>
    <mergeCell ref="E15:F15"/>
    <mergeCell ref="B10:G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B3:G3"/>
    <mergeCell ref="B4:G4"/>
    <mergeCell ref="C5:D5"/>
    <mergeCell ref="E5:F5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D975-F880-4DBF-B948-DFB26F768159}">
  <dimension ref="A1:N76"/>
  <sheetViews>
    <sheetView zoomScaleNormal="100" workbookViewId="0">
      <selection activeCell="Q53" sqref="Q53"/>
    </sheetView>
  </sheetViews>
  <sheetFormatPr defaultRowHeight="15" x14ac:dyDescent="0.25"/>
  <cols>
    <col min="2" max="2" width="43.7109375" bestFit="1" customWidth="1"/>
    <col min="3" max="3" width="11.42578125" bestFit="1" customWidth="1"/>
    <col min="4" max="4" width="10.28515625" bestFit="1" customWidth="1"/>
    <col min="5" max="5" width="11.7109375" customWidth="1"/>
    <col min="6" max="6" width="32.85546875" customWidth="1"/>
    <col min="7" max="7" width="0" hidden="1" customWidth="1"/>
    <col min="8" max="8" width="20.85546875" hidden="1" customWidth="1"/>
    <col min="9" max="9" width="25.85546875" hidden="1" customWidth="1"/>
    <col min="10" max="10" width="13.140625" hidden="1" customWidth="1"/>
    <col min="11" max="12" width="12.42578125" hidden="1" customWidth="1"/>
    <col min="13" max="15" width="0" hidden="1" customWidth="1"/>
  </cols>
  <sheetData>
    <row r="1" spans="1:14" x14ac:dyDescent="0.25">
      <c r="A1" s="238" t="s">
        <v>122</v>
      </c>
      <c r="B1" s="238"/>
    </row>
    <row r="2" spans="1:14" ht="15.75" thickBot="1" x14ac:dyDescent="0.3"/>
    <row r="3" spans="1:14" ht="16.5" thickBot="1" x14ac:dyDescent="0.3">
      <c r="B3" s="211" t="s">
        <v>135</v>
      </c>
      <c r="C3" s="212"/>
      <c r="D3" s="212"/>
      <c r="E3" s="212"/>
      <c r="F3" s="213"/>
      <c r="G3" s="11"/>
      <c r="H3" s="12"/>
      <c r="I3" s="13"/>
      <c r="J3" s="13"/>
      <c r="K3" s="12"/>
      <c r="L3" s="12"/>
      <c r="M3" s="12"/>
    </row>
    <row r="4" spans="1:14" ht="15.75" thickBot="1" x14ac:dyDescent="0.3">
      <c r="B4" s="214" t="s">
        <v>9</v>
      </c>
      <c r="C4" s="215"/>
      <c r="D4" s="215"/>
      <c r="E4" s="215"/>
      <c r="F4" s="216"/>
      <c r="G4" s="14"/>
      <c r="H4" s="12"/>
      <c r="I4" s="12"/>
      <c r="J4" s="12"/>
      <c r="K4" s="12"/>
      <c r="L4" s="12"/>
      <c r="M4" s="12"/>
    </row>
    <row r="5" spans="1:14" ht="24.75" thickBot="1" x14ac:dyDescent="0.3">
      <c r="B5" s="15" t="s">
        <v>10</v>
      </c>
      <c r="C5" s="217" t="s">
        <v>11</v>
      </c>
      <c r="D5" s="218"/>
      <c r="E5" s="6" t="s">
        <v>12</v>
      </c>
      <c r="F5" s="16" t="s">
        <v>13</v>
      </c>
      <c r="G5" s="17"/>
      <c r="H5" s="18"/>
      <c r="I5" s="19"/>
      <c r="J5" s="18"/>
      <c r="K5" s="12"/>
      <c r="L5" s="12"/>
      <c r="M5" s="12"/>
    </row>
    <row r="6" spans="1:14" ht="15.75" thickBot="1" x14ac:dyDescent="0.3">
      <c r="B6" s="20" t="s">
        <v>0</v>
      </c>
      <c r="C6" s="221">
        <f>'Table 2'!C6</f>
        <v>4965868.4400000004</v>
      </c>
      <c r="D6" s="222"/>
      <c r="E6" s="21" t="s">
        <v>14</v>
      </c>
      <c r="F6" s="92" t="s">
        <v>15</v>
      </c>
      <c r="G6" s="22"/>
      <c r="H6" s="12"/>
      <c r="I6" s="23"/>
      <c r="J6" s="12"/>
      <c r="K6" s="12"/>
      <c r="L6" s="12"/>
      <c r="M6" s="12"/>
    </row>
    <row r="7" spans="1:14" ht="15.75" thickBot="1" x14ac:dyDescent="0.3">
      <c r="B7" s="20" t="s">
        <v>16</v>
      </c>
      <c r="C7" s="221">
        <f>'Table 2'!C7</f>
        <v>1758698.9999999998</v>
      </c>
      <c r="D7" s="222"/>
      <c r="E7" s="21" t="s">
        <v>14</v>
      </c>
      <c r="F7" s="92" t="s">
        <v>17</v>
      </c>
      <c r="G7" s="22"/>
      <c r="H7" s="12"/>
      <c r="I7" s="23"/>
      <c r="J7" s="12"/>
      <c r="K7" s="12"/>
      <c r="L7" s="12"/>
      <c r="M7" s="12"/>
    </row>
    <row r="8" spans="1:14" ht="15.75" thickBot="1" x14ac:dyDescent="0.3">
      <c r="B8" s="20" t="s">
        <v>2</v>
      </c>
      <c r="C8" s="223">
        <f>'Table 2'!C8</f>
        <v>1377574</v>
      </c>
      <c r="D8" s="224"/>
      <c r="E8" s="21" t="s">
        <v>14</v>
      </c>
      <c r="F8" s="92" t="s">
        <v>138</v>
      </c>
      <c r="G8" s="22"/>
      <c r="H8" s="12"/>
      <c r="I8" s="12"/>
      <c r="J8" s="12"/>
      <c r="K8" s="12"/>
      <c r="L8" s="12"/>
      <c r="M8" s="12"/>
    </row>
    <row r="9" spans="1:14" ht="15.75" thickBot="1" x14ac:dyDescent="0.3">
      <c r="B9" s="24" t="s">
        <v>18</v>
      </c>
      <c r="C9" s="225">
        <f>SUM(C6:D8)</f>
        <v>8102141.4400000004</v>
      </c>
      <c r="D9" s="226"/>
      <c r="E9" s="25"/>
      <c r="F9" s="26"/>
      <c r="G9" s="27"/>
      <c r="H9" s="12"/>
      <c r="I9" s="12"/>
      <c r="J9" s="12"/>
      <c r="K9" s="12"/>
      <c r="L9" s="12"/>
      <c r="M9" s="12"/>
    </row>
    <row r="10" spans="1:14" ht="15.75" thickBot="1" x14ac:dyDescent="0.3">
      <c r="B10" s="227" t="s">
        <v>19</v>
      </c>
      <c r="C10" s="228"/>
      <c r="D10" s="228"/>
      <c r="E10" s="228"/>
      <c r="F10" s="229"/>
      <c r="G10" s="28"/>
      <c r="H10" s="12"/>
      <c r="I10" s="12"/>
      <c r="J10" s="12"/>
      <c r="K10" s="12"/>
      <c r="L10" s="12"/>
      <c r="M10" s="12"/>
    </row>
    <row r="11" spans="1:14" ht="15.75" thickBot="1" x14ac:dyDescent="0.3">
      <c r="B11" s="29" t="s">
        <v>10</v>
      </c>
      <c r="C11" s="217" t="s">
        <v>11</v>
      </c>
      <c r="D11" s="218"/>
      <c r="E11" s="30"/>
      <c r="F11" s="16" t="s">
        <v>13</v>
      </c>
      <c r="G11" s="31"/>
      <c r="H11" s="12" t="s">
        <v>137</v>
      </c>
      <c r="I11" s="12"/>
      <c r="J11" s="12"/>
      <c r="K11" s="12"/>
      <c r="L11" s="12"/>
      <c r="M11" s="12"/>
    </row>
    <row r="12" spans="1:14" ht="15.75" thickBot="1" x14ac:dyDescent="0.3">
      <c r="B12" s="20" t="s">
        <v>0</v>
      </c>
      <c r="C12" s="230">
        <f>'Table 1'!C6</f>
        <v>1708245.87512</v>
      </c>
      <c r="D12" s="231"/>
      <c r="E12" s="32"/>
      <c r="F12" s="92" t="s">
        <v>51</v>
      </c>
      <c r="G12" s="33"/>
      <c r="H12" s="34"/>
      <c r="I12" s="35"/>
      <c r="J12" s="12"/>
      <c r="K12" s="12"/>
      <c r="L12" s="12"/>
      <c r="M12" s="12"/>
    </row>
    <row r="13" spans="1:14" ht="15.75" thickBot="1" x14ac:dyDescent="0.3">
      <c r="B13" s="20" t="s">
        <v>16</v>
      </c>
      <c r="C13" s="230">
        <f>'Table 1'!D6</f>
        <v>1351912.8564800001</v>
      </c>
      <c r="D13" s="231"/>
      <c r="E13" s="32"/>
      <c r="F13" s="92" t="s">
        <v>52</v>
      </c>
      <c r="G13" s="33"/>
      <c r="H13" s="34"/>
      <c r="I13" s="34" t="s">
        <v>144</v>
      </c>
      <c r="J13" s="12"/>
      <c r="K13" s="12" t="s">
        <v>147</v>
      </c>
      <c r="L13" s="12"/>
      <c r="M13" s="12"/>
    </row>
    <row r="14" spans="1:14" ht="15.75" thickBot="1" x14ac:dyDescent="0.3">
      <c r="B14" s="20" t="s">
        <v>2</v>
      </c>
      <c r="C14" s="230">
        <f>'Table 1'!E6</f>
        <v>459191</v>
      </c>
      <c r="D14" s="231"/>
      <c r="E14" s="32"/>
      <c r="F14" s="92" t="s">
        <v>149</v>
      </c>
      <c r="G14" s="33"/>
      <c r="H14" s="12"/>
      <c r="I14" s="12">
        <v>841872.08</v>
      </c>
      <c r="J14" s="12"/>
      <c r="K14" s="12"/>
      <c r="L14" s="12"/>
      <c r="M14" s="12"/>
    </row>
    <row r="15" spans="1:14" ht="15.75" thickBot="1" x14ac:dyDescent="0.3">
      <c r="B15" s="9" t="s">
        <v>20</v>
      </c>
      <c r="C15" s="232">
        <f>SUM(C12:D14)</f>
        <v>3519349.7316000001</v>
      </c>
      <c r="D15" s="233"/>
      <c r="E15" s="36"/>
      <c r="F15" s="92" t="s">
        <v>53</v>
      </c>
      <c r="G15" s="33"/>
      <c r="H15" s="12"/>
      <c r="I15" s="12"/>
      <c r="J15" s="12"/>
      <c r="K15" s="12"/>
      <c r="L15" s="12"/>
      <c r="M15" s="12"/>
    </row>
    <row r="16" spans="1:14" ht="30.75" thickBot="1" x14ac:dyDescent="0.3">
      <c r="B16" s="133" t="s">
        <v>49</v>
      </c>
      <c r="C16" s="138" t="s">
        <v>11</v>
      </c>
      <c r="D16" s="246" t="s">
        <v>13</v>
      </c>
      <c r="E16" s="247"/>
      <c r="F16" s="248"/>
      <c r="G16" s="37"/>
      <c r="H16" s="12" t="s">
        <v>145</v>
      </c>
      <c r="I16" s="38" t="s">
        <v>24</v>
      </c>
      <c r="J16" s="39" t="s">
        <v>2</v>
      </c>
      <c r="K16" s="39" t="s">
        <v>1</v>
      </c>
      <c r="L16" s="39" t="s">
        <v>0</v>
      </c>
      <c r="M16" s="12"/>
      <c r="N16" s="139"/>
    </row>
    <row r="17" spans="2:13" ht="26.25" customHeight="1" thickBot="1" x14ac:dyDescent="0.3">
      <c r="B17" s="140" t="s">
        <v>21</v>
      </c>
      <c r="C17" s="173">
        <f>I17+C14+150000+100000</f>
        <v>1567900.5216000001</v>
      </c>
      <c r="D17" s="249" t="s">
        <v>150</v>
      </c>
      <c r="E17" s="250"/>
      <c r="F17" s="251"/>
      <c r="G17" s="33"/>
      <c r="H17" s="12"/>
      <c r="I17" s="141">
        <f>I14*1.02</f>
        <v>858709.52159999998</v>
      </c>
      <c r="J17" s="142"/>
      <c r="K17" s="40">
        <f>I17*0.3</f>
        <v>257612.85647999999</v>
      </c>
      <c r="L17" s="40">
        <f>I17*0.7</f>
        <v>601096.6651199999</v>
      </c>
      <c r="M17" s="12"/>
    </row>
    <row r="18" spans="2:13" ht="23.25" customHeight="1" thickBot="1" x14ac:dyDescent="0.3">
      <c r="B18" s="140" t="s">
        <v>22</v>
      </c>
      <c r="C18" s="173">
        <f>894300+200000</f>
        <v>1094300</v>
      </c>
      <c r="D18" s="249" t="s">
        <v>118</v>
      </c>
      <c r="E18" s="250"/>
      <c r="F18" s="251"/>
      <c r="G18" s="33"/>
      <c r="H18" s="12"/>
      <c r="I18" s="41"/>
      <c r="J18" s="12"/>
      <c r="K18" s="12"/>
      <c r="L18" s="12"/>
      <c r="M18" s="12"/>
    </row>
    <row r="19" spans="2:13" ht="31.5" customHeight="1" thickBot="1" x14ac:dyDescent="0.3">
      <c r="B19" s="140" t="s">
        <v>23</v>
      </c>
      <c r="C19" s="173">
        <v>195315</v>
      </c>
      <c r="D19" s="249" t="s">
        <v>142</v>
      </c>
      <c r="E19" s="250"/>
      <c r="F19" s="251"/>
      <c r="G19" s="33"/>
      <c r="H19" s="12"/>
      <c r="I19" s="41"/>
      <c r="J19" s="12"/>
      <c r="K19" s="12"/>
      <c r="L19" s="12"/>
      <c r="M19" s="12"/>
    </row>
    <row r="20" spans="2:13" ht="24.75" thickBot="1" x14ac:dyDescent="0.3">
      <c r="B20" s="143" t="s">
        <v>25</v>
      </c>
      <c r="C20" s="174">
        <f>SUM(D21:D27)</f>
        <v>561300</v>
      </c>
      <c r="D20" s="144" t="s">
        <v>26</v>
      </c>
      <c r="E20" s="145" t="s">
        <v>12</v>
      </c>
      <c r="F20" s="145" t="s">
        <v>13</v>
      </c>
      <c r="G20" s="37"/>
      <c r="H20" s="12"/>
      <c r="I20" s="41"/>
      <c r="J20" s="12"/>
      <c r="K20" s="12"/>
      <c r="L20" s="12"/>
      <c r="M20" s="12"/>
    </row>
    <row r="21" spans="2:13" ht="15.75" thickBot="1" x14ac:dyDescent="0.3">
      <c r="B21" s="42"/>
      <c r="C21" s="43"/>
      <c r="D21" s="172">
        <v>20000</v>
      </c>
      <c r="E21" s="45" t="s">
        <v>14</v>
      </c>
      <c r="F21" s="93" t="s">
        <v>54</v>
      </c>
      <c r="G21" s="33"/>
      <c r="H21" s="12"/>
      <c r="I21" s="12"/>
      <c r="J21" s="12"/>
      <c r="K21" s="12"/>
      <c r="L21" s="12"/>
      <c r="M21" s="12"/>
    </row>
    <row r="22" spans="2:13" ht="24.75" thickBot="1" x14ac:dyDescent="0.3">
      <c r="B22" s="46"/>
      <c r="C22" s="47"/>
      <c r="D22" s="171">
        <v>60000</v>
      </c>
      <c r="E22" s="45" t="s">
        <v>14</v>
      </c>
      <c r="F22" s="94" t="s">
        <v>140</v>
      </c>
      <c r="G22" s="33"/>
      <c r="H22" s="12"/>
      <c r="I22" s="12"/>
      <c r="J22" s="12"/>
      <c r="K22" s="12"/>
      <c r="L22" s="12"/>
      <c r="M22" s="12"/>
    </row>
    <row r="23" spans="2:13" ht="15.75" thickBot="1" x14ac:dyDescent="0.3">
      <c r="B23" s="46"/>
      <c r="C23" s="47"/>
      <c r="D23" s="171">
        <v>4000</v>
      </c>
      <c r="E23" s="45" t="s">
        <v>14</v>
      </c>
      <c r="F23" s="93" t="s">
        <v>55</v>
      </c>
      <c r="G23" s="33"/>
      <c r="H23" s="12"/>
      <c r="I23" s="12"/>
      <c r="J23" s="12"/>
      <c r="K23" s="12"/>
      <c r="L23" s="12"/>
      <c r="M23" s="12"/>
    </row>
    <row r="24" spans="2:13" ht="15.75" thickBot="1" x14ac:dyDescent="0.3">
      <c r="B24" s="48"/>
      <c r="C24" s="43"/>
      <c r="D24" s="171">
        <f>162000-60000</f>
        <v>102000</v>
      </c>
      <c r="E24" s="49"/>
      <c r="F24" s="93" t="s">
        <v>141</v>
      </c>
      <c r="G24" s="33"/>
      <c r="H24" s="12"/>
      <c r="I24" s="41"/>
      <c r="J24" s="12"/>
      <c r="K24" s="12"/>
      <c r="L24" s="12"/>
      <c r="M24" s="12"/>
    </row>
    <row r="25" spans="2:13" ht="18.75" customHeight="1" thickBot="1" x14ac:dyDescent="0.3">
      <c r="B25" s="48"/>
      <c r="C25" s="43"/>
      <c r="D25" s="170">
        <v>200000</v>
      </c>
      <c r="E25" s="49"/>
      <c r="F25" s="93" t="s">
        <v>119</v>
      </c>
      <c r="G25" s="33"/>
      <c r="H25" s="12"/>
      <c r="I25" s="41"/>
      <c r="J25" s="12"/>
      <c r="K25" s="12"/>
      <c r="L25" s="12"/>
      <c r="M25" s="12"/>
    </row>
    <row r="26" spans="2:13" ht="15.75" thickBot="1" x14ac:dyDescent="0.3">
      <c r="B26" s="50"/>
      <c r="C26" s="47"/>
      <c r="D26" s="170">
        <v>38500</v>
      </c>
      <c r="E26" s="51"/>
      <c r="F26" s="93" t="s">
        <v>57</v>
      </c>
      <c r="G26" s="33"/>
      <c r="H26" s="12"/>
      <c r="I26" s="23"/>
      <c r="J26" s="12"/>
      <c r="K26" s="12"/>
      <c r="L26" s="12"/>
      <c r="M26" s="12"/>
    </row>
    <row r="27" spans="2:13" ht="15.75" thickBot="1" x14ac:dyDescent="0.3">
      <c r="B27" s="52"/>
      <c r="C27" s="53"/>
      <c r="D27" s="170">
        <f>37000+10000+20800+69000</f>
        <v>136800</v>
      </c>
      <c r="E27" s="54"/>
      <c r="F27" s="93" t="s">
        <v>151</v>
      </c>
      <c r="G27" s="33"/>
      <c r="H27" s="12"/>
      <c r="I27" s="23"/>
      <c r="J27" s="12"/>
      <c r="K27" s="12"/>
      <c r="L27" s="12"/>
      <c r="M27" s="12"/>
    </row>
    <row r="28" spans="2:13" ht="15.75" thickBot="1" x14ac:dyDescent="0.3">
      <c r="B28" s="146" t="s">
        <v>27</v>
      </c>
      <c r="C28" s="147">
        <f>SUM(D28:D31)</f>
        <v>100534</v>
      </c>
      <c r="D28" s="171">
        <f>1596+675+1060</f>
        <v>3331</v>
      </c>
      <c r="E28" s="51"/>
      <c r="F28" s="93" t="s">
        <v>59</v>
      </c>
      <c r="G28" s="33"/>
      <c r="H28" s="12"/>
      <c r="I28" s="41"/>
      <c r="J28" s="12"/>
      <c r="K28" s="12"/>
      <c r="L28" s="12"/>
      <c r="M28" s="12"/>
    </row>
    <row r="29" spans="2:13" ht="15.75" thickBot="1" x14ac:dyDescent="0.3">
      <c r="B29" s="55"/>
      <c r="C29" s="56"/>
      <c r="D29" s="171">
        <f>7025+20750+5715+8250+25640+11823</f>
        <v>79203</v>
      </c>
      <c r="E29" s="51"/>
      <c r="F29" s="93" t="s">
        <v>28</v>
      </c>
      <c r="G29" s="33"/>
      <c r="H29" s="12"/>
      <c r="I29" s="23"/>
      <c r="J29" s="12"/>
      <c r="K29" s="12"/>
      <c r="L29" s="12"/>
      <c r="M29" s="12"/>
    </row>
    <row r="30" spans="2:13" ht="15.75" thickBot="1" x14ac:dyDescent="0.3">
      <c r="B30" s="50"/>
      <c r="C30" s="57"/>
      <c r="D30" s="171">
        <v>13000</v>
      </c>
      <c r="E30" s="51"/>
      <c r="F30" s="93" t="s">
        <v>60</v>
      </c>
      <c r="G30" s="33"/>
      <c r="H30" s="12"/>
      <c r="I30" s="41"/>
      <c r="J30" s="12"/>
      <c r="K30" s="12"/>
      <c r="L30" s="12"/>
      <c r="M30" s="12"/>
    </row>
    <row r="31" spans="2:13" ht="15.75" thickBot="1" x14ac:dyDescent="0.3">
      <c r="B31" s="52"/>
      <c r="C31" s="58"/>
      <c r="D31" s="171">
        <v>5000</v>
      </c>
      <c r="E31" s="59"/>
      <c r="F31" s="93" t="s">
        <v>29</v>
      </c>
      <c r="G31" s="33"/>
      <c r="H31" s="12"/>
      <c r="I31" s="12"/>
      <c r="J31" s="12"/>
      <c r="K31" s="12"/>
      <c r="L31" s="12"/>
      <c r="M31" s="12"/>
    </row>
    <row r="32" spans="2:13" ht="15.75" thickBot="1" x14ac:dyDescent="0.3">
      <c r="B32" s="63" t="s">
        <v>18</v>
      </c>
      <c r="C32" s="64">
        <f>C9</f>
        <v>8102141.4400000004</v>
      </c>
      <c r="D32" s="243"/>
      <c r="E32" s="244"/>
      <c r="F32" s="245"/>
      <c r="G32" s="62"/>
      <c r="H32" s="65"/>
      <c r="I32" s="66"/>
      <c r="J32" s="12"/>
      <c r="K32" s="12"/>
      <c r="L32" s="12"/>
      <c r="M32" s="12"/>
    </row>
    <row r="33" spans="2:13" ht="15.75" thickBot="1" x14ac:dyDescent="0.3">
      <c r="B33" s="60" t="s">
        <v>30</v>
      </c>
      <c r="C33" s="61">
        <f>SUM(C17:C31)</f>
        <v>3519349.5216000001</v>
      </c>
      <c r="D33" s="252" t="s">
        <v>31</v>
      </c>
      <c r="E33" s="253"/>
      <c r="F33" s="254"/>
      <c r="G33" s="62"/>
      <c r="H33" s="12"/>
      <c r="I33" s="12"/>
      <c r="J33" s="12"/>
      <c r="K33" s="12"/>
      <c r="L33" s="12"/>
      <c r="M33" s="12"/>
    </row>
    <row r="34" spans="2:13" ht="15.75" thickBot="1" x14ac:dyDescent="0.3">
      <c r="B34" s="67" t="s">
        <v>32</v>
      </c>
      <c r="C34" s="68">
        <f>'Table 2'!C17</f>
        <v>380208.4</v>
      </c>
      <c r="D34" s="252" t="s">
        <v>33</v>
      </c>
      <c r="E34" s="253"/>
      <c r="F34" s="254"/>
      <c r="G34" s="62"/>
      <c r="H34" s="12"/>
      <c r="I34" s="12"/>
      <c r="J34" s="12"/>
      <c r="K34" s="12"/>
      <c r="L34" s="12"/>
      <c r="M34" s="12"/>
    </row>
    <row r="35" spans="2:13" ht="15.75" thickBot="1" x14ac:dyDescent="0.3">
      <c r="B35" s="67" t="s">
        <v>39</v>
      </c>
      <c r="C35" s="68">
        <f>'Table 2'!C18</f>
        <v>183660</v>
      </c>
      <c r="D35" s="252" t="s">
        <v>120</v>
      </c>
      <c r="E35" s="253"/>
      <c r="F35" s="254"/>
      <c r="G35" s="62"/>
      <c r="H35" s="65"/>
      <c r="I35" s="66"/>
      <c r="J35" s="12"/>
      <c r="K35" s="12"/>
      <c r="L35" s="12"/>
      <c r="M35" s="12"/>
    </row>
    <row r="36" spans="2:13" ht="15.75" thickBot="1" x14ac:dyDescent="0.3">
      <c r="B36" s="148" t="s">
        <v>34</v>
      </c>
      <c r="C36" s="149">
        <f>SUM(C32:C35)</f>
        <v>12185359.3616</v>
      </c>
      <c r="D36" s="252" t="s">
        <v>50</v>
      </c>
      <c r="E36" s="253"/>
      <c r="F36" s="254"/>
      <c r="G36" s="62"/>
      <c r="H36" s="5"/>
      <c r="I36" s="12"/>
      <c r="J36" s="12"/>
      <c r="K36" s="12"/>
      <c r="L36" s="12"/>
      <c r="M36" s="12"/>
    </row>
    <row r="40" spans="2:13" ht="15.75" thickBot="1" x14ac:dyDescent="0.3"/>
    <row r="41" spans="2:13" ht="16.5" thickBot="1" x14ac:dyDescent="0.3">
      <c r="B41" s="211" t="s">
        <v>136</v>
      </c>
      <c r="C41" s="212"/>
      <c r="D41" s="212"/>
      <c r="E41" s="212"/>
      <c r="F41" s="213"/>
    </row>
    <row r="42" spans="2:13" ht="15.75" thickBot="1" x14ac:dyDescent="0.3">
      <c r="B42" s="214" t="s">
        <v>9</v>
      </c>
      <c r="C42" s="215"/>
      <c r="D42" s="215"/>
      <c r="E42" s="215"/>
      <c r="F42" s="216"/>
    </row>
    <row r="43" spans="2:13" ht="24.75" thickBot="1" x14ac:dyDescent="0.3">
      <c r="B43" s="15" t="s">
        <v>10</v>
      </c>
      <c r="C43" s="217" t="s">
        <v>11</v>
      </c>
      <c r="D43" s="218"/>
      <c r="E43" s="6" t="s">
        <v>12</v>
      </c>
      <c r="F43" s="16" t="s">
        <v>13</v>
      </c>
    </row>
    <row r="44" spans="2:13" ht="15.75" thickBot="1" x14ac:dyDescent="0.3">
      <c r="B44" s="20" t="s">
        <v>0</v>
      </c>
      <c r="C44" s="221">
        <f>'Table 2'!E6</f>
        <v>5843792.1600000001</v>
      </c>
      <c r="D44" s="222"/>
      <c r="E44" s="21" t="s">
        <v>14</v>
      </c>
      <c r="F44" s="92" t="s">
        <v>15</v>
      </c>
    </row>
    <row r="45" spans="2:13" ht="15.75" thickBot="1" x14ac:dyDescent="0.3">
      <c r="B45" s="20" t="s">
        <v>16</v>
      </c>
      <c r="C45" s="221">
        <f>'Table 2'!E7</f>
        <v>2116735.1999999997</v>
      </c>
      <c r="D45" s="222"/>
      <c r="E45" s="21" t="s">
        <v>14</v>
      </c>
      <c r="F45" s="92" t="s">
        <v>17</v>
      </c>
    </row>
    <row r="46" spans="2:13" ht="15.75" thickBot="1" x14ac:dyDescent="0.3">
      <c r="B46" s="20" t="s">
        <v>2</v>
      </c>
      <c r="C46" s="221">
        <f>'Table 2'!E8</f>
        <v>1552173</v>
      </c>
      <c r="D46" s="222"/>
      <c r="E46" s="21" t="s">
        <v>14</v>
      </c>
      <c r="F46" s="92" t="s">
        <v>138</v>
      </c>
    </row>
    <row r="47" spans="2:13" ht="15.75" thickBot="1" x14ac:dyDescent="0.3">
      <c r="B47" s="24" t="s">
        <v>18</v>
      </c>
      <c r="C47" s="225">
        <f>SUM(C44:D46)</f>
        <v>9512700.3599999994</v>
      </c>
      <c r="D47" s="226"/>
      <c r="E47" s="25"/>
      <c r="F47" s="26"/>
    </row>
    <row r="48" spans="2:13" ht="15.75" thickBot="1" x14ac:dyDescent="0.3">
      <c r="B48" s="227" t="s">
        <v>19</v>
      </c>
      <c r="C48" s="228"/>
      <c r="D48" s="228"/>
      <c r="E48" s="228"/>
      <c r="F48" s="229"/>
    </row>
    <row r="49" spans="2:12" ht="30.75" thickBot="1" x14ac:dyDescent="0.3">
      <c r="B49" s="29" t="s">
        <v>10</v>
      </c>
      <c r="C49" s="217" t="s">
        <v>11</v>
      </c>
      <c r="D49" s="218"/>
      <c r="E49" s="30"/>
      <c r="F49" s="16" t="s">
        <v>13</v>
      </c>
      <c r="I49" s="38" t="s">
        <v>24</v>
      </c>
      <c r="J49" s="39" t="s">
        <v>2</v>
      </c>
      <c r="K49" s="39" t="s">
        <v>1</v>
      </c>
      <c r="L49" s="39" t="s">
        <v>0</v>
      </c>
    </row>
    <row r="50" spans="2:12" ht="15.75" thickBot="1" x14ac:dyDescent="0.3">
      <c r="B50" s="20" t="s">
        <v>0</v>
      </c>
      <c r="C50" s="230">
        <f>'Table 1'!G6</f>
        <v>1742410.7926224</v>
      </c>
      <c r="D50" s="231"/>
      <c r="E50" s="32"/>
      <c r="F50" s="92" t="s">
        <v>51</v>
      </c>
      <c r="I50" s="141">
        <f>I17*1.02</f>
        <v>875883.71203199995</v>
      </c>
      <c r="J50" s="142"/>
      <c r="K50" s="40">
        <f>I50*0.3</f>
        <v>262765.1136096</v>
      </c>
      <c r="L50" s="40">
        <f>I50*0.7</f>
        <v>613118.59842239995</v>
      </c>
    </row>
    <row r="51" spans="2:12" ht="15.75" thickBot="1" x14ac:dyDescent="0.3">
      <c r="B51" s="20" t="s">
        <v>16</v>
      </c>
      <c r="C51" s="230">
        <f>'Table 1'!H6</f>
        <v>1453405.1136095999</v>
      </c>
      <c r="D51" s="231"/>
      <c r="E51" s="32"/>
      <c r="F51" s="92" t="s">
        <v>52</v>
      </c>
    </row>
    <row r="52" spans="2:12" ht="15.75" thickBot="1" x14ac:dyDescent="0.3">
      <c r="B52" s="20" t="s">
        <v>2</v>
      </c>
      <c r="C52" s="230">
        <f>'Table 1'!I6</f>
        <v>517391</v>
      </c>
      <c r="D52" s="231"/>
      <c r="E52" s="32"/>
      <c r="F52" s="92" t="s">
        <v>149</v>
      </c>
    </row>
    <row r="53" spans="2:12" ht="15.75" thickBot="1" x14ac:dyDescent="0.3">
      <c r="B53" s="9" t="s">
        <v>20</v>
      </c>
      <c r="C53" s="232">
        <f>SUM(C50:D52)</f>
        <v>3713206.9062319999</v>
      </c>
      <c r="D53" s="233"/>
      <c r="E53" s="36"/>
      <c r="F53" s="92" t="s">
        <v>53</v>
      </c>
    </row>
    <row r="54" spans="2:12" ht="32.25" customHeight="1" thickBot="1" x14ac:dyDescent="0.3">
      <c r="B54" s="133" t="s">
        <v>49</v>
      </c>
      <c r="C54" s="138" t="s">
        <v>11</v>
      </c>
      <c r="D54" s="246" t="s">
        <v>13</v>
      </c>
      <c r="E54" s="247"/>
      <c r="F54" s="248"/>
    </row>
    <row r="55" spans="2:12" ht="34.5" customHeight="1" thickBot="1" x14ac:dyDescent="0.3">
      <c r="B55" s="140" t="s">
        <v>21</v>
      </c>
      <c r="C55" s="173">
        <f>I50+C52+(150000+100000)*1.02</f>
        <v>1648274.7120320001</v>
      </c>
      <c r="D55" s="249" t="s">
        <v>150</v>
      </c>
      <c r="E55" s="250"/>
      <c r="F55" s="251"/>
    </row>
    <row r="56" spans="2:12" ht="28.5" customHeight="1" thickBot="1" x14ac:dyDescent="0.3">
      <c r="B56" s="140" t="s">
        <v>22</v>
      </c>
      <c r="C56" s="173">
        <f>990640+200000</f>
        <v>1190640</v>
      </c>
      <c r="D56" s="249" t="s">
        <v>118</v>
      </c>
      <c r="E56" s="250"/>
      <c r="F56" s="251"/>
    </row>
    <row r="57" spans="2:12" ht="27" customHeight="1" thickBot="1" x14ac:dyDescent="0.3">
      <c r="B57" s="140" t="s">
        <v>23</v>
      </c>
      <c r="C57" s="173">
        <f>C19*1.02</f>
        <v>199221.30000000002</v>
      </c>
      <c r="D57" s="249" t="s">
        <v>142</v>
      </c>
      <c r="E57" s="250"/>
      <c r="F57" s="251"/>
    </row>
    <row r="58" spans="2:12" ht="24.75" thickBot="1" x14ac:dyDescent="0.3">
      <c r="B58" s="143" t="s">
        <v>25</v>
      </c>
      <c r="C58" s="174">
        <f>SUM(D59:D65)</f>
        <v>572526</v>
      </c>
      <c r="D58" s="144" t="s">
        <v>26</v>
      </c>
      <c r="E58" s="145" t="s">
        <v>12</v>
      </c>
      <c r="F58" s="145" t="s">
        <v>13</v>
      </c>
    </row>
    <row r="59" spans="2:12" ht="15.75" thickBot="1" x14ac:dyDescent="0.3">
      <c r="B59" s="42"/>
      <c r="C59" s="43"/>
      <c r="D59" s="172">
        <f>D21*1.02</f>
        <v>20400</v>
      </c>
      <c r="E59" s="45" t="s">
        <v>14</v>
      </c>
      <c r="F59" s="93" t="s">
        <v>54</v>
      </c>
      <c r="H59" t="s">
        <v>146</v>
      </c>
    </row>
    <row r="60" spans="2:12" ht="24.75" thickBot="1" x14ac:dyDescent="0.3">
      <c r="B60" s="46"/>
      <c r="C60" s="47"/>
      <c r="D60" s="172">
        <f t="shared" ref="D60:D69" si="0">D22*1.02</f>
        <v>61200</v>
      </c>
      <c r="E60" s="45" t="s">
        <v>14</v>
      </c>
      <c r="F60" s="94" t="s">
        <v>139</v>
      </c>
    </row>
    <row r="61" spans="2:12" ht="15.75" thickBot="1" x14ac:dyDescent="0.3">
      <c r="B61" s="46"/>
      <c r="C61" s="47"/>
      <c r="D61" s="172">
        <f t="shared" si="0"/>
        <v>4080</v>
      </c>
      <c r="E61" s="45" t="s">
        <v>14</v>
      </c>
      <c r="F61" s="93" t="s">
        <v>55</v>
      </c>
    </row>
    <row r="62" spans="2:12" ht="15.75" thickBot="1" x14ac:dyDescent="0.3">
      <c r="B62" s="48"/>
      <c r="C62" s="43"/>
      <c r="D62" s="172">
        <f t="shared" si="0"/>
        <v>104040</v>
      </c>
      <c r="E62" s="49"/>
      <c r="F62" s="93" t="s">
        <v>56</v>
      </c>
    </row>
    <row r="63" spans="2:12" ht="15.75" thickBot="1" x14ac:dyDescent="0.3">
      <c r="B63" s="48"/>
      <c r="C63" s="43"/>
      <c r="D63" s="172">
        <f t="shared" si="0"/>
        <v>204000</v>
      </c>
      <c r="E63" s="49"/>
      <c r="F63" s="93" t="s">
        <v>119</v>
      </c>
    </row>
    <row r="64" spans="2:12" ht="15.75" thickBot="1" x14ac:dyDescent="0.3">
      <c r="B64" s="50"/>
      <c r="C64" s="47"/>
      <c r="D64" s="172">
        <f t="shared" si="0"/>
        <v>39270</v>
      </c>
      <c r="E64" s="51"/>
      <c r="F64" s="93" t="s">
        <v>57</v>
      </c>
    </row>
    <row r="65" spans="2:6" ht="15.75" thickBot="1" x14ac:dyDescent="0.3">
      <c r="B65" s="52"/>
      <c r="C65" s="53"/>
      <c r="D65" s="172">
        <f t="shared" si="0"/>
        <v>139536</v>
      </c>
      <c r="E65" s="54"/>
      <c r="F65" s="93" t="s">
        <v>58</v>
      </c>
    </row>
    <row r="66" spans="2:6" ht="15.75" thickBot="1" x14ac:dyDescent="0.3">
      <c r="B66" s="150" t="s">
        <v>27</v>
      </c>
      <c r="C66" s="151">
        <f>SUM(D66:D69)</f>
        <v>102544.68</v>
      </c>
      <c r="D66" s="172">
        <f t="shared" si="0"/>
        <v>3397.62</v>
      </c>
      <c r="E66" s="51"/>
      <c r="F66" s="93" t="s">
        <v>59</v>
      </c>
    </row>
    <row r="67" spans="2:6" ht="15.75" thickBot="1" x14ac:dyDescent="0.3">
      <c r="B67" s="55"/>
      <c r="C67" s="56"/>
      <c r="D67" s="172">
        <f t="shared" si="0"/>
        <v>80787.06</v>
      </c>
      <c r="E67" s="51"/>
      <c r="F67" s="93" t="s">
        <v>28</v>
      </c>
    </row>
    <row r="68" spans="2:6" ht="15.75" thickBot="1" x14ac:dyDescent="0.3">
      <c r="B68" s="50"/>
      <c r="C68" s="57"/>
      <c r="D68" s="172">
        <f t="shared" si="0"/>
        <v>13260</v>
      </c>
      <c r="E68" s="51"/>
      <c r="F68" s="93" t="s">
        <v>60</v>
      </c>
    </row>
    <row r="69" spans="2:6" ht="15.75" thickBot="1" x14ac:dyDescent="0.3">
      <c r="B69" s="52"/>
      <c r="C69" s="58"/>
      <c r="D69" s="172">
        <f t="shared" si="0"/>
        <v>5100</v>
      </c>
      <c r="E69" s="59"/>
      <c r="F69" s="93" t="s">
        <v>29</v>
      </c>
    </row>
    <row r="70" spans="2:6" ht="15.75" thickBot="1" x14ac:dyDescent="0.3">
      <c r="B70" s="63" t="s">
        <v>18</v>
      </c>
      <c r="C70" s="64">
        <f>C47</f>
        <v>9512700.3599999994</v>
      </c>
      <c r="D70" s="255"/>
      <c r="E70" s="256"/>
      <c r="F70" s="257"/>
    </row>
    <row r="71" spans="2:6" ht="15.75" thickBot="1" x14ac:dyDescent="0.3">
      <c r="B71" s="60" t="s">
        <v>30</v>
      </c>
      <c r="C71" s="61">
        <f>SUM(C55:C69)</f>
        <v>3713206.692032</v>
      </c>
      <c r="D71" s="252" t="s">
        <v>31</v>
      </c>
      <c r="E71" s="253"/>
      <c r="F71" s="254"/>
    </row>
    <row r="72" spans="2:6" ht="15.75" thickBot="1" x14ac:dyDescent="0.3">
      <c r="B72" s="67" t="s">
        <v>32</v>
      </c>
      <c r="C72" s="192">
        <f>'Table 2'!E17</f>
        <v>709655</v>
      </c>
      <c r="D72" s="258" t="s">
        <v>33</v>
      </c>
      <c r="E72" s="259"/>
      <c r="F72" s="260"/>
    </row>
    <row r="73" spans="2:6" ht="15.75" thickBot="1" x14ac:dyDescent="0.3">
      <c r="B73" s="67" t="s">
        <v>39</v>
      </c>
      <c r="C73" s="68">
        <f>'Table 2'!E18</f>
        <v>94340</v>
      </c>
      <c r="D73" s="252" t="s">
        <v>120</v>
      </c>
      <c r="E73" s="253"/>
      <c r="F73" s="254"/>
    </row>
    <row r="74" spans="2:6" ht="15.75" thickBot="1" x14ac:dyDescent="0.3">
      <c r="B74" s="67" t="s">
        <v>6</v>
      </c>
      <c r="C74" s="68">
        <v>160000</v>
      </c>
      <c r="D74" s="252" t="s">
        <v>121</v>
      </c>
      <c r="E74" s="253"/>
      <c r="F74" s="254"/>
    </row>
    <row r="75" spans="2:6" ht="15.75" thickBot="1" x14ac:dyDescent="0.3">
      <c r="B75" s="148" t="s">
        <v>34</v>
      </c>
      <c r="C75" s="149">
        <f>SUM(C70:C74)</f>
        <v>14189902.052031999</v>
      </c>
      <c r="D75" s="252" t="s">
        <v>50</v>
      </c>
      <c r="E75" s="253"/>
      <c r="F75" s="254"/>
    </row>
    <row r="76" spans="2:6" x14ac:dyDescent="0.25">
      <c r="B76" t="s">
        <v>134</v>
      </c>
    </row>
  </sheetData>
  <mergeCells count="46">
    <mergeCell ref="D73:F73"/>
    <mergeCell ref="D74:F74"/>
    <mergeCell ref="D75:F75"/>
    <mergeCell ref="A1:B1"/>
    <mergeCell ref="D55:F55"/>
    <mergeCell ref="D56:F56"/>
    <mergeCell ref="D57:F57"/>
    <mergeCell ref="D70:F70"/>
    <mergeCell ref="D71:F71"/>
    <mergeCell ref="D72:F72"/>
    <mergeCell ref="C49:D49"/>
    <mergeCell ref="C50:D50"/>
    <mergeCell ref="C51:D51"/>
    <mergeCell ref="C52:D52"/>
    <mergeCell ref="C53:D53"/>
    <mergeCell ref="D54:F54"/>
    <mergeCell ref="B48:F48"/>
    <mergeCell ref="D33:F33"/>
    <mergeCell ref="D34:F34"/>
    <mergeCell ref="D35:F35"/>
    <mergeCell ref="D36:F36"/>
    <mergeCell ref="B41:F41"/>
    <mergeCell ref="B42:F42"/>
    <mergeCell ref="C43:D43"/>
    <mergeCell ref="C44:D44"/>
    <mergeCell ref="C45:D45"/>
    <mergeCell ref="C46:D46"/>
    <mergeCell ref="C47:D47"/>
    <mergeCell ref="D32:F32"/>
    <mergeCell ref="C9:D9"/>
    <mergeCell ref="B10:F10"/>
    <mergeCell ref="C11:D11"/>
    <mergeCell ref="C12:D12"/>
    <mergeCell ref="C13:D13"/>
    <mergeCell ref="C14:D14"/>
    <mergeCell ref="C15:D15"/>
    <mergeCell ref="D16:F16"/>
    <mergeCell ref="D17:F17"/>
    <mergeCell ref="D18:F18"/>
    <mergeCell ref="D19:F19"/>
    <mergeCell ref="C8:D8"/>
    <mergeCell ref="B3:F3"/>
    <mergeCell ref="B4:F4"/>
    <mergeCell ref="C5:D5"/>
    <mergeCell ref="C6:D6"/>
    <mergeCell ref="C7:D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AAC8-8594-4136-8ED3-34567C362D9A}">
  <dimension ref="A1:D24"/>
  <sheetViews>
    <sheetView workbookViewId="0">
      <selection activeCell="B4" sqref="B4"/>
    </sheetView>
  </sheetViews>
  <sheetFormatPr defaultRowHeight="15" x14ac:dyDescent="0.25"/>
  <cols>
    <col min="2" max="2" width="24.5703125" customWidth="1"/>
    <col min="3" max="3" width="40.7109375" customWidth="1"/>
    <col min="4" max="4" width="39.85546875" customWidth="1"/>
  </cols>
  <sheetData>
    <row r="1" spans="1:4" x14ac:dyDescent="0.25">
      <c r="A1" s="238" t="s">
        <v>123</v>
      </c>
      <c r="B1" s="238"/>
      <c r="C1" s="238"/>
    </row>
    <row r="2" spans="1:4" ht="15.75" thickBot="1" x14ac:dyDescent="0.3"/>
    <row r="3" spans="1:4" ht="18.75" thickBot="1" x14ac:dyDescent="0.3">
      <c r="B3" s="261" t="s">
        <v>133</v>
      </c>
      <c r="C3" s="262"/>
      <c r="D3" s="263"/>
    </row>
    <row r="4" spans="1:4" ht="15.75" thickBot="1" x14ac:dyDescent="0.3">
      <c r="B4" s="69"/>
      <c r="C4" s="95" t="s">
        <v>61</v>
      </c>
      <c r="D4" s="96" t="s">
        <v>62</v>
      </c>
    </row>
    <row r="5" spans="1:4" x14ac:dyDescent="0.25">
      <c r="B5" s="264" t="s">
        <v>0</v>
      </c>
      <c r="C5" s="97" t="s">
        <v>63</v>
      </c>
      <c r="D5" s="100" t="s">
        <v>69</v>
      </c>
    </row>
    <row r="6" spans="1:4" ht="25.5" x14ac:dyDescent="0.25">
      <c r="B6" s="265"/>
      <c r="C6" s="97" t="s">
        <v>64</v>
      </c>
      <c r="D6" s="100" t="s">
        <v>70</v>
      </c>
    </row>
    <row r="7" spans="1:4" x14ac:dyDescent="0.25">
      <c r="B7" s="265"/>
      <c r="C7" s="97" t="s">
        <v>65</v>
      </c>
      <c r="D7" s="100" t="s">
        <v>71</v>
      </c>
    </row>
    <row r="8" spans="1:4" ht="38.25" x14ac:dyDescent="0.25">
      <c r="B8" s="265"/>
      <c r="C8" s="97" t="s">
        <v>66</v>
      </c>
      <c r="D8" s="100" t="s">
        <v>72</v>
      </c>
    </row>
    <row r="9" spans="1:4" x14ac:dyDescent="0.25">
      <c r="B9" s="265"/>
      <c r="C9" s="97" t="s">
        <v>67</v>
      </c>
      <c r="D9" s="100" t="s">
        <v>73</v>
      </c>
    </row>
    <row r="10" spans="1:4" x14ac:dyDescent="0.25">
      <c r="B10" s="265"/>
      <c r="C10" s="97" t="s">
        <v>68</v>
      </c>
      <c r="D10" s="100" t="s">
        <v>74</v>
      </c>
    </row>
    <row r="11" spans="1:4" ht="25.5" x14ac:dyDescent="0.25">
      <c r="B11" s="265"/>
      <c r="C11" s="98"/>
      <c r="D11" s="100" t="s">
        <v>75</v>
      </c>
    </row>
    <row r="12" spans="1:4" x14ac:dyDescent="0.25">
      <c r="B12" s="265"/>
      <c r="C12" s="98"/>
      <c r="D12" s="100" t="s">
        <v>76</v>
      </c>
    </row>
    <row r="13" spans="1:4" x14ac:dyDescent="0.25">
      <c r="B13" s="265"/>
      <c r="C13" s="98"/>
      <c r="D13" s="100" t="s">
        <v>77</v>
      </c>
    </row>
    <row r="14" spans="1:4" ht="15.75" thickBot="1" x14ac:dyDescent="0.3">
      <c r="B14" s="266"/>
      <c r="C14" s="99"/>
      <c r="D14" s="101" t="s">
        <v>78</v>
      </c>
    </row>
    <row r="15" spans="1:4" ht="25.5" x14ac:dyDescent="0.25">
      <c r="B15" s="264" t="s">
        <v>79</v>
      </c>
      <c r="C15" s="97" t="s">
        <v>80</v>
      </c>
      <c r="D15" s="102" t="s">
        <v>82</v>
      </c>
    </row>
    <row r="16" spans="1:4" ht="38.25" x14ac:dyDescent="0.25">
      <c r="B16" s="265"/>
      <c r="C16" s="97" t="s">
        <v>81</v>
      </c>
      <c r="D16" s="102" t="s">
        <v>83</v>
      </c>
    </row>
    <row r="17" spans="2:4" ht="25.5" x14ac:dyDescent="0.25">
      <c r="B17" s="265"/>
      <c r="C17" s="97" t="s">
        <v>68</v>
      </c>
      <c r="D17" s="102" t="s">
        <v>84</v>
      </c>
    </row>
    <row r="18" spans="2:4" x14ac:dyDescent="0.25">
      <c r="B18" s="265"/>
      <c r="C18" s="98"/>
      <c r="D18" s="102" t="s">
        <v>85</v>
      </c>
    </row>
    <row r="19" spans="2:4" x14ac:dyDescent="0.25">
      <c r="B19" s="265"/>
      <c r="C19" s="98"/>
      <c r="D19" s="102" t="s">
        <v>86</v>
      </c>
    </row>
    <row r="20" spans="2:4" x14ac:dyDescent="0.25">
      <c r="B20" s="265"/>
      <c r="C20" s="98"/>
      <c r="D20" s="102" t="s">
        <v>87</v>
      </c>
    </row>
    <row r="21" spans="2:4" ht="15.75" thickBot="1" x14ac:dyDescent="0.3">
      <c r="B21" s="266"/>
      <c r="C21" s="99"/>
      <c r="D21" s="103" t="s">
        <v>88</v>
      </c>
    </row>
    <row r="22" spans="2:4" x14ac:dyDescent="0.25">
      <c r="B22" s="264" t="s">
        <v>36</v>
      </c>
      <c r="C22" s="97" t="s">
        <v>89</v>
      </c>
      <c r="D22" s="105" t="s">
        <v>92</v>
      </c>
    </row>
    <row r="23" spans="2:4" x14ac:dyDescent="0.25">
      <c r="B23" s="265"/>
      <c r="C23" s="97" t="s">
        <v>90</v>
      </c>
      <c r="D23" s="105" t="s">
        <v>85</v>
      </c>
    </row>
    <row r="24" spans="2:4" ht="26.25" thickBot="1" x14ac:dyDescent="0.3">
      <c r="B24" s="266"/>
      <c r="C24" s="104" t="s">
        <v>91</v>
      </c>
      <c r="D24" s="106"/>
    </row>
  </sheetData>
  <mergeCells count="5">
    <mergeCell ref="B3:D3"/>
    <mergeCell ref="B5:B14"/>
    <mergeCell ref="B15:B21"/>
    <mergeCell ref="B22:B24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120F-4AA3-4CE6-A44E-7D11A53157E3}">
  <dimension ref="A1:K29"/>
  <sheetViews>
    <sheetView topLeftCell="A14" zoomScale="145" zoomScaleNormal="145" workbookViewId="0">
      <selection activeCell="I25" sqref="I25"/>
    </sheetView>
  </sheetViews>
  <sheetFormatPr defaultRowHeight="15" x14ac:dyDescent="0.25"/>
  <cols>
    <col min="2" max="2" width="15.42578125" customWidth="1"/>
    <col min="3" max="3" width="20.140625" customWidth="1"/>
    <col min="4" max="4" width="19.85546875" customWidth="1"/>
    <col min="5" max="5" width="25.140625" customWidth="1"/>
    <col min="11" max="11" width="12" bestFit="1" customWidth="1"/>
  </cols>
  <sheetData>
    <row r="1" spans="1:11" x14ac:dyDescent="0.25">
      <c r="A1" s="238" t="s">
        <v>160</v>
      </c>
      <c r="B1" s="238"/>
    </row>
    <row r="3" spans="1:11" ht="15.75" thickBot="1" x14ac:dyDescent="0.3"/>
    <row r="4" spans="1:11" ht="18.75" thickBot="1" x14ac:dyDescent="0.3">
      <c r="B4" s="267" t="s">
        <v>152</v>
      </c>
      <c r="C4" s="268"/>
      <c r="D4" s="268"/>
      <c r="E4" s="269"/>
    </row>
    <row r="5" spans="1:11" ht="15.75" thickBot="1" x14ac:dyDescent="0.3">
      <c r="B5" s="69"/>
      <c r="C5" s="72" t="s">
        <v>40</v>
      </c>
      <c r="D5" s="72" t="s">
        <v>41</v>
      </c>
      <c r="E5" s="73" t="s">
        <v>42</v>
      </c>
    </row>
    <row r="6" spans="1:11" ht="15.75" thickBot="1" x14ac:dyDescent="0.3">
      <c r="B6" s="128" t="s">
        <v>0</v>
      </c>
      <c r="C6" s="187">
        <f>'Appendix Table 2 details'!C6+'Appendix Table 2 details'!D22+'Appendix Table 2 details'!D23</f>
        <v>5029868.4400000004</v>
      </c>
      <c r="D6" s="188">
        <f>'Appendix Table 2 details'!C12-'Appendix Table 2 details'!D22-'Appendix Table 2 details'!D23</f>
        <v>1644245.87512</v>
      </c>
      <c r="E6" s="74">
        <f>SUM(C6:D6)</f>
        <v>6674114.3151200004</v>
      </c>
    </row>
    <row r="7" spans="1:11" ht="15.75" thickBot="1" x14ac:dyDescent="0.3">
      <c r="B7" s="128" t="s">
        <v>35</v>
      </c>
      <c r="C7" s="189">
        <f>'Appendix Table 2 details'!C7</f>
        <v>1758698.9999999998</v>
      </c>
      <c r="D7" s="188">
        <f>'Appendix Table 2 details'!C13</f>
        <v>1351912.8564800001</v>
      </c>
      <c r="E7" s="74">
        <f>SUM(C7:D7)</f>
        <v>3110611.8564799996</v>
      </c>
    </row>
    <row r="8" spans="1:11" ht="15.75" thickBot="1" x14ac:dyDescent="0.3">
      <c r="B8" s="128" t="s">
        <v>36</v>
      </c>
      <c r="C8" s="190">
        <f>'Appendix Table 2 details'!C8+'Appendix Table 2 details'!D21</f>
        <v>1397574</v>
      </c>
      <c r="D8" s="191">
        <f>'Appendix Table 2 details'!C14-'Appendix Table 2 details'!D21</f>
        <v>439191</v>
      </c>
      <c r="E8" s="74">
        <f>SUM(C8,D8)</f>
        <v>1836765</v>
      </c>
    </row>
    <row r="9" spans="1:11" ht="15.75" thickBot="1" x14ac:dyDescent="0.3">
      <c r="B9" s="152"/>
      <c r="C9" s="153"/>
      <c r="D9" s="154"/>
      <c r="E9" s="91">
        <f>SUM(E6:E8)</f>
        <v>11621491.171599999</v>
      </c>
    </row>
    <row r="10" spans="1:11" ht="15.75" thickBot="1" x14ac:dyDescent="0.3">
      <c r="B10" s="75" t="s">
        <v>43</v>
      </c>
      <c r="C10" s="76">
        <f>SUM(C6:C8)/E9</f>
        <v>0.70439682129646763</v>
      </c>
      <c r="D10" s="76">
        <f>SUM(D6:D8)/E9</f>
        <v>0.29560317870353253</v>
      </c>
      <c r="E10" s="155"/>
    </row>
    <row r="11" spans="1:11" ht="15.75" thickBot="1" x14ac:dyDescent="0.3">
      <c r="B11" s="77" t="s">
        <v>44</v>
      </c>
      <c r="C11" s="78"/>
      <c r="D11" s="79"/>
      <c r="E11" s="80">
        <f>'Appendix Table 2 details'!C34</f>
        <v>380208.4</v>
      </c>
    </row>
    <row r="12" spans="1:11" ht="15.75" thickBot="1" x14ac:dyDescent="0.3">
      <c r="B12" s="77" t="s">
        <v>38</v>
      </c>
      <c r="C12" s="78"/>
      <c r="D12" s="79"/>
      <c r="E12" s="81">
        <f>'Appendix Table 2 details'!C35</f>
        <v>183660</v>
      </c>
    </row>
    <row r="13" spans="1:11" ht="15.75" thickBot="1" x14ac:dyDescent="0.3">
      <c r="B13" s="270" t="s">
        <v>154</v>
      </c>
      <c r="C13" s="271"/>
      <c r="D13" s="271"/>
      <c r="E13" s="89">
        <f>SUM(E9:E12)</f>
        <v>12185359.571599999</v>
      </c>
    </row>
    <row r="14" spans="1:11" ht="18.75" thickBot="1" x14ac:dyDescent="0.3">
      <c r="B14" s="267" t="s">
        <v>153</v>
      </c>
      <c r="C14" s="268"/>
      <c r="D14" s="268"/>
      <c r="E14" s="269"/>
    </row>
    <row r="15" spans="1:11" ht="15.75" thickBot="1" x14ac:dyDescent="0.3">
      <c r="B15" s="69"/>
      <c r="C15" s="72" t="s">
        <v>40</v>
      </c>
      <c r="D15" s="72" t="s">
        <v>41</v>
      </c>
      <c r="E15" s="73" t="s">
        <v>42</v>
      </c>
      <c r="K15" s="82"/>
    </row>
    <row r="16" spans="1:11" ht="15.75" thickBot="1" x14ac:dyDescent="0.3">
      <c r="B16" s="128" t="s">
        <v>0</v>
      </c>
      <c r="C16" s="187">
        <f>'Appendix Table 2 details'!C44+'Appendix Table 2 details'!D60+'Appendix Table 2 details'!D61</f>
        <v>5909072.1600000001</v>
      </c>
      <c r="D16" s="188">
        <f>'Appendix Table 2 details'!C50-'Appendix Table 2 details'!D60-'Appendix Table 2 details'!D61</f>
        <v>1677130.7926224</v>
      </c>
      <c r="E16" s="74">
        <f>SUM(C16:D16)</f>
        <v>7586202.9526224006</v>
      </c>
    </row>
    <row r="17" spans="2:11" ht="15.75" thickBot="1" x14ac:dyDescent="0.3">
      <c r="B17" s="128" t="s">
        <v>35</v>
      </c>
      <c r="C17" s="189">
        <f>'Appendix Table 2 details'!C45</f>
        <v>2116735.1999999997</v>
      </c>
      <c r="D17" s="188">
        <f>'Appendix Table 2 details'!C51</f>
        <v>1453405.1136095999</v>
      </c>
      <c r="E17" s="74">
        <f>SUM(C17:D17)</f>
        <v>3570140.3136095996</v>
      </c>
    </row>
    <row r="18" spans="2:11" ht="15.75" thickBot="1" x14ac:dyDescent="0.3">
      <c r="B18" s="128" t="s">
        <v>36</v>
      </c>
      <c r="C18" s="190">
        <f>'Appendix Table 2 details'!C46+'Appendix Table 2 details'!D59</f>
        <v>1572573</v>
      </c>
      <c r="D18" s="191">
        <f>'Appendix Table 2 details'!C52-'Appendix Table 2 details'!D59</f>
        <v>496991</v>
      </c>
      <c r="E18" s="74">
        <f>SUM(C18,D18)</f>
        <v>2069564</v>
      </c>
    </row>
    <row r="19" spans="2:11" ht="15.75" thickBot="1" x14ac:dyDescent="0.3">
      <c r="B19" s="152"/>
      <c r="C19" s="153"/>
      <c r="D19" s="154"/>
      <c r="E19" s="91">
        <f>SUM(E16:E18)</f>
        <v>13225907.266232001</v>
      </c>
    </row>
    <row r="20" spans="2:11" ht="15.75" thickBot="1" x14ac:dyDescent="0.3">
      <c r="B20" s="75" t="s">
        <v>43</v>
      </c>
      <c r="C20" s="76">
        <f>SUM(C16:C18)/E19</f>
        <v>0.72572566605742828</v>
      </c>
      <c r="D20" s="76">
        <f>SUM(D16:D18)/E19</f>
        <v>0.27427433394257161</v>
      </c>
      <c r="E20" s="155"/>
    </row>
    <row r="21" spans="2:11" ht="15.75" thickBot="1" x14ac:dyDescent="0.3">
      <c r="B21" s="77" t="s">
        <v>44</v>
      </c>
      <c r="C21" s="78"/>
      <c r="D21" s="79"/>
      <c r="E21" s="80">
        <f>'Appendix Table 2 details'!C72</f>
        <v>709655</v>
      </c>
    </row>
    <row r="22" spans="2:11" ht="15.75" thickBot="1" x14ac:dyDescent="0.3">
      <c r="B22" s="77" t="s">
        <v>38</v>
      </c>
      <c r="C22" s="78"/>
      <c r="D22" s="79"/>
      <c r="E22" s="81">
        <f>'Appendix Table 2 details'!C73</f>
        <v>94340</v>
      </c>
    </row>
    <row r="23" spans="2:11" ht="15.75" thickBot="1" x14ac:dyDescent="0.3">
      <c r="B23" s="77" t="s">
        <v>37</v>
      </c>
      <c r="C23" s="78"/>
      <c r="D23" s="79"/>
      <c r="E23" s="81">
        <f>'Appendix Table 2 details'!C74</f>
        <v>160000</v>
      </c>
    </row>
    <row r="24" spans="2:11" ht="15.75" thickBot="1" x14ac:dyDescent="0.3">
      <c r="B24" s="270" t="s">
        <v>155</v>
      </c>
      <c r="C24" s="271"/>
      <c r="D24" s="271"/>
      <c r="E24" s="88">
        <f>SUM(E19:E23)</f>
        <v>14189902.266232001</v>
      </c>
    </row>
    <row r="25" spans="2:11" ht="15.75" thickBot="1" x14ac:dyDescent="0.3">
      <c r="B25" s="127" t="s">
        <v>48</v>
      </c>
      <c r="C25" s="90">
        <f>SUM(C6:C8,C16:C18)/($E$9+$E$19)</f>
        <v>0.71574985383265533</v>
      </c>
      <c r="D25" s="90">
        <f>SUM(D6:D8,D16:D18)/($E$9+$E$19)</f>
        <v>0.28425014616734479</v>
      </c>
      <c r="E25" s="156"/>
    </row>
    <row r="26" spans="2:11" x14ac:dyDescent="0.25">
      <c r="B26" s="83" t="s">
        <v>156</v>
      </c>
    </row>
    <row r="29" spans="2:11" x14ac:dyDescent="0.25">
      <c r="K29" s="82"/>
    </row>
  </sheetData>
  <mergeCells count="5">
    <mergeCell ref="B4:E4"/>
    <mergeCell ref="B13:D13"/>
    <mergeCell ref="B14:E14"/>
    <mergeCell ref="B24:D24"/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EA59-EACE-421D-B552-323D689035FC}">
  <dimension ref="A1:D10"/>
  <sheetViews>
    <sheetView workbookViewId="0">
      <selection activeCell="B18" sqref="B18"/>
    </sheetView>
  </sheetViews>
  <sheetFormatPr defaultRowHeight="15" x14ac:dyDescent="0.25"/>
  <cols>
    <col min="1" max="3" width="34.28515625" customWidth="1"/>
    <col min="4" max="4" width="44.42578125" customWidth="1"/>
  </cols>
  <sheetData>
    <row r="1" spans="1:4" x14ac:dyDescent="0.25">
      <c r="A1" s="193" t="s">
        <v>124</v>
      </c>
    </row>
    <row r="2" spans="1:4" ht="15.75" thickBot="1" x14ac:dyDescent="0.3"/>
    <row r="3" spans="1:4" ht="32.25" thickBot="1" x14ac:dyDescent="0.3">
      <c r="B3" s="111" t="s">
        <v>93</v>
      </c>
      <c r="C3" s="112"/>
      <c r="D3" s="113"/>
    </row>
    <row r="4" spans="1:4" ht="16.5" thickBot="1" x14ac:dyDescent="0.3">
      <c r="B4" s="107" t="s">
        <v>94</v>
      </c>
      <c r="C4" s="108" t="s">
        <v>95</v>
      </c>
      <c r="D4" s="108" t="s">
        <v>96</v>
      </c>
    </row>
    <row r="5" spans="1:4" ht="15.75" thickBot="1" x14ac:dyDescent="0.3">
      <c r="B5" s="109" t="s">
        <v>97</v>
      </c>
      <c r="C5" s="110" t="s">
        <v>98</v>
      </c>
      <c r="D5" s="110" t="s">
        <v>99</v>
      </c>
    </row>
    <row r="6" spans="1:4" ht="15.75" thickBot="1" x14ac:dyDescent="0.3">
      <c r="B6" s="109" t="s">
        <v>100</v>
      </c>
      <c r="C6" s="110" t="s">
        <v>101</v>
      </c>
      <c r="D6" s="110" t="s">
        <v>102</v>
      </c>
    </row>
    <row r="7" spans="1:4" ht="15.75" thickBot="1" x14ac:dyDescent="0.3">
      <c r="B7" s="109"/>
      <c r="C7" s="110" t="s">
        <v>103</v>
      </c>
      <c r="D7" s="110" t="s">
        <v>104</v>
      </c>
    </row>
    <row r="8" spans="1:4" ht="15.75" thickBot="1" x14ac:dyDescent="0.3">
      <c r="B8" s="109"/>
      <c r="C8" s="110"/>
      <c r="D8" s="110" t="s">
        <v>105</v>
      </c>
    </row>
    <row r="9" spans="1:4" ht="15.75" thickBot="1" x14ac:dyDescent="0.3">
      <c r="B9" s="109"/>
      <c r="C9" s="110"/>
      <c r="D9" s="110" t="s">
        <v>106</v>
      </c>
    </row>
    <row r="10" spans="1:4" ht="205.5" customHeight="1" thickBot="1" x14ac:dyDescent="0.3">
      <c r="B10" s="114"/>
      <c r="C10" s="115"/>
      <c r="D10" s="11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2A8E0-BD1F-4776-A479-4BB084716115}">
  <dimension ref="A1:G21"/>
  <sheetViews>
    <sheetView workbookViewId="0">
      <selection activeCell="G29" sqref="G29"/>
    </sheetView>
  </sheetViews>
  <sheetFormatPr defaultRowHeight="15" x14ac:dyDescent="0.25"/>
  <cols>
    <col min="2" max="2" width="5.7109375" bestFit="1" customWidth="1"/>
    <col min="3" max="3" width="24.5703125" bestFit="1" customWidth="1"/>
    <col min="4" max="4" width="14.7109375" bestFit="1" customWidth="1"/>
    <col min="5" max="5" width="22.7109375" bestFit="1" customWidth="1"/>
    <col min="6" max="6" width="19.5703125" bestFit="1" customWidth="1"/>
    <col min="7" max="7" width="25" bestFit="1" customWidth="1"/>
  </cols>
  <sheetData>
    <row r="1" spans="1:7" x14ac:dyDescent="0.25">
      <c r="A1" s="272" t="s">
        <v>161</v>
      </c>
      <c r="B1" s="273"/>
      <c r="C1" s="273"/>
      <c r="D1" s="273"/>
      <c r="E1" s="273"/>
    </row>
    <row r="2" spans="1:7" ht="15.75" thickBot="1" x14ac:dyDescent="0.3"/>
    <row r="3" spans="1:7" ht="15.75" thickBot="1" x14ac:dyDescent="0.3">
      <c r="B3" s="274"/>
      <c r="C3" s="275"/>
      <c r="D3" s="275"/>
      <c r="E3" s="275"/>
      <c r="F3" s="275"/>
      <c r="G3" s="276"/>
    </row>
    <row r="4" spans="1:7" ht="26.25" thickBot="1" x14ac:dyDescent="0.3">
      <c r="B4" s="175" t="s">
        <v>107</v>
      </c>
      <c r="C4" s="176" t="s">
        <v>108</v>
      </c>
      <c r="D4" s="176" t="s">
        <v>109</v>
      </c>
      <c r="E4" s="176" t="s">
        <v>110</v>
      </c>
      <c r="F4" s="176" t="s">
        <v>111</v>
      </c>
      <c r="G4" s="176" t="s">
        <v>112</v>
      </c>
    </row>
    <row r="5" spans="1:7" ht="15.75" thickBot="1" x14ac:dyDescent="0.3">
      <c r="B5" s="175">
        <v>2008</v>
      </c>
      <c r="C5" s="177">
        <v>46</v>
      </c>
      <c r="D5" s="178">
        <v>13985</v>
      </c>
      <c r="E5" s="179">
        <v>101631</v>
      </c>
      <c r="F5" s="179">
        <v>2209</v>
      </c>
      <c r="G5" s="180">
        <v>13.06</v>
      </c>
    </row>
    <row r="6" spans="1:7" ht="15.75" thickBot="1" x14ac:dyDescent="0.3">
      <c r="B6" s="175">
        <v>2009</v>
      </c>
      <c r="C6" s="177">
        <v>55</v>
      </c>
      <c r="D6" s="178">
        <v>14733</v>
      </c>
      <c r="E6" s="179">
        <v>168378</v>
      </c>
      <c r="F6" s="179">
        <v>3061</v>
      </c>
      <c r="G6" s="180">
        <v>13.06</v>
      </c>
    </row>
    <row r="7" spans="1:7" ht="15.75" thickBot="1" x14ac:dyDescent="0.3">
      <c r="B7" s="175">
        <v>2010</v>
      </c>
      <c r="C7" s="177">
        <v>112</v>
      </c>
      <c r="D7" s="178">
        <v>30809</v>
      </c>
      <c r="E7" s="179">
        <v>358316</v>
      </c>
      <c r="F7" s="179">
        <v>3199</v>
      </c>
      <c r="G7" s="180">
        <v>13.06</v>
      </c>
    </row>
    <row r="8" spans="1:7" ht="15.75" thickBot="1" x14ac:dyDescent="0.3">
      <c r="B8" s="175">
        <v>2011</v>
      </c>
      <c r="C8" s="177">
        <v>85</v>
      </c>
      <c r="D8" s="178">
        <v>24130</v>
      </c>
      <c r="E8" s="179">
        <v>251248</v>
      </c>
      <c r="F8" s="179">
        <v>2991</v>
      </c>
      <c r="G8" s="180">
        <v>11.66</v>
      </c>
    </row>
    <row r="9" spans="1:7" ht="15.75" thickBot="1" x14ac:dyDescent="0.3">
      <c r="B9" s="175">
        <v>2012</v>
      </c>
      <c r="C9" s="177">
        <v>64</v>
      </c>
      <c r="D9" s="178">
        <v>21824</v>
      </c>
      <c r="E9" s="179">
        <v>233162</v>
      </c>
      <c r="F9" s="179">
        <v>3643</v>
      </c>
      <c r="G9" s="180">
        <v>11.66</v>
      </c>
    </row>
    <row r="10" spans="1:7" ht="15.75" thickBot="1" x14ac:dyDescent="0.3">
      <c r="B10" s="175">
        <v>2013</v>
      </c>
      <c r="C10" s="177">
        <v>38</v>
      </c>
      <c r="D10" s="178">
        <v>14960</v>
      </c>
      <c r="E10" s="179">
        <v>132882</v>
      </c>
      <c r="F10" s="179">
        <v>3497</v>
      </c>
      <c r="G10" s="180">
        <v>8.09</v>
      </c>
    </row>
    <row r="11" spans="1:7" ht="15.75" thickBot="1" x14ac:dyDescent="0.3">
      <c r="B11" s="175">
        <v>2014</v>
      </c>
      <c r="C11" s="177">
        <v>21</v>
      </c>
      <c r="D11" s="178">
        <v>7338</v>
      </c>
      <c r="E11" s="179">
        <v>54374</v>
      </c>
      <c r="F11" s="179">
        <v>2589</v>
      </c>
      <c r="G11" s="180">
        <v>8.09</v>
      </c>
    </row>
    <row r="12" spans="1:7" ht="15.75" thickBot="1" x14ac:dyDescent="0.3">
      <c r="B12" s="175">
        <v>2015</v>
      </c>
      <c r="C12" s="177">
        <v>19</v>
      </c>
      <c r="D12" s="178">
        <v>11724</v>
      </c>
      <c r="E12" s="179">
        <v>89508</v>
      </c>
      <c r="F12" s="179">
        <v>4711</v>
      </c>
      <c r="G12" s="180">
        <v>8.09</v>
      </c>
    </row>
    <row r="13" spans="1:7" ht="15.75" thickBot="1" x14ac:dyDescent="0.3">
      <c r="B13" s="175">
        <v>2016</v>
      </c>
      <c r="C13" s="177">
        <v>24</v>
      </c>
      <c r="D13" s="178">
        <v>11743</v>
      </c>
      <c r="E13" s="179">
        <v>87065</v>
      </c>
      <c r="F13" s="179">
        <v>3628</v>
      </c>
      <c r="G13" s="180">
        <v>8.09</v>
      </c>
    </row>
    <row r="14" spans="1:7" ht="15.75" thickBot="1" x14ac:dyDescent="0.3">
      <c r="B14" s="175">
        <v>2017</v>
      </c>
      <c r="C14" s="177">
        <v>27</v>
      </c>
      <c r="D14" s="178">
        <v>5564</v>
      </c>
      <c r="E14" s="179">
        <v>165935</v>
      </c>
      <c r="F14" s="179">
        <v>6146</v>
      </c>
      <c r="G14" s="180">
        <v>8.09</v>
      </c>
    </row>
    <row r="15" spans="1:7" ht="15.75" thickBot="1" x14ac:dyDescent="0.3">
      <c r="B15" s="175">
        <v>2018</v>
      </c>
      <c r="C15" s="177">
        <v>28</v>
      </c>
      <c r="D15" s="177">
        <v>5181</v>
      </c>
      <c r="E15" s="179">
        <v>234667</v>
      </c>
      <c r="F15" s="179">
        <v>8381</v>
      </c>
      <c r="G15" s="180">
        <v>18.77</v>
      </c>
    </row>
    <row r="16" spans="1:7" ht="15.75" thickBot="1" x14ac:dyDescent="0.3">
      <c r="B16" s="175">
        <v>2019</v>
      </c>
      <c r="C16" s="177">
        <v>66</v>
      </c>
      <c r="D16" s="178">
        <v>13416</v>
      </c>
      <c r="E16" s="179">
        <v>910314</v>
      </c>
      <c r="F16" s="179">
        <v>13793</v>
      </c>
      <c r="G16" s="180">
        <v>30.98</v>
      </c>
    </row>
    <row r="17" spans="2:7" ht="15.75" thickBot="1" x14ac:dyDescent="0.3">
      <c r="B17" s="175" t="s">
        <v>113</v>
      </c>
      <c r="C17" s="177">
        <v>38</v>
      </c>
      <c r="D17" s="178">
        <v>8125</v>
      </c>
      <c r="E17" s="179">
        <v>552684</v>
      </c>
      <c r="F17" s="179">
        <v>14544</v>
      </c>
      <c r="G17" s="186">
        <v>30.98</v>
      </c>
    </row>
    <row r="18" spans="2:7" ht="15.75" thickBot="1" x14ac:dyDescent="0.3">
      <c r="B18" s="175" t="s">
        <v>113</v>
      </c>
      <c r="C18" s="177">
        <v>5</v>
      </c>
      <c r="D18" s="178">
        <v>1088</v>
      </c>
      <c r="E18" s="179">
        <v>86785</v>
      </c>
      <c r="F18" s="179">
        <v>17357</v>
      </c>
      <c r="G18" s="180">
        <v>24.85</v>
      </c>
    </row>
    <row r="19" spans="2:7" ht="15.75" thickBot="1" x14ac:dyDescent="0.3">
      <c r="B19" s="181">
        <v>2021</v>
      </c>
      <c r="C19" s="182">
        <v>37</v>
      </c>
      <c r="D19" s="183">
        <v>8265</v>
      </c>
      <c r="E19" s="184">
        <v>663762</v>
      </c>
      <c r="F19" s="184">
        <v>17940</v>
      </c>
      <c r="G19" s="185">
        <v>24.85</v>
      </c>
    </row>
    <row r="20" spans="2:7" ht="15.75" thickBot="1" x14ac:dyDescent="0.3">
      <c r="B20" s="181" t="s">
        <v>143</v>
      </c>
      <c r="C20" s="182">
        <v>22</v>
      </c>
      <c r="D20" s="183">
        <v>4524</v>
      </c>
      <c r="E20" s="184">
        <v>318782</v>
      </c>
      <c r="F20" s="184">
        <v>14490</v>
      </c>
      <c r="G20" s="185">
        <v>24.85</v>
      </c>
    </row>
    <row r="21" spans="2:7" ht="15.75" thickBot="1" x14ac:dyDescent="0.3">
      <c r="B21" s="181" t="s">
        <v>143</v>
      </c>
      <c r="C21" s="182">
        <v>14</v>
      </c>
      <c r="D21" s="183">
        <v>3163</v>
      </c>
      <c r="E21" s="184">
        <v>204396</v>
      </c>
      <c r="F21" s="184">
        <v>14600</v>
      </c>
      <c r="G21" s="185">
        <v>30.98</v>
      </c>
    </row>
  </sheetData>
  <mergeCells count="2">
    <mergeCell ref="A1:E1"/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EC96-A921-40E6-BBD3-D67F97EFF806}">
  <dimension ref="A1:C16"/>
  <sheetViews>
    <sheetView tabSelected="1" workbookViewId="0">
      <selection activeCell="J1" sqref="J1"/>
    </sheetView>
  </sheetViews>
  <sheetFormatPr defaultRowHeight="15" x14ac:dyDescent="0.25"/>
  <cols>
    <col min="3" max="3" width="48.7109375" customWidth="1"/>
  </cols>
  <sheetData>
    <row r="1" spans="1:3" x14ac:dyDescent="0.25">
      <c r="A1" s="277" t="s">
        <v>158</v>
      </c>
      <c r="B1" s="277"/>
      <c r="C1" s="277"/>
    </row>
    <row r="2" spans="1:3" ht="15.75" thickBot="1" x14ac:dyDescent="0.3"/>
    <row r="3" spans="1:3" ht="16.5" thickBot="1" x14ac:dyDescent="0.3">
      <c r="B3" s="117" t="s">
        <v>107</v>
      </c>
      <c r="C3" s="118" t="s">
        <v>157</v>
      </c>
    </row>
    <row r="4" spans="1:3" ht="15.75" thickBot="1" x14ac:dyDescent="0.3">
      <c r="B4" s="119">
        <v>2020</v>
      </c>
      <c r="C4" s="124">
        <v>348908</v>
      </c>
    </row>
    <row r="5" spans="1:3" ht="15.75" thickBot="1" x14ac:dyDescent="0.3">
      <c r="B5" s="122">
        <v>2021</v>
      </c>
      <c r="C5" s="124">
        <v>348908</v>
      </c>
    </row>
    <row r="6" spans="1:3" ht="16.5" thickTop="1" thickBot="1" x14ac:dyDescent="0.3">
      <c r="B6" s="123">
        <v>2022</v>
      </c>
      <c r="C6" s="124">
        <v>348908</v>
      </c>
    </row>
    <row r="7" spans="1:3" ht="16.5" thickTop="1" thickBot="1" x14ac:dyDescent="0.3">
      <c r="B7" s="123">
        <v>2023</v>
      </c>
      <c r="C7" s="124">
        <v>348908</v>
      </c>
    </row>
    <row r="8" spans="1:3" ht="16.5" thickTop="1" thickBot="1" x14ac:dyDescent="0.3">
      <c r="B8" s="119">
        <v>2024</v>
      </c>
      <c r="C8" s="124">
        <v>348908</v>
      </c>
    </row>
    <row r="9" spans="1:3" ht="32.25" thickBot="1" x14ac:dyDescent="0.3">
      <c r="B9" s="120" t="s">
        <v>114</v>
      </c>
      <c r="C9" s="121">
        <v>1744540</v>
      </c>
    </row>
    <row r="10" spans="1:3" ht="15.75" thickBot="1" x14ac:dyDescent="0.3">
      <c r="B10" s="119">
        <v>2025</v>
      </c>
      <c r="C10" s="195">
        <v>651234</v>
      </c>
    </row>
    <row r="11" spans="1:3" ht="15.75" thickBot="1" x14ac:dyDescent="0.3">
      <c r="B11" s="122">
        <v>2026</v>
      </c>
      <c r="C11" s="195">
        <v>651234</v>
      </c>
    </row>
    <row r="12" spans="1:3" ht="16.5" thickTop="1" thickBot="1" x14ac:dyDescent="0.3">
      <c r="B12" s="119">
        <v>2027</v>
      </c>
      <c r="C12" s="195">
        <v>651234</v>
      </c>
    </row>
    <row r="13" spans="1:3" ht="15.75" thickBot="1" x14ac:dyDescent="0.3">
      <c r="B13" s="122">
        <v>2028</v>
      </c>
      <c r="C13" s="195">
        <v>651234</v>
      </c>
    </row>
    <row r="14" spans="1:3" ht="16.5" thickTop="1" thickBot="1" x14ac:dyDescent="0.3">
      <c r="B14" s="119">
        <v>2029</v>
      </c>
      <c r="C14" s="195">
        <v>651234</v>
      </c>
    </row>
    <row r="15" spans="1:3" ht="32.25" thickBot="1" x14ac:dyDescent="0.3">
      <c r="B15" s="120" t="s">
        <v>159</v>
      </c>
      <c r="C15" s="121">
        <v>3256170</v>
      </c>
    </row>
    <row r="16" spans="1:3" ht="39" customHeight="1" x14ac:dyDescent="0.25">
      <c r="B16" s="278"/>
      <c r="C16" s="278"/>
    </row>
  </sheetData>
  <mergeCells count="2">
    <mergeCell ref="A1:C1"/>
    <mergeCell ref="B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0AC263BA319A41A5EAD400E8A077FB" ma:contentTypeVersion="24" ma:contentTypeDescription="" ma:contentTypeScope="" ma:versionID="284b4688e378103f23a136f7029b7a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230937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592D54-C257-46BE-AD63-D98C5212BEE0}"/>
</file>

<file path=customXml/itemProps2.xml><?xml version="1.0" encoding="utf-8"?>
<ds:datastoreItem xmlns:ds="http://schemas.openxmlformats.org/officeDocument/2006/customXml" ds:itemID="{B540DC71-12A0-441B-BD9C-029E3910A362}"/>
</file>

<file path=customXml/itemProps3.xml><?xml version="1.0" encoding="utf-8"?>
<ds:datastoreItem xmlns:ds="http://schemas.openxmlformats.org/officeDocument/2006/customXml" ds:itemID="{7CEC9414-E71E-4D76-AE12-E790AEB3C873}"/>
</file>

<file path=customXml/itemProps4.xml><?xml version="1.0" encoding="utf-8"?>
<ds:datastoreItem xmlns:ds="http://schemas.openxmlformats.org/officeDocument/2006/customXml" ds:itemID="{8832C36C-E714-4F34-851D-03C2A552E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Savings Potential</vt:lpstr>
      <vt:lpstr>Table 1</vt:lpstr>
      <vt:lpstr>Table 2</vt:lpstr>
      <vt:lpstr>Appendix Table 2 details</vt:lpstr>
      <vt:lpstr>Table 3</vt:lpstr>
      <vt:lpstr>Table 4</vt:lpstr>
      <vt:lpstr>Table 5</vt:lpstr>
      <vt:lpstr>Table 6</vt:lpstr>
      <vt:lpstr>Table 7</vt:lpstr>
      <vt:lpstr>'Table 7'!_Hlk53425096</vt:lpstr>
      <vt:lpstr>'Table 7'!_Hlk53425129</vt:lpstr>
      <vt:lpstr>'Table 5'!_Toc83807174</vt:lpstr>
      <vt:lpstr>'Table 6'!_Toc83807177</vt:lpstr>
      <vt:lpstr>'Table 7'!_Toc83807180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Cowlishaw, Monica</dc:creator>
  <cp:lastModifiedBy>Reimer, Caleb</cp:lastModifiedBy>
  <dcterms:created xsi:type="dcterms:W3CDTF">2021-09-12T21:16:40Z</dcterms:created>
  <dcterms:modified xsi:type="dcterms:W3CDTF">2023-11-09T17:44:43Z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0x0101006E56B4D1795A2E4DB2F0B01679ED314A00040AC263BA319A41A5EAD400E8A077FB</vt:lpwstr>
  </property>
  <property fmtid="{D5CDD505-2E9C-101B-9397-08002B2CF9AE}" pid="3" name="_docset_NoMedatataSyncRequired">
    <vt:lpwstr>False</vt:lpwstr>
  </property>
</Properties>
</file>