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ustomProperty5.bin" ContentType="application/vnd.openxmlformats-officedocument.spreadsheetml.customProperty"/>
  <Override PartName="/xl/customProperty6.bin" ContentType="application/vnd.openxmlformats-officedocument.spreadsheetml.customProperty"/>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comments1.xml" ContentType="application/vnd.openxmlformats-officedocument.spreadsheetml.comments+xml"/>
  <Override PartName="/xl/drawings/drawing3.xml" ContentType="application/vnd.openxmlformats-officedocument.drawing+xml"/>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comments2.xml" ContentType="application/vnd.openxmlformats-officedocument.spreadsheetml.comments+xml"/>
  <Override PartName="/xl/comments3.xml" ContentType="application/vnd.openxmlformats-officedocument.spreadsheetml.comments+xml"/>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J:\GrpRates\Public\Schedule 91\For 2023\"/>
    </mc:Choice>
  </mc:AlternateContent>
  <bookViews>
    <workbookView xWindow="0" yWindow="0" windowWidth="23040" windowHeight="9540" tabRatio="947"/>
  </bookViews>
  <sheets>
    <sheet name="READ ME" sheetId="48" r:id="rId1"/>
    <sheet name="Comparison" sheetId="47" r:id="rId2"/>
    <sheet name="Output - Summary" sheetId="45" r:id="rId3"/>
    <sheet name="Output - 5yr Baseload" sheetId="42" r:id="rId4"/>
    <sheet name="Output - 10yr Baseload" sheetId="39" r:id="rId5"/>
    <sheet name="Output - 15yr Baseload" sheetId="13" r:id="rId6"/>
    <sheet name="Output - 10yr Wind" sheetId="40" r:id="rId7"/>
    <sheet name="Output - 15yr Wind" sheetId="26" r:id="rId8"/>
    <sheet name="Output - 10yr Solar" sheetId="41" r:id="rId9"/>
    <sheet name="Output - 15yr Solar" sheetId="27" r:id="rId10"/>
    <sheet name="Electric EES CE Std Energy" sheetId="5" r:id="rId11"/>
    <sheet name="FlatLoadShapeEnergy_perMWh" sheetId="9" r:id="rId12"/>
    <sheet name="Baseload Avoided Capacity Calcs" sheetId="7" r:id="rId13"/>
    <sheet name="Wind Avoided Capacity Calcs" sheetId="43" r:id="rId14"/>
    <sheet name="Solar Avoided Capacity Calcs" sheetId="44" r:id="rId15"/>
    <sheet name="Inputs-----&gt;" sheetId="38" r:id="rId16"/>
    <sheet name="Energy Prices" sheetId="22" r:id="rId17"/>
    <sheet name="Capacity Delivered" sheetId="23" r:id="rId18"/>
    <sheet name="Cost of Capital" sheetId="37" r:id="rId19"/>
  </sheets>
  <externalReferences>
    <externalReference r:id="rId20"/>
    <externalReference r:id="rId21"/>
  </externalReferences>
  <definedNames>
    <definedName name="CaseDescription">[1]Assumptions!$A$2</definedName>
    <definedName name="PreTaxWACC">[2]Assumptions!$O$24</definedName>
    <definedName name="_xlnm.Print_Area" localSheetId="12">'Baseload Avoided Capacity Calcs'!$B$4:$K$30</definedName>
    <definedName name="_xlnm.Print_Area" localSheetId="17">'Capacity Delivered'!$B$3:$S$28</definedName>
    <definedName name="_xlnm.Print_Area" localSheetId="10">'Electric EES CE Std Energy'!$B$2:$F$29</definedName>
    <definedName name="_xlnm.Print_Area" localSheetId="11">FlatLoadShapeEnergy_perMWh!$B$4:$P$33</definedName>
    <definedName name="_xlnm.Print_Area" localSheetId="4">'Output - 10yr Baseload'!$B$2:$AC$35</definedName>
    <definedName name="_xlnm.Print_Area" localSheetId="8">'Output - 10yr Solar'!$B$2:$AC$35</definedName>
    <definedName name="_xlnm.Print_Area" localSheetId="6">'Output - 10yr Wind'!$B$2:$AC$35</definedName>
    <definedName name="_xlnm.Print_Area" localSheetId="5">'Output - 15yr Baseload'!$B$2:$AD$35</definedName>
    <definedName name="_xlnm.Print_Area" localSheetId="9">'Output - 15yr Solar'!$B$2:$AD$35</definedName>
    <definedName name="_xlnm.Print_Area" localSheetId="7">'Output - 15yr Wind'!$B$2:$AD$35</definedName>
    <definedName name="_xlnm.Print_Area" localSheetId="3">'Output - 5yr Baseload'!$B$2:$AC$35</definedName>
    <definedName name="_xlnm.Print_Area" localSheetId="2">'Output - Summary'!$B$2:$AB$9</definedName>
    <definedName name="_xlnm.Print_Area" localSheetId="14">'Solar Avoided Capacity Calcs'!$B$4:$K$30</definedName>
    <definedName name="_xlnm.Print_Area" localSheetId="13">'Wind Avoided Capacity Calcs'!$B$4:$K$30</definedName>
    <definedName name="Rate_of_Return">'Cost of Capital'!$F$16</definedName>
    <definedName name="solver_typ" localSheetId="10" hidden="1">2</definedName>
    <definedName name="solver_typ" localSheetId="6" hidden="1">2</definedName>
    <definedName name="solver_typ" localSheetId="7" hidden="1">2</definedName>
    <definedName name="solver_ver" localSheetId="10" hidden="1">10</definedName>
    <definedName name="solver_ver" localSheetId="6" hidden="1">17</definedName>
    <definedName name="solver_ver" localSheetId="7" hidden="1">17</definedName>
    <definedName name="Title">[1]Assumptions!$A$1</definedName>
    <definedName name="wrn.Customer._.Counts._.Electric." localSheetId="15"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localSheetId="0"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Gas." localSheetId="15" hidden="1">{#N/A,#N/A,FALSE,"Pg 6b CustCount_Gas";#N/A,#N/A,FALSE,"QA";#N/A,#N/A,FALSE,"Report";#N/A,#N/A,FALSE,"forecast"}</definedName>
    <definedName name="wrn.Customer._.Counts._.Gas." localSheetId="0" hidden="1">{#N/A,#N/A,FALSE,"Pg 6b CustCount_Gas";#N/A,#N/A,FALSE,"QA";#N/A,#N/A,FALSE,"Report";#N/A,#N/A,FALSE,"forecast"}</definedName>
    <definedName name="wrn.Customer._.Counts._.Gas." hidden="1">{#N/A,#N/A,FALSE,"Pg 6b CustCount_Gas";#N/A,#N/A,FALSE,"QA";#N/A,#N/A,FALSE,"Report";#N/A,#N/A,FALSE,"forecast"}</definedName>
    <definedName name="wrn.Incentive._.Overhead." localSheetId="15" hidden="1">{#N/A,#N/A,FALSE,"Coversheet";#N/A,#N/A,FALSE,"QA"}</definedName>
    <definedName name="wrn.Incentive._.Overhead." localSheetId="0" hidden="1">{#N/A,#N/A,FALSE,"Coversheet";#N/A,#N/A,FALSE,"QA"}</definedName>
    <definedName name="wrn.Incentive._.Overhead." hidden="1">{#N/A,#N/A,FALSE,"Coversheet";#N/A,#N/A,FALSE,"QA"}</definedName>
    <definedName name="wrn.MARGIN_WO_QTR." localSheetId="15" hidden="1">{#N/A,#N/A,FALSE,"Month ";#N/A,#N/A,FALSE,"YTD";#N/A,#N/A,FALSE,"12 mo ended"}</definedName>
    <definedName name="wrn.MARGIN_WO_QTR." localSheetId="0" hidden="1">{#N/A,#N/A,FALSE,"Month ";#N/A,#N/A,FALSE,"YTD";#N/A,#N/A,FALSE,"12 mo ended"}</definedName>
    <definedName name="wrn.MARGIN_WO_QTR." hidden="1">{#N/A,#N/A,FALSE,"Month ";#N/A,#N/A,FALSE,"YTD";#N/A,#N/A,FALSE,"12 mo ended"}</definedName>
    <definedName name="wrn.Municipal._.Reports." localSheetId="15"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localSheetId="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Small._.Tools._.Overhead." localSheetId="15" hidden="1">{#N/A,#N/A,FALSE,"2002 Small Tool OH";#N/A,#N/A,FALSE,"QA"}</definedName>
    <definedName name="wrn.Small._.Tools._.Overhead." localSheetId="0" hidden="1">{#N/A,#N/A,FALSE,"2002 Small Tool OH";#N/A,#N/A,FALSE,"QA"}</definedName>
    <definedName name="wrn.Small._.Tools._.Overhead." hidden="1">{#N/A,#N/A,FALSE,"2002 Small Tool OH";#N/A,#N/A,FALSE,"QA"}</definedName>
  </definedNames>
  <calcPr calcId="162913"/>
</workbook>
</file>

<file path=xl/calcChain.xml><?xml version="1.0" encoding="utf-8"?>
<calcChain xmlns="http://schemas.openxmlformats.org/spreadsheetml/2006/main">
  <c r="S8" i="23" l="1"/>
  <c r="Q8" i="23"/>
  <c r="P8" i="23"/>
  <c r="J7" i="9" l="1"/>
  <c r="K5" i="42"/>
  <c r="L6" i="42"/>
  <c r="F9" i="42"/>
  <c r="D6" i="44" l="1"/>
  <c r="D6" i="43"/>
  <c r="D6" i="7" l="1"/>
  <c r="F16" i="37" l="1"/>
  <c r="H7" i="23" l="1"/>
  <c r="P11" i="23"/>
  <c r="O10" i="23"/>
  <c r="N9" i="23"/>
  <c r="N7" i="23"/>
  <c r="I7" i="23"/>
  <c r="G7" i="23"/>
  <c r="C7" i="22"/>
  <c r="C8" i="22" s="1"/>
  <c r="C9" i="22" s="1"/>
  <c r="C10" i="22" s="1"/>
  <c r="C11" i="22" s="1"/>
  <c r="C12" i="22" s="1"/>
  <c r="C13" i="22" s="1"/>
  <c r="C14" i="22" s="1"/>
  <c r="C15" i="22" s="1"/>
  <c r="C16" i="22" s="1"/>
  <c r="C17" i="22" s="1"/>
  <c r="C18" i="22" s="1"/>
  <c r="C19" i="22" s="1"/>
  <c r="C20" i="22" s="1"/>
  <c r="C21" i="22" s="1"/>
  <c r="C22" i="22" s="1"/>
  <c r="C23" i="22" s="1"/>
  <c r="C24" i="22" s="1"/>
  <c r="C20" i="48" l="1"/>
  <c r="C18" i="48"/>
  <c r="A8" i="47" l="1"/>
  <c r="A9" i="47" s="1"/>
  <c r="A10" i="47" s="1"/>
  <c r="A11" i="47" s="1"/>
  <c r="A12" i="47" s="1"/>
  <c r="A13" i="47" s="1"/>
  <c r="A14" i="47" s="1"/>
  <c r="A15" i="47" s="1"/>
  <c r="A16" i="47" s="1"/>
  <c r="A17" i="47" s="1"/>
  <c r="A18" i="47" s="1"/>
  <c r="A19" i="47" s="1"/>
  <c r="A20" i="47" s="1"/>
  <c r="A21" i="47" s="1"/>
  <c r="A22" i="47" s="1"/>
  <c r="A23" i="47" s="1"/>
  <c r="A24" i="47" s="1"/>
  <c r="A25" i="47" s="1"/>
  <c r="A26" i="47" s="1"/>
  <c r="A27" i="47" s="1"/>
  <c r="B61" i="47" l="1"/>
  <c r="B60" i="47"/>
  <c r="B59" i="47"/>
  <c r="B58" i="47"/>
  <c r="B57" i="47"/>
  <c r="B56" i="47"/>
  <c r="B55" i="47"/>
  <c r="B54" i="47"/>
  <c r="B53" i="47"/>
  <c r="B52" i="47"/>
  <c r="B51" i="47"/>
  <c r="B50" i="47"/>
  <c r="B49" i="47"/>
  <c r="B48" i="47"/>
  <c r="B47" i="47"/>
  <c r="B46" i="47"/>
  <c r="B45" i="47"/>
  <c r="B44" i="47"/>
  <c r="B43" i="47"/>
  <c r="B42" i="47"/>
  <c r="B41" i="47"/>
  <c r="B38" i="47"/>
  <c r="B37" i="47"/>
  <c r="B34" i="47"/>
  <c r="B33" i="47"/>
  <c r="B32" i="47"/>
  <c r="B8" i="47"/>
  <c r="B9" i="47"/>
  <c r="B10" i="47"/>
  <c r="B11" i="47"/>
  <c r="B12" i="47"/>
  <c r="B13" i="47"/>
  <c r="B14" i="47"/>
  <c r="B15" i="47"/>
  <c r="B16" i="47"/>
  <c r="B17" i="47"/>
  <c r="B18" i="47"/>
  <c r="B19" i="47"/>
  <c r="B20" i="47"/>
  <c r="B21" i="47"/>
  <c r="B22" i="47"/>
  <c r="B23" i="47"/>
  <c r="B24" i="47"/>
  <c r="B25" i="47"/>
  <c r="B26" i="47"/>
  <c r="B27" i="47"/>
  <c r="B7" i="47"/>
  <c r="F5" i="27" l="1"/>
  <c r="F5" i="41"/>
  <c r="F5" i="26"/>
  <c r="F5" i="40"/>
  <c r="F5" i="13"/>
  <c r="F5" i="39"/>
  <c r="F5" i="42"/>
  <c r="B8" i="23"/>
  <c r="B9" i="23" s="1"/>
  <c r="B10" i="23" s="1"/>
  <c r="B11" i="23" s="1"/>
  <c r="B12" i="23" s="1"/>
  <c r="B13" i="23" s="1"/>
  <c r="B14" i="23" s="1"/>
  <c r="B15" i="23" s="1"/>
  <c r="B16" i="23" s="1"/>
  <c r="B17" i="23" s="1"/>
  <c r="B18" i="23" s="1"/>
  <c r="B19" i="23" s="1"/>
  <c r="B20" i="23" s="1"/>
  <c r="B21" i="23" s="1"/>
  <c r="B22" i="23" s="1"/>
  <c r="B23" i="23" s="1"/>
  <c r="B24" i="23" s="1"/>
  <c r="B25" i="23" s="1"/>
  <c r="B26" i="23" s="1"/>
  <c r="B27" i="23" s="1"/>
  <c r="B28" i="23" s="1"/>
  <c r="R8" i="23"/>
  <c r="P7" i="23"/>
  <c r="H7" i="44"/>
  <c r="Q7" i="23" l="1"/>
  <c r="H7" i="43"/>
  <c r="K7" i="23"/>
  <c r="F7" i="7" l="1"/>
  <c r="C17" i="48" l="1"/>
  <c r="O7" i="7"/>
  <c r="B63" i="47"/>
  <c r="F7" i="44"/>
  <c r="O7" i="44" s="1"/>
  <c r="F7" i="43"/>
  <c r="O7" i="43" s="1"/>
  <c r="G7" i="9"/>
  <c r="C8" i="23" l="1"/>
  <c r="C25" i="22"/>
  <c r="C26" i="22" s="1"/>
  <c r="C9" i="23" l="1"/>
  <c r="K8" i="23"/>
  <c r="F39" i="45"/>
  <c r="G39" i="45" s="1"/>
  <c r="H39" i="45" s="1"/>
  <c r="I39" i="45" s="1"/>
  <c r="J39" i="45" s="1"/>
  <c r="K39" i="45" s="1"/>
  <c r="L39" i="45" s="1"/>
  <c r="M39" i="45" s="1"/>
  <c r="N39" i="45" s="1"/>
  <c r="O39" i="45" s="1"/>
  <c r="P39" i="45" s="1"/>
  <c r="Q39" i="45" s="1"/>
  <c r="R39" i="45" s="1"/>
  <c r="S39" i="45" s="1"/>
  <c r="T39" i="45" s="1"/>
  <c r="U39" i="45" s="1"/>
  <c r="V39" i="45" s="1"/>
  <c r="F33" i="45"/>
  <c r="G33" i="45" s="1"/>
  <c r="H33" i="45" s="1"/>
  <c r="I33" i="45" s="1"/>
  <c r="J33" i="45" s="1"/>
  <c r="K33" i="45" s="1"/>
  <c r="L33" i="45" s="1"/>
  <c r="M33" i="45" s="1"/>
  <c r="N33" i="45" s="1"/>
  <c r="O33" i="45" s="1"/>
  <c r="P33" i="45" s="1"/>
  <c r="Q33" i="45" s="1"/>
  <c r="R33" i="45" s="1"/>
  <c r="S33" i="45" s="1"/>
  <c r="T33" i="45" s="1"/>
  <c r="U33" i="45" s="1"/>
  <c r="V33" i="45" s="1"/>
  <c r="F26" i="45"/>
  <c r="G26" i="45" s="1"/>
  <c r="H26" i="45" s="1"/>
  <c r="I26" i="45" s="1"/>
  <c r="J26" i="45" s="1"/>
  <c r="K26" i="45" s="1"/>
  <c r="L26" i="45" s="1"/>
  <c r="M26" i="45" s="1"/>
  <c r="N26" i="45" s="1"/>
  <c r="O26" i="45" s="1"/>
  <c r="P26" i="45" s="1"/>
  <c r="Q26" i="45" s="1"/>
  <c r="R26" i="45" s="1"/>
  <c r="S26" i="45" s="1"/>
  <c r="T26" i="45" s="1"/>
  <c r="U26" i="45" s="1"/>
  <c r="V26" i="45" s="1"/>
  <c r="F8" i="44"/>
  <c r="F9" i="44" s="1"/>
  <c r="F10" i="44" s="1"/>
  <c r="F11" i="44" s="1"/>
  <c r="F12" i="44" s="1"/>
  <c r="F13" i="44" s="1"/>
  <c r="F14" i="44" s="1"/>
  <c r="F15" i="44" s="1"/>
  <c r="F16" i="44" s="1"/>
  <c r="F17" i="44" s="1"/>
  <c r="F18" i="44" s="1"/>
  <c r="F19" i="44" s="1"/>
  <c r="F20" i="44" s="1"/>
  <c r="F21" i="44" s="1"/>
  <c r="F22" i="44" s="1"/>
  <c r="F23" i="44" s="1"/>
  <c r="F24" i="44" s="1"/>
  <c r="F25" i="44" s="1"/>
  <c r="F26" i="44" s="1"/>
  <c r="F27" i="44" s="1"/>
  <c r="C10" i="23" l="1"/>
  <c r="K9" i="23"/>
  <c r="N8" i="23"/>
  <c r="N10" i="23"/>
  <c r="N11" i="23"/>
  <c r="N12" i="23"/>
  <c r="N13" i="23"/>
  <c r="N14" i="23"/>
  <c r="N15" i="23"/>
  <c r="N16" i="23"/>
  <c r="N17" i="23"/>
  <c r="N18" i="23"/>
  <c r="N19" i="23"/>
  <c r="N20" i="23"/>
  <c r="N21" i="23"/>
  <c r="N22" i="23"/>
  <c r="N23" i="23"/>
  <c r="N24" i="23"/>
  <c r="N25" i="23"/>
  <c r="N26" i="23"/>
  <c r="N27" i="23"/>
  <c r="N28" i="23"/>
  <c r="R9" i="23"/>
  <c r="R10" i="23"/>
  <c r="R11" i="23"/>
  <c r="R12" i="23"/>
  <c r="R13" i="23"/>
  <c r="R14" i="23"/>
  <c r="R15" i="23"/>
  <c r="R16" i="23"/>
  <c r="R17" i="23"/>
  <c r="R18" i="23"/>
  <c r="R19" i="23"/>
  <c r="R20" i="23"/>
  <c r="R21" i="23"/>
  <c r="R22" i="23"/>
  <c r="R23" i="23"/>
  <c r="R24" i="23"/>
  <c r="R25" i="23"/>
  <c r="R26" i="23"/>
  <c r="R27" i="23"/>
  <c r="R28" i="23"/>
  <c r="R7" i="23"/>
  <c r="P9" i="23"/>
  <c r="P10" i="23"/>
  <c r="P12" i="23"/>
  <c r="P13" i="23"/>
  <c r="P14" i="23"/>
  <c r="P15" i="23"/>
  <c r="P16" i="23"/>
  <c r="P17" i="23"/>
  <c r="P18" i="23"/>
  <c r="P19" i="23"/>
  <c r="P20" i="23"/>
  <c r="P21" i="23"/>
  <c r="P22" i="23"/>
  <c r="P23" i="23"/>
  <c r="P24" i="23"/>
  <c r="P25" i="23"/>
  <c r="P26" i="23"/>
  <c r="P27" i="23"/>
  <c r="P28" i="23"/>
  <c r="C11" i="23" l="1"/>
  <c r="K10" i="23"/>
  <c r="O7" i="23"/>
  <c r="H7" i="7" l="1"/>
  <c r="C12" i="23"/>
  <c r="K11" i="23"/>
  <c r="S7" i="23"/>
  <c r="C13" i="23" l="1"/>
  <c r="K12" i="23"/>
  <c r="G19" i="42"/>
  <c r="F12" i="42"/>
  <c r="G12" i="42" s="1"/>
  <c r="H12" i="42" s="1"/>
  <c r="I12" i="42" s="1"/>
  <c r="J12" i="42" s="1"/>
  <c r="K12" i="42" s="1"/>
  <c r="L12" i="42" s="1"/>
  <c r="F12" i="27"/>
  <c r="F12" i="41"/>
  <c r="F12" i="26"/>
  <c r="F12" i="40"/>
  <c r="F12" i="13"/>
  <c r="F12" i="39"/>
  <c r="I27" i="9"/>
  <c r="J27" i="9" s="1"/>
  <c r="K27" i="9"/>
  <c r="I8" i="9"/>
  <c r="J8" i="9" s="1"/>
  <c r="I7" i="9"/>
  <c r="G8" i="9"/>
  <c r="G9" i="9" s="1"/>
  <c r="G10" i="9" s="1"/>
  <c r="G11" i="9" s="1"/>
  <c r="G12" i="9" s="1"/>
  <c r="G13" i="9" s="1"/>
  <c r="G14" i="9" s="1"/>
  <c r="G15" i="9" s="1"/>
  <c r="G16" i="9" s="1"/>
  <c r="G17" i="9" s="1"/>
  <c r="G18" i="9" s="1"/>
  <c r="G19" i="9" s="1"/>
  <c r="G20" i="9" s="1"/>
  <c r="G21" i="9" s="1"/>
  <c r="G22" i="9" s="1"/>
  <c r="G23" i="9" s="1"/>
  <c r="G24" i="9" s="1"/>
  <c r="G25" i="9" s="1"/>
  <c r="G26" i="9" s="1"/>
  <c r="G27" i="9" s="1"/>
  <c r="F8" i="7"/>
  <c r="F9" i="7" l="1"/>
  <c r="F8" i="43"/>
  <c r="C14" i="23"/>
  <c r="K13" i="23"/>
  <c r="H19" i="42"/>
  <c r="I19" i="9"/>
  <c r="J19" i="9" s="1"/>
  <c r="I13" i="23"/>
  <c r="H13" i="44" s="1"/>
  <c r="G19" i="41"/>
  <c r="H19" i="41" s="1"/>
  <c r="I19" i="41" s="1"/>
  <c r="G12" i="41"/>
  <c r="H12" i="41" s="1"/>
  <c r="I12" i="41" s="1"/>
  <c r="J12" i="41" s="1"/>
  <c r="K12" i="41" s="1"/>
  <c r="L12" i="41" s="1"/>
  <c r="M12" i="41" s="1"/>
  <c r="N12" i="41" s="1"/>
  <c r="O12" i="41" s="1"/>
  <c r="P12" i="41" s="1"/>
  <c r="Q12" i="41" s="1"/>
  <c r="G19" i="40"/>
  <c r="H19" i="40" s="1"/>
  <c r="G12" i="40"/>
  <c r="H12" i="40" s="1"/>
  <c r="I12" i="40" s="1"/>
  <c r="J12" i="40" s="1"/>
  <c r="K12" i="40" s="1"/>
  <c r="L12" i="40" s="1"/>
  <c r="M12" i="40" s="1"/>
  <c r="N12" i="40" s="1"/>
  <c r="O12" i="40" s="1"/>
  <c r="P12" i="40" s="1"/>
  <c r="Q12" i="40" s="1"/>
  <c r="G19" i="39"/>
  <c r="G12" i="39"/>
  <c r="H12" i="39" s="1"/>
  <c r="I12" i="39" s="1"/>
  <c r="J12" i="39" s="1"/>
  <c r="K12" i="39" s="1"/>
  <c r="L12" i="39" s="1"/>
  <c r="M12" i="39" s="1"/>
  <c r="N12" i="39" s="1"/>
  <c r="O12" i="39" s="1"/>
  <c r="P12" i="39" s="1"/>
  <c r="Q12" i="39" s="1"/>
  <c r="F10" i="7" l="1"/>
  <c r="F9" i="43"/>
  <c r="C15" i="23"/>
  <c r="K14" i="23"/>
  <c r="S13" i="23"/>
  <c r="I19" i="42"/>
  <c r="J19" i="41"/>
  <c r="I19" i="40"/>
  <c r="H19" i="39"/>
  <c r="C16" i="23" l="1"/>
  <c r="K15" i="23"/>
  <c r="F11" i="7"/>
  <c r="F10" i="43"/>
  <c r="J19" i="42"/>
  <c r="K19" i="41"/>
  <c r="J19" i="40"/>
  <c r="I19" i="39"/>
  <c r="F12" i="7" l="1"/>
  <c r="F11" i="43"/>
  <c r="C17" i="23"/>
  <c r="K16" i="23"/>
  <c r="L19" i="41"/>
  <c r="K19" i="40"/>
  <c r="J19" i="39"/>
  <c r="F13" i="7" l="1"/>
  <c r="F12" i="43"/>
  <c r="C18" i="23"/>
  <c r="K17" i="23"/>
  <c r="M19" i="41"/>
  <c r="L19" i="40"/>
  <c r="K19" i="39"/>
  <c r="C19" i="23" l="1"/>
  <c r="K18" i="23"/>
  <c r="F14" i="7"/>
  <c r="F13" i="43"/>
  <c r="N19" i="41"/>
  <c r="M19" i="40"/>
  <c r="L19" i="39"/>
  <c r="F15" i="7" l="1"/>
  <c r="F14" i="43"/>
  <c r="C20" i="23"/>
  <c r="K19" i="23"/>
  <c r="O19" i="41"/>
  <c r="N19" i="40"/>
  <c r="M19" i="39"/>
  <c r="F16" i="7" l="1"/>
  <c r="F15" i="43"/>
  <c r="C21" i="23"/>
  <c r="K20" i="23"/>
  <c r="O19" i="40"/>
  <c r="N19" i="39"/>
  <c r="C22" i="23" l="1"/>
  <c r="K21" i="23"/>
  <c r="F17" i="7"/>
  <c r="F16" i="43"/>
  <c r="O19" i="39"/>
  <c r="C23" i="23" l="1"/>
  <c r="K22" i="23"/>
  <c r="F18" i="7"/>
  <c r="F17" i="43"/>
  <c r="G12" i="13"/>
  <c r="H12" i="13" s="1"/>
  <c r="I12" i="13" s="1"/>
  <c r="J12" i="13" s="1"/>
  <c r="K12" i="13" s="1"/>
  <c r="L12" i="13" s="1"/>
  <c r="M12" i="13" s="1"/>
  <c r="N12" i="13" s="1"/>
  <c r="O12" i="13" s="1"/>
  <c r="P12" i="13" s="1"/>
  <c r="Q12" i="13" s="1"/>
  <c r="R12" i="13" s="1"/>
  <c r="S12" i="13" s="1"/>
  <c r="T12" i="13" s="1"/>
  <c r="U12" i="13" s="1"/>
  <c r="V12" i="13" s="1"/>
  <c r="G12" i="26"/>
  <c r="H12" i="26" s="1"/>
  <c r="I12" i="26" s="1"/>
  <c r="J12" i="26" s="1"/>
  <c r="K12" i="26" s="1"/>
  <c r="L12" i="26" s="1"/>
  <c r="M12" i="26" s="1"/>
  <c r="N12" i="26" s="1"/>
  <c r="O12" i="26" s="1"/>
  <c r="P12" i="26" s="1"/>
  <c r="Q12" i="26" s="1"/>
  <c r="R12" i="26" s="1"/>
  <c r="S12" i="26" s="1"/>
  <c r="T12" i="26" s="1"/>
  <c r="U12" i="26" s="1"/>
  <c r="V12" i="26" s="1"/>
  <c r="G12" i="27"/>
  <c r="H12" i="27" s="1"/>
  <c r="I12" i="27" s="1"/>
  <c r="J12" i="27" s="1"/>
  <c r="K12" i="27" s="1"/>
  <c r="L12" i="27" s="1"/>
  <c r="M12" i="27" s="1"/>
  <c r="N12" i="27" s="1"/>
  <c r="O12" i="27" s="1"/>
  <c r="P12" i="27" s="1"/>
  <c r="Q12" i="27" s="1"/>
  <c r="R12" i="27" s="1"/>
  <c r="S12" i="27" s="1"/>
  <c r="T12" i="27" s="1"/>
  <c r="U12" i="27" s="1"/>
  <c r="V12" i="27" s="1"/>
  <c r="K26" i="9"/>
  <c r="I9" i="9"/>
  <c r="J9" i="9" s="1"/>
  <c r="I10" i="9"/>
  <c r="I11" i="9"/>
  <c r="I12" i="9"/>
  <c r="I13" i="9"/>
  <c r="I14" i="9"/>
  <c r="I15" i="9"/>
  <c r="I16" i="9"/>
  <c r="I17" i="9"/>
  <c r="I18" i="9"/>
  <c r="I20" i="9"/>
  <c r="I21" i="9"/>
  <c r="I22" i="9"/>
  <c r="I23" i="9"/>
  <c r="I24" i="9"/>
  <c r="I25" i="9"/>
  <c r="I26" i="9"/>
  <c r="J26" i="9" s="1"/>
  <c r="F19" i="7" l="1"/>
  <c r="F18" i="43"/>
  <c r="C24" i="23"/>
  <c r="K23" i="23"/>
  <c r="F20" i="7" l="1"/>
  <c r="F19" i="43"/>
  <c r="C25" i="23"/>
  <c r="K24" i="23"/>
  <c r="C26" i="23" l="1"/>
  <c r="K25" i="23"/>
  <c r="F21" i="7"/>
  <c r="F20" i="43"/>
  <c r="D4" i="5"/>
  <c r="F20" i="37"/>
  <c r="F22" i="7" l="1"/>
  <c r="F21" i="43"/>
  <c r="C27" i="23"/>
  <c r="K26" i="23"/>
  <c r="O8" i="7"/>
  <c r="O9" i="7" s="1"/>
  <c r="O10" i="7" s="1"/>
  <c r="O11" i="7" s="1"/>
  <c r="O12" i="7" s="1"/>
  <c r="O13" i="7" s="1"/>
  <c r="O14" i="7" s="1"/>
  <c r="O15" i="7" s="1"/>
  <c r="O16" i="7" s="1"/>
  <c r="O17" i="7" s="1"/>
  <c r="O18" i="7" s="1"/>
  <c r="O19" i="7" s="1"/>
  <c r="O20" i="7" s="1"/>
  <c r="O21" i="7" s="1"/>
  <c r="O22" i="7" s="1"/>
  <c r="O23" i="7" s="1"/>
  <c r="O24" i="7" s="1"/>
  <c r="O25" i="7" s="1"/>
  <c r="O26" i="7" s="1"/>
  <c r="O27" i="7" s="1"/>
  <c r="O8" i="43"/>
  <c r="O9" i="43" s="1"/>
  <c r="O10" i="43" s="1"/>
  <c r="O11" i="43" s="1"/>
  <c r="O12" i="43" s="1"/>
  <c r="O13" i="43" s="1"/>
  <c r="O14" i="43" s="1"/>
  <c r="O15" i="43" s="1"/>
  <c r="O16" i="43" s="1"/>
  <c r="O17" i="43" s="1"/>
  <c r="O18" i="43" s="1"/>
  <c r="O19" i="43" s="1"/>
  <c r="O20" i="43" s="1"/>
  <c r="O21" i="43" s="1"/>
  <c r="O22" i="43" s="1"/>
  <c r="O23" i="43" s="1"/>
  <c r="O24" i="43" s="1"/>
  <c r="O25" i="43" s="1"/>
  <c r="O26" i="43" s="1"/>
  <c r="O8" i="44"/>
  <c r="O9" i="44" s="1"/>
  <c r="O10" i="44" s="1"/>
  <c r="O11" i="44" s="1"/>
  <c r="O12" i="44" s="1"/>
  <c r="X19" i="39"/>
  <c r="Y19" i="39" s="1"/>
  <c r="P29" i="22" l="1"/>
  <c r="D8" i="7"/>
  <c r="D8" i="43"/>
  <c r="D8" i="44"/>
  <c r="P28" i="22"/>
  <c r="B28" i="47"/>
  <c r="X19" i="42"/>
  <c r="Y19" i="42" s="1"/>
  <c r="F20" i="42" s="1"/>
  <c r="X19" i="41"/>
  <c r="Y19" i="41" s="1"/>
  <c r="M20" i="41" s="1"/>
  <c r="X19" i="40"/>
  <c r="Y19" i="40" s="1"/>
  <c r="G20" i="40" s="1"/>
  <c r="C28" i="23"/>
  <c r="K28" i="23" s="1"/>
  <c r="K27" i="23"/>
  <c r="F23" i="7"/>
  <c r="F22" i="43"/>
  <c r="O13" i="44"/>
  <c r="O14" i="44" s="1"/>
  <c r="O15" i="44" s="1"/>
  <c r="O16" i="44" s="1"/>
  <c r="O17" i="44" s="1"/>
  <c r="O18" i="44" s="1"/>
  <c r="O19" i="44" s="1"/>
  <c r="O20" i="44" s="1"/>
  <c r="O21" i="44" s="1"/>
  <c r="O22" i="44" s="1"/>
  <c r="O23" i="44" s="1"/>
  <c r="O24" i="44" s="1"/>
  <c r="O25" i="44" s="1"/>
  <c r="O26" i="44" s="1"/>
  <c r="O27" i="44" s="1"/>
  <c r="O27" i="43"/>
  <c r="I20" i="41"/>
  <c r="L20" i="41"/>
  <c r="I20" i="39"/>
  <c r="M20" i="39"/>
  <c r="F20" i="39"/>
  <c r="J20" i="39"/>
  <c r="N20" i="39"/>
  <c r="G20" i="39"/>
  <c r="K20" i="39"/>
  <c r="O20" i="39"/>
  <c r="H20" i="39"/>
  <c r="L20" i="39"/>
  <c r="J20" i="40"/>
  <c r="N20" i="40"/>
  <c r="G12" i="23"/>
  <c r="H12" i="7" s="1"/>
  <c r="N20" i="41" l="1"/>
  <c r="J20" i="41"/>
  <c r="F20" i="41"/>
  <c r="O20" i="41"/>
  <c r="K20" i="41"/>
  <c r="G20" i="41"/>
  <c r="H20" i="41"/>
  <c r="F20" i="40"/>
  <c r="M20" i="40"/>
  <c r="I20" i="40"/>
  <c r="H20" i="42"/>
  <c r="I20" i="42"/>
  <c r="O20" i="40"/>
  <c r="L20" i="40"/>
  <c r="X20" i="40" s="1"/>
  <c r="Y20" i="40" s="1"/>
  <c r="G20" i="42"/>
  <c r="X20" i="42" s="1"/>
  <c r="Y20" i="42" s="1"/>
  <c r="C19" i="48"/>
  <c r="I7" i="7"/>
  <c r="K20" i="40"/>
  <c r="H20" i="40"/>
  <c r="J20" i="42"/>
  <c r="F24" i="7"/>
  <c r="F23" i="43"/>
  <c r="X20" i="41"/>
  <c r="Y20" i="41" s="1"/>
  <c r="O12" i="23"/>
  <c r="X20" i="39"/>
  <c r="Y20" i="39" s="1"/>
  <c r="G8" i="23"/>
  <c r="O8" i="23" s="1"/>
  <c r="G9" i="23"/>
  <c r="H9" i="7" s="1"/>
  <c r="G10" i="23"/>
  <c r="G11" i="23"/>
  <c r="H11" i="7" s="1"/>
  <c r="P11" i="7" s="1"/>
  <c r="G13" i="23"/>
  <c r="H13" i="7" s="1"/>
  <c r="G14" i="23"/>
  <c r="H14" i="7" s="1"/>
  <c r="G15" i="23"/>
  <c r="H15" i="7" s="1"/>
  <c r="G16" i="23"/>
  <c r="H16" i="7" s="1"/>
  <c r="G17" i="23"/>
  <c r="H17" i="7" s="1"/>
  <c r="G18" i="23"/>
  <c r="G19" i="23"/>
  <c r="H19" i="7" s="1"/>
  <c r="G20" i="23"/>
  <c r="H20" i="7" s="1"/>
  <c r="G21" i="23"/>
  <c r="H21" i="7" s="1"/>
  <c r="G22" i="23"/>
  <c r="G23" i="23"/>
  <c r="H23" i="7" s="1"/>
  <c r="G24" i="23"/>
  <c r="H24" i="7" s="1"/>
  <c r="G25" i="23"/>
  <c r="H25" i="7" s="1"/>
  <c r="G26" i="23"/>
  <c r="G27" i="23"/>
  <c r="H27" i="7" s="1"/>
  <c r="I8" i="23"/>
  <c r="I9" i="23"/>
  <c r="H9" i="44" s="1"/>
  <c r="I10" i="23"/>
  <c r="H10" i="44" s="1"/>
  <c r="I11" i="23"/>
  <c r="H11" i="44" s="1"/>
  <c r="I12" i="23"/>
  <c r="H12" i="44" s="1"/>
  <c r="I14" i="23"/>
  <c r="H14" i="44" s="1"/>
  <c r="I15" i="23"/>
  <c r="H15" i="44" s="1"/>
  <c r="I16" i="23"/>
  <c r="H16" i="44" s="1"/>
  <c r="I17" i="23"/>
  <c r="H17" i="44" s="1"/>
  <c r="I18" i="23"/>
  <c r="H18" i="44" s="1"/>
  <c r="I19" i="23"/>
  <c r="H19" i="44" s="1"/>
  <c r="I20" i="23"/>
  <c r="H20" i="44" s="1"/>
  <c r="I21" i="23"/>
  <c r="H21" i="44" s="1"/>
  <c r="I22" i="23"/>
  <c r="H22" i="44" s="1"/>
  <c r="I23" i="23"/>
  <c r="H23" i="44" s="1"/>
  <c r="I24" i="23"/>
  <c r="H24" i="44" s="1"/>
  <c r="I25" i="23"/>
  <c r="H25" i="44" s="1"/>
  <c r="I26" i="23"/>
  <c r="H26" i="44" s="1"/>
  <c r="I27" i="23"/>
  <c r="H27" i="44" s="1"/>
  <c r="H9" i="23"/>
  <c r="H9" i="43" s="1"/>
  <c r="H10" i="23"/>
  <c r="H10" i="43" s="1"/>
  <c r="H11" i="23"/>
  <c r="H11" i="43" s="1"/>
  <c r="H12" i="23"/>
  <c r="H12" i="43" s="1"/>
  <c r="H13" i="23"/>
  <c r="H13" i="43" s="1"/>
  <c r="H14" i="23"/>
  <c r="H14" i="43" s="1"/>
  <c r="H15" i="23"/>
  <c r="H15" i="43" s="1"/>
  <c r="H16" i="23"/>
  <c r="H16" i="43" s="1"/>
  <c r="H17" i="23"/>
  <c r="H17" i="43" s="1"/>
  <c r="H18" i="23"/>
  <c r="H18" i="43" s="1"/>
  <c r="H19" i="23"/>
  <c r="H19" i="43" s="1"/>
  <c r="H20" i="23"/>
  <c r="H20" i="43" s="1"/>
  <c r="H21" i="23"/>
  <c r="H21" i="43" s="1"/>
  <c r="H22" i="23"/>
  <c r="H22" i="43" s="1"/>
  <c r="H23" i="23"/>
  <c r="H23" i="43" s="1"/>
  <c r="H24" i="23"/>
  <c r="H24" i="43" s="1"/>
  <c r="H25" i="23"/>
  <c r="H25" i="43" s="1"/>
  <c r="H26" i="23"/>
  <c r="H26" i="43" s="1"/>
  <c r="H27" i="23"/>
  <c r="H27" i="43" s="1"/>
  <c r="H8" i="23"/>
  <c r="H8" i="43" s="1"/>
  <c r="I12" i="44" l="1"/>
  <c r="P12" i="44"/>
  <c r="Q12" i="44" s="1"/>
  <c r="H8" i="44"/>
  <c r="P8" i="44" s="1"/>
  <c r="Q8" i="44" s="1"/>
  <c r="P7" i="7"/>
  <c r="H8" i="7"/>
  <c r="F25" i="7"/>
  <c r="F24" i="43"/>
  <c r="O18" i="23"/>
  <c r="H18" i="7"/>
  <c r="H10" i="7"/>
  <c r="O22" i="23"/>
  <c r="H22" i="7"/>
  <c r="O26" i="23"/>
  <c r="H26" i="7"/>
  <c r="P26" i="7" s="1"/>
  <c r="P25" i="44"/>
  <c r="Q25" i="44" s="1"/>
  <c r="I25" i="44"/>
  <c r="P21" i="44"/>
  <c r="Q21" i="44" s="1"/>
  <c r="I21" i="44"/>
  <c r="P17" i="44"/>
  <c r="Q17" i="44" s="1"/>
  <c r="I17" i="44"/>
  <c r="P13" i="44"/>
  <c r="Q13" i="44" s="1"/>
  <c r="I13" i="44"/>
  <c r="P24" i="44"/>
  <c r="Q24" i="44" s="1"/>
  <c r="I24" i="44"/>
  <c r="P20" i="44"/>
  <c r="Q20" i="44" s="1"/>
  <c r="I20" i="44"/>
  <c r="P16" i="44"/>
  <c r="Q16" i="44" s="1"/>
  <c r="I16" i="44"/>
  <c r="P23" i="44"/>
  <c r="Q23" i="44" s="1"/>
  <c r="I23" i="44"/>
  <c r="P19" i="44"/>
  <c r="Q19" i="44" s="1"/>
  <c r="I19" i="44"/>
  <c r="P15" i="44"/>
  <c r="Q15" i="44" s="1"/>
  <c r="I15" i="44"/>
  <c r="P26" i="44"/>
  <c r="Q26" i="44" s="1"/>
  <c r="I26" i="44"/>
  <c r="P22" i="44"/>
  <c r="Q22" i="44" s="1"/>
  <c r="I22" i="44"/>
  <c r="P18" i="44"/>
  <c r="Q18" i="44" s="1"/>
  <c r="I18" i="44"/>
  <c r="P14" i="44"/>
  <c r="Q14" i="44" s="1"/>
  <c r="I14" i="44"/>
  <c r="I24" i="43"/>
  <c r="P24" i="43"/>
  <c r="Q24" i="43" s="1"/>
  <c r="I23" i="43"/>
  <c r="P23" i="43"/>
  <c r="Q23" i="43" s="1"/>
  <c r="I19" i="43"/>
  <c r="P19" i="43"/>
  <c r="Q19" i="43" s="1"/>
  <c r="I15" i="43"/>
  <c r="P15" i="43"/>
  <c r="Q15" i="43" s="1"/>
  <c r="I16" i="43"/>
  <c r="P16" i="43"/>
  <c r="Q16" i="43" s="1"/>
  <c r="I22" i="43"/>
  <c r="P22" i="43"/>
  <c r="Q22" i="43" s="1"/>
  <c r="I14" i="43"/>
  <c r="P14" i="43"/>
  <c r="Q14" i="43" s="1"/>
  <c r="I20" i="43"/>
  <c r="P20" i="43"/>
  <c r="Q20" i="43" s="1"/>
  <c r="I26" i="43"/>
  <c r="P26" i="43"/>
  <c r="Q26" i="43" s="1"/>
  <c r="I18" i="43"/>
  <c r="P18" i="43"/>
  <c r="Q18" i="43" s="1"/>
  <c r="I25" i="43"/>
  <c r="P25" i="43"/>
  <c r="Q25" i="43" s="1"/>
  <c r="I21" i="43"/>
  <c r="P21" i="43"/>
  <c r="Q21" i="43" s="1"/>
  <c r="I17" i="43"/>
  <c r="P17" i="43"/>
  <c r="Q17" i="43" s="1"/>
  <c r="I13" i="43"/>
  <c r="P13" i="43"/>
  <c r="Q13" i="43" s="1"/>
  <c r="I12" i="43"/>
  <c r="P12" i="43"/>
  <c r="Q12" i="43" s="1"/>
  <c r="I11" i="43"/>
  <c r="P11" i="43"/>
  <c r="Q11" i="43" s="1"/>
  <c r="I11" i="44"/>
  <c r="P11" i="44"/>
  <c r="Q11" i="44" s="1"/>
  <c r="I10" i="44"/>
  <c r="P10" i="44"/>
  <c r="Q10" i="44" s="1"/>
  <c r="I10" i="43"/>
  <c r="P10" i="43"/>
  <c r="Q10" i="43" s="1"/>
  <c r="I9" i="44"/>
  <c r="P9" i="44"/>
  <c r="Q9" i="44" s="1"/>
  <c r="I9" i="43"/>
  <c r="P9" i="43"/>
  <c r="Q9" i="43" s="1"/>
  <c r="I8" i="43"/>
  <c r="P8" i="43"/>
  <c r="Q8" i="43" s="1"/>
  <c r="I8" i="44"/>
  <c r="I7" i="44"/>
  <c r="J7" i="44" s="1"/>
  <c r="P7" i="44"/>
  <c r="Q7" i="44" s="1"/>
  <c r="R7" i="44" s="1"/>
  <c r="S7" i="44" s="1"/>
  <c r="P7" i="43"/>
  <c r="Q7" i="43" s="1"/>
  <c r="R7" i="43" s="1"/>
  <c r="S7" i="43" s="1"/>
  <c r="I7" i="43"/>
  <c r="J7" i="43" s="1"/>
  <c r="K7" i="43" s="1"/>
  <c r="L7" i="43" s="1"/>
  <c r="Q19" i="23"/>
  <c r="S26" i="23"/>
  <c r="S14" i="23"/>
  <c r="O13" i="23"/>
  <c r="Q26" i="23"/>
  <c r="Q18" i="23"/>
  <c r="Q10" i="23"/>
  <c r="S21" i="23"/>
  <c r="S17" i="23"/>
  <c r="S12" i="23"/>
  <c r="O24" i="23"/>
  <c r="O20" i="23"/>
  <c r="O16" i="23"/>
  <c r="O11" i="23"/>
  <c r="Q23" i="23"/>
  <c r="Q11" i="23"/>
  <c r="S18" i="23"/>
  <c r="O25" i="23"/>
  <c r="O17" i="23"/>
  <c r="Q22" i="23"/>
  <c r="Q14" i="23"/>
  <c r="S25" i="23"/>
  <c r="Q25" i="23"/>
  <c r="Q21" i="23"/>
  <c r="Q17" i="23"/>
  <c r="Q13" i="23"/>
  <c r="Q9" i="23"/>
  <c r="S24" i="23"/>
  <c r="S20" i="23"/>
  <c r="S16" i="23"/>
  <c r="S11" i="23"/>
  <c r="O27" i="23"/>
  <c r="O23" i="23"/>
  <c r="O19" i="23"/>
  <c r="O15" i="23"/>
  <c r="Q27" i="23"/>
  <c r="Q15" i="23"/>
  <c r="S22" i="23"/>
  <c r="S9" i="23"/>
  <c r="O21" i="23"/>
  <c r="Q24" i="23"/>
  <c r="Q20" i="23"/>
  <c r="Q16" i="23"/>
  <c r="Q12" i="23"/>
  <c r="S27" i="23"/>
  <c r="S23" i="23"/>
  <c r="S19" i="23"/>
  <c r="S15" i="23"/>
  <c r="S10" i="23"/>
  <c r="O14" i="23"/>
  <c r="O9" i="23"/>
  <c r="G28" i="23"/>
  <c r="O28" i="23" s="1"/>
  <c r="P16" i="7"/>
  <c r="P10" i="7"/>
  <c r="P18" i="7"/>
  <c r="P8" i="7"/>
  <c r="P24" i="7"/>
  <c r="P14" i="7"/>
  <c r="P9" i="7"/>
  <c r="P25" i="7"/>
  <c r="P15" i="7"/>
  <c r="I28" i="23"/>
  <c r="P21" i="7"/>
  <c r="P13" i="7"/>
  <c r="P19" i="7"/>
  <c r="P17" i="7"/>
  <c r="H28" i="23"/>
  <c r="P23" i="7"/>
  <c r="P22" i="7"/>
  <c r="P20" i="7"/>
  <c r="P12" i="7"/>
  <c r="E7" i="9"/>
  <c r="D5" i="5"/>
  <c r="N7" i="9" l="1"/>
  <c r="K7" i="44"/>
  <c r="L7" i="44" s="1"/>
  <c r="F26" i="7"/>
  <c r="F25" i="43"/>
  <c r="I27" i="44"/>
  <c r="P27" i="44"/>
  <c r="Q27" i="44" s="1"/>
  <c r="I27" i="43"/>
  <c r="P27" i="43"/>
  <c r="Q27" i="43" s="1"/>
  <c r="T7" i="43"/>
  <c r="U7" i="43" s="1"/>
  <c r="R8" i="43"/>
  <c r="S8" i="43" s="1"/>
  <c r="T7" i="44"/>
  <c r="U7" i="44" s="1"/>
  <c r="R8" i="44"/>
  <c r="S8" i="44" s="1"/>
  <c r="J8" i="43"/>
  <c r="K8" i="43" s="1"/>
  <c r="L8" i="43" s="1"/>
  <c r="J8" i="44"/>
  <c r="K8" i="44" s="1"/>
  <c r="L8" i="44" s="1"/>
  <c r="Q8" i="7"/>
  <c r="Q12" i="7"/>
  <c r="Q16" i="7"/>
  <c r="Q20" i="7"/>
  <c r="Q24" i="7"/>
  <c r="Q9" i="7"/>
  <c r="Q13" i="7"/>
  <c r="Q17" i="7"/>
  <c r="Q21" i="7"/>
  <c r="Q25" i="7"/>
  <c r="Q10" i="7"/>
  <c r="Q14" i="7"/>
  <c r="Q18" i="7"/>
  <c r="Q22" i="7"/>
  <c r="Q26" i="7"/>
  <c r="Q11" i="7"/>
  <c r="Q15" i="7"/>
  <c r="Q19" i="7"/>
  <c r="Q23" i="7"/>
  <c r="Q7" i="7"/>
  <c r="R7" i="7" s="1"/>
  <c r="S7" i="7" s="1"/>
  <c r="T7" i="7" s="1"/>
  <c r="I8" i="7"/>
  <c r="I12" i="7"/>
  <c r="I16" i="7"/>
  <c r="I20" i="7"/>
  <c r="I24" i="7"/>
  <c r="I14" i="7"/>
  <c r="I26" i="7"/>
  <c r="I15" i="7"/>
  <c r="I19" i="7"/>
  <c r="I9" i="7"/>
  <c r="I13" i="7"/>
  <c r="I17" i="7"/>
  <c r="I21" i="7"/>
  <c r="I25" i="7"/>
  <c r="I10" i="7"/>
  <c r="I18" i="7"/>
  <c r="I22" i="7"/>
  <c r="I11" i="7"/>
  <c r="I23" i="7"/>
  <c r="Q28" i="23"/>
  <c r="S28" i="23"/>
  <c r="P27" i="7"/>
  <c r="Q27" i="7" s="1"/>
  <c r="N26" i="9"/>
  <c r="N27" i="9"/>
  <c r="B2" i="5"/>
  <c r="B4" i="5"/>
  <c r="F27" i="7" l="1"/>
  <c r="F27" i="43" s="1"/>
  <c r="F26" i="43"/>
  <c r="M7" i="43"/>
  <c r="W7" i="43"/>
  <c r="X7" i="43" s="1"/>
  <c r="J9" i="44"/>
  <c r="K9" i="44" s="1"/>
  <c r="L9" i="44" s="1"/>
  <c r="T8" i="44"/>
  <c r="U8" i="44" s="1"/>
  <c r="R9" i="44"/>
  <c r="S9" i="44" s="1"/>
  <c r="M7" i="44"/>
  <c r="W7" i="44"/>
  <c r="X7" i="44" s="1"/>
  <c r="J9" i="43"/>
  <c r="K9" i="43" s="1"/>
  <c r="L9" i="43" s="1"/>
  <c r="T8" i="43"/>
  <c r="U8" i="43" s="1"/>
  <c r="R9" i="43"/>
  <c r="S9" i="43" s="1"/>
  <c r="R8" i="7"/>
  <c r="S8" i="7" s="1"/>
  <c r="I27" i="7"/>
  <c r="G19" i="27"/>
  <c r="G19" i="26"/>
  <c r="T9" i="43" l="1"/>
  <c r="U9" i="43" s="1"/>
  <c r="R10" i="43"/>
  <c r="S10" i="43" s="1"/>
  <c r="M8" i="44"/>
  <c r="W8" i="44"/>
  <c r="X8" i="44" s="1"/>
  <c r="M8" i="43"/>
  <c r="W8" i="43"/>
  <c r="X8" i="43" s="1"/>
  <c r="J10" i="44"/>
  <c r="K10" i="44" s="1"/>
  <c r="L10" i="44" s="1"/>
  <c r="J10" i="43"/>
  <c r="K10" i="43" s="1"/>
  <c r="L10" i="43" s="1"/>
  <c r="T9" i="44"/>
  <c r="U9" i="44" s="1"/>
  <c r="R10" i="44"/>
  <c r="S10" i="44" s="1"/>
  <c r="U7" i="7"/>
  <c r="R9" i="7"/>
  <c r="S9" i="7" s="1"/>
  <c r="H19" i="26"/>
  <c r="H19" i="27"/>
  <c r="I19" i="26"/>
  <c r="J11" i="43" l="1"/>
  <c r="K11" i="43" s="1"/>
  <c r="L11" i="43" s="1"/>
  <c r="T10" i="44"/>
  <c r="U10" i="44" s="1"/>
  <c r="R11" i="44"/>
  <c r="S11" i="44" s="1"/>
  <c r="M9" i="44"/>
  <c r="W9" i="44"/>
  <c r="X9" i="44" s="1"/>
  <c r="J11" i="44"/>
  <c r="K11" i="44" s="1"/>
  <c r="L11" i="44" s="1"/>
  <c r="M9" i="43"/>
  <c r="W9" i="43"/>
  <c r="X9" i="43" s="1"/>
  <c r="T10" i="43"/>
  <c r="U10" i="43" s="1"/>
  <c r="R11" i="43"/>
  <c r="S11" i="43" s="1"/>
  <c r="T8" i="7"/>
  <c r="U8" i="7" s="1"/>
  <c r="R10" i="7"/>
  <c r="S10" i="7" s="1"/>
  <c r="I19" i="27"/>
  <c r="J19" i="26"/>
  <c r="T11" i="43" l="1"/>
  <c r="U11" i="43" s="1"/>
  <c r="R12" i="43"/>
  <c r="S12" i="43" s="1"/>
  <c r="J12" i="44"/>
  <c r="K12" i="44" s="1"/>
  <c r="L12" i="44" s="1"/>
  <c r="T11" i="44"/>
  <c r="U11" i="44" s="1"/>
  <c r="R12" i="44"/>
  <c r="S12" i="44" s="1"/>
  <c r="M10" i="44"/>
  <c r="W10" i="44"/>
  <c r="X10" i="44" s="1"/>
  <c r="J12" i="43"/>
  <c r="K12" i="43" s="1"/>
  <c r="L12" i="43" s="1"/>
  <c r="M10" i="43"/>
  <c r="W10" i="43"/>
  <c r="X10" i="43" s="1"/>
  <c r="T9" i="7"/>
  <c r="U9" i="7" s="1"/>
  <c r="R11" i="7"/>
  <c r="S11" i="7" s="1"/>
  <c r="J19" i="27"/>
  <c r="K19" i="26"/>
  <c r="J13" i="43" l="1"/>
  <c r="K13" i="43" s="1"/>
  <c r="L13" i="43" s="1"/>
  <c r="J13" i="44"/>
  <c r="K13" i="44" s="1"/>
  <c r="L13" i="44" s="1"/>
  <c r="M11" i="44"/>
  <c r="W11" i="44"/>
  <c r="X11" i="44" s="1"/>
  <c r="W11" i="43"/>
  <c r="X11" i="43" s="1"/>
  <c r="M11" i="43"/>
  <c r="T12" i="44"/>
  <c r="U12" i="44" s="1"/>
  <c r="R13" i="44"/>
  <c r="S13" i="44" s="1"/>
  <c r="T12" i="43"/>
  <c r="U12" i="43" s="1"/>
  <c r="R13" i="43"/>
  <c r="S13" i="43" s="1"/>
  <c r="T10" i="7"/>
  <c r="U10" i="7" s="1"/>
  <c r="R12" i="7"/>
  <c r="S12" i="7" s="1"/>
  <c r="L19" i="26"/>
  <c r="K19" i="27"/>
  <c r="M12" i="44" l="1"/>
  <c r="W12" i="44"/>
  <c r="X12" i="44" s="1"/>
  <c r="J14" i="44"/>
  <c r="K14" i="44" s="1"/>
  <c r="L14" i="44" s="1"/>
  <c r="T13" i="43"/>
  <c r="U13" i="43" s="1"/>
  <c r="R14" i="43"/>
  <c r="S14" i="43" s="1"/>
  <c r="T13" i="44"/>
  <c r="U13" i="44" s="1"/>
  <c r="R14" i="44"/>
  <c r="S14" i="44" s="1"/>
  <c r="J14" i="43"/>
  <c r="K14" i="43" s="1"/>
  <c r="L14" i="43" s="1"/>
  <c r="W12" i="43"/>
  <c r="X12" i="43" s="1"/>
  <c r="M12" i="43"/>
  <c r="T11" i="7"/>
  <c r="R13" i="7"/>
  <c r="S13" i="7" s="1"/>
  <c r="L19" i="27"/>
  <c r="M19" i="26"/>
  <c r="U11" i="7" l="1"/>
  <c r="T14" i="44"/>
  <c r="U14" i="44" s="1"/>
  <c r="R15" i="44"/>
  <c r="S15" i="44" s="1"/>
  <c r="J15" i="44"/>
  <c r="K15" i="44" s="1"/>
  <c r="L15" i="44" s="1"/>
  <c r="W13" i="44"/>
  <c r="X13" i="44" s="1"/>
  <c r="M13" i="44"/>
  <c r="M13" i="43"/>
  <c r="W13" i="43"/>
  <c r="X13" i="43" s="1"/>
  <c r="T14" i="43"/>
  <c r="U14" i="43" s="1"/>
  <c r="R15" i="43"/>
  <c r="S15" i="43" s="1"/>
  <c r="J15" i="43"/>
  <c r="K15" i="43" s="1"/>
  <c r="L15" i="43" s="1"/>
  <c r="T12" i="7"/>
  <c r="U12" i="7" s="1"/>
  <c r="R14" i="7"/>
  <c r="S14" i="7" s="1"/>
  <c r="M19" i="27"/>
  <c r="N19" i="26"/>
  <c r="W14" i="44" l="1"/>
  <c r="X14" i="44" s="1"/>
  <c r="M14" i="44"/>
  <c r="J16" i="44"/>
  <c r="K16" i="44" s="1"/>
  <c r="L16" i="44" s="1"/>
  <c r="M14" i="43"/>
  <c r="W14" i="43"/>
  <c r="X14" i="43" s="1"/>
  <c r="J16" i="43"/>
  <c r="K16" i="43" s="1"/>
  <c r="L16" i="43" s="1"/>
  <c r="T15" i="43"/>
  <c r="U15" i="43" s="1"/>
  <c r="R16" i="43"/>
  <c r="S16" i="43" s="1"/>
  <c r="T15" i="44"/>
  <c r="U15" i="44" s="1"/>
  <c r="R16" i="44"/>
  <c r="S16" i="44" s="1"/>
  <c r="T13" i="7"/>
  <c r="U13" i="7" s="1"/>
  <c r="R15" i="7"/>
  <c r="S15" i="7" s="1"/>
  <c r="N19" i="27"/>
  <c r="O19" i="26"/>
  <c r="T16" i="44" l="1"/>
  <c r="U16" i="44" s="1"/>
  <c r="R17" i="44"/>
  <c r="S17" i="44" s="1"/>
  <c r="J17" i="43"/>
  <c r="K17" i="43" s="1"/>
  <c r="L17" i="43" s="1"/>
  <c r="J17" i="44"/>
  <c r="K17" i="44" s="1"/>
  <c r="L17" i="44" s="1"/>
  <c r="M15" i="44"/>
  <c r="W15" i="44"/>
  <c r="X15" i="44" s="1"/>
  <c r="M15" i="43"/>
  <c r="W15" i="43"/>
  <c r="X15" i="43" s="1"/>
  <c r="T16" i="43"/>
  <c r="U16" i="43" s="1"/>
  <c r="R17" i="43"/>
  <c r="S17" i="43" s="1"/>
  <c r="T14" i="7"/>
  <c r="U14" i="7" s="1"/>
  <c r="R16" i="7"/>
  <c r="S16" i="7" s="1"/>
  <c r="O19" i="27"/>
  <c r="P19" i="26"/>
  <c r="T17" i="43" l="1"/>
  <c r="U17" i="43" s="1"/>
  <c r="R18" i="43"/>
  <c r="S18" i="43" s="1"/>
  <c r="J18" i="43"/>
  <c r="K18" i="43" s="1"/>
  <c r="L18" i="43" s="1"/>
  <c r="M16" i="43"/>
  <c r="W16" i="43"/>
  <c r="X16" i="43" s="1"/>
  <c r="I5" i="40" s="1"/>
  <c r="W16" i="44"/>
  <c r="X16" i="44" s="1"/>
  <c r="I5" i="41" s="1"/>
  <c r="M16" i="44"/>
  <c r="T17" i="44"/>
  <c r="U17" i="44" s="1"/>
  <c r="R18" i="44"/>
  <c r="S18" i="44" s="1"/>
  <c r="J18" i="44"/>
  <c r="K18" i="44" s="1"/>
  <c r="L18" i="44" s="1"/>
  <c r="T15" i="7"/>
  <c r="U15" i="7" s="1"/>
  <c r="R17" i="7"/>
  <c r="S17" i="7" s="1"/>
  <c r="P19" i="27"/>
  <c r="Q19" i="26"/>
  <c r="J25" i="9"/>
  <c r="K24" i="9"/>
  <c r="K25" i="9"/>
  <c r="M17" i="44" l="1"/>
  <c r="W17" i="44"/>
  <c r="X17" i="44" s="1"/>
  <c r="J19" i="43"/>
  <c r="K19" i="43" s="1"/>
  <c r="L19" i="43" s="1"/>
  <c r="M17" i="43"/>
  <c r="W17" i="43"/>
  <c r="X17" i="43" s="1"/>
  <c r="J19" i="44"/>
  <c r="K19" i="44" s="1"/>
  <c r="L19" i="44" s="1"/>
  <c r="T18" i="44"/>
  <c r="U18" i="44" s="1"/>
  <c r="R19" i="44"/>
  <c r="S19" i="44" s="1"/>
  <c r="T18" i="43"/>
  <c r="U18" i="43" s="1"/>
  <c r="R19" i="43"/>
  <c r="S19" i="43" s="1"/>
  <c r="T16" i="7"/>
  <c r="U16" i="7" s="1"/>
  <c r="R18" i="7"/>
  <c r="S18" i="7" s="1"/>
  <c r="Q19" i="27"/>
  <c r="R19" i="26"/>
  <c r="N25" i="9"/>
  <c r="J24" i="9"/>
  <c r="W18" i="43" l="1"/>
  <c r="X18" i="43" s="1"/>
  <c r="M18" i="43"/>
  <c r="M18" i="44"/>
  <c r="W18" i="44"/>
  <c r="X18" i="44" s="1"/>
  <c r="J20" i="43"/>
  <c r="K20" i="43" s="1"/>
  <c r="L20" i="43" s="1"/>
  <c r="T19" i="43"/>
  <c r="U19" i="43" s="1"/>
  <c r="R20" i="43"/>
  <c r="S20" i="43" s="1"/>
  <c r="T19" i="44"/>
  <c r="U19" i="44" s="1"/>
  <c r="R20" i="44"/>
  <c r="S20" i="44" s="1"/>
  <c r="J20" i="44"/>
  <c r="K20" i="44" s="1"/>
  <c r="L20" i="44" s="1"/>
  <c r="T17" i="7"/>
  <c r="U17" i="7" s="1"/>
  <c r="R19" i="7"/>
  <c r="S19" i="7" s="1"/>
  <c r="R19" i="27"/>
  <c r="S19" i="26"/>
  <c r="N24" i="9"/>
  <c r="J23" i="9"/>
  <c r="J20" i="9"/>
  <c r="J16" i="9"/>
  <c r="J14" i="9"/>
  <c r="J12" i="9"/>
  <c r="J11" i="9"/>
  <c r="J17" i="9"/>
  <c r="K8" i="9"/>
  <c r="K9" i="9"/>
  <c r="K10" i="9"/>
  <c r="K11" i="9"/>
  <c r="K12" i="9"/>
  <c r="J13" i="9"/>
  <c r="K13" i="9"/>
  <c r="K14" i="9"/>
  <c r="K15" i="9"/>
  <c r="K16" i="9"/>
  <c r="K17" i="9"/>
  <c r="K18" i="9"/>
  <c r="K19" i="9"/>
  <c r="K20" i="9"/>
  <c r="K21" i="9"/>
  <c r="K22" i="9"/>
  <c r="K23" i="9"/>
  <c r="G19" i="13"/>
  <c r="J18" i="9"/>
  <c r="J21" i="9"/>
  <c r="J21" i="44" l="1"/>
  <c r="K21" i="44" s="1"/>
  <c r="L21" i="44" s="1"/>
  <c r="T20" i="43"/>
  <c r="U20" i="43" s="1"/>
  <c r="R21" i="43"/>
  <c r="S21" i="43" s="1"/>
  <c r="W19" i="44"/>
  <c r="X19" i="44" s="1"/>
  <c r="M19" i="44"/>
  <c r="T20" i="44"/>
  <c r="U20" i="44" s="1"/>
  <c r="R21" i="44"/>
  <c r="S21" i="44" s="1"/>
  <c r="J21" i="43"/>
  <c r="K21" i="43" s="1"/>
  <c r="L21" i="43" s="1"/>
  <c r="M19" i="43"/>
  <c r="W19" i="43"/>
  <c r="X19" i="43" s="1"/>
  <c r="T18" i="7"/>
  <c r="U18" i="7" s="1"/>
  <c r="R20" i="7"/>
  <c r="S20" i="7" s="1"/>
  <c r="N12" i="9"/>
  <c r="N14" i="9"/>
  <c r="N21" i="9"/>
  <c r="H19" i="13"/>
  <c r="I19" i="13" s="1"/>
  <c r="J19" i="13" s="1"/>
  <c r="K19" i="13" s="1"/>
  <c r="S19" i="27"/>
  <c r="T19" i="26"/>
  <c r="J7" i="7"/>
  <c r="K7" i="7" s="1"/>
  <c r="L7" i="7" s="1"/>
  <c r="W7" i="7" s="1"/>
  <c r="N17" i="9"/>
  <c r="N13" i="9"/>
  <c r="N19" i="9"/>
  <c r="N9" i="9"/>
  <c r="J10" i="9"/>
  <c r="J15" i="9"/>
  <c r="O7" i="9"/>
  <c r="P7" i="9" s="1"/>
  <c r="N11" i="9"/>
  <c r="N23" i="9"/>
  <c r="N8" i="9"/>
  <c r="N20" i="9"/>
  <c r="N18" i="9"/>
  <c r="J22" i="9"/>
  <c r="N16" i="9"/>
  <c r="J22" i="44" l="1"/>
  <c r="K22" i="44" s="1"/>
  <c r="L22" i="44" s="1"/>
  <c r="T21" i="44"/>
  <c r="U21" i="44" s="1"/>
  <c r="R22" i="44"/>
  <c r="S22" i="44" s="1"/>
  <c r="T21" i="43"/>
  <c r="R22" i="43"/>
  <c r="S22" i="43" s="1"/>
  <c r="J22" i="43"/>
  <c r="K22" i="43" s="1"/>
  <c r="L22" i="43" s="1"/>
  <c r="M20" i="44"/>
  <c r="W20" i="44"/>
  <c r="X20" i="44" s="1"/>
  <c r="W20" i="43"/>
  <c r="X20" i="43" s="1"/>
  <c r="M20" i="43"/>
  <c r="T19" i="7"/>
  <c r="U19" i="7" s="1"/>
  <c r="R21" i="7"/>
  <c r="S21" i="7" s="1"/>
  <c r="C9" i="5"/>
  <c r="D9" i="5" s="1"/>
  <c r="X19" i="26"/>
  <c r="Y19" i="26" s="1"/>
  <c r="F20" i="26" s="1"/>
  <c r="T19" i="27"/>
  <c r="X19" i="27" s="1"/>
  <c r="Y19" i="27" s="1"/>
  <c r="F20" i="27" s="1"/>
  <c r="L19" i="13"/>
  <c r="J8" i="7"/>
  <c r="K8" i="7" s="1"/>
  <c r="L8" i="7" s="1"/>
  <c r="N15" i="9"/>
  <c r="O8" i="9"/>
  <c r="P8" i="9" s="1"/>
  <c r="N10" i="9"/>
  <c r="N22" i="9"/>
  <c r="C10" i="5" l="1"/>
  <c r="D10" i="5" s="1"/>
  <c r="U21" i="43"/>
  <c r="W21" i="43"/>
  <c r="X21" i="43" s="1"/>
  <c r="I5" i="26" s="1"/>
  <c r="J23" i="44"/>
  <c r="K23" i="44" s="1"/>
  <c r="L23" i="44" s="1"/>
  <c r="M21" i="43"/>
  <c r="T22" i="44"/>
  <c r="U22" i="44" s="1"/>
  <c r="R23" i="44"/>
  <c r="S23" i="44" s="1"/>
  <c r="J23" i="43"/>
  <c r="K23" i="43" s="1"/>
  <c r="L23" i="43" s="1"/>
  <c r="T22" i="43"/>
  <c r="U22" i="43" s="1"/>
  <c r="R23" i="43"/>
  <c r="S23" i="43" s="1"/>
  <c r="M21" i="44"/>
  <c r="W21" i="44"/>
  <c r="X21" i="44" s="1"/>
  <c r="I5" i="27" s="1"/>
  <c r="T20" i="7"/>
  <c r="U20" i="7" s="1"/>
  <c r="R22" i="7"/>
  <c r="S22" i="7" s="1"/>
  <c r="G20" i="26"/>
  <c r="H20" i="26"/>
  <c r="I20" i="26"/>
  <c r="J20" i="26"/>
  <c r="K20" i="26"/>
  <c r="L20" i="26"/>
  <c r="M20" i="26"/>
  <c r="N20" i="26"/>
  <c r="O20" i="26"/>
  <c r="P20" i="26"/>
  <c r="Q20" i="26"/>
  <c r="R20" i="26"/>
  <c r="S20" i="26"/>
  <c r="T20" i="26"/>
  <c r="M19" i="13"/>
  <c r="J9" i="7"/>
  <c r="K9" i="7" s="1"/>
  <c r="L9" i="7" s="1"/>
  <c r="O9" i="9"/>
  <c r="P9" i="9" s="1"/>
  <c r="O10" i="9" l="1"/>
  <c r="P10" i="9" s="1"/>
  <c r="W8" i="7"/>
  <c r="X8" i="7" s="1"/>
  <c r="M8" i="7"/>
  <c r="J24" i="44"/>
  <c r="K24" i="44" s="1"/>
  <c r="L24" i="44" s="1"/>
  <c r="J24" i="43"/>
  <c r="K24" i="43" s="1"/>
  <c r="L24" i="43" s="1"/>
  <c r="W22" i="43"/>
  <c r="X22" i="43" s="1"/>
  <c r="M22" i="43"/>
  <c r="T23" i="43"/>
  <c r="U23" i="43" s="1"/>
  <c r="R24" i="43"/>
  <c r="S24" i="43" s="1"/>
  <c r="T23" i="44"/>
  <c r="U23" i="44" s="1"/>
  <c r="R24" i="44"/>
  <c r="S24" i="44" s="1"/>
  <c r="M22" i="44"/>
  <c r="W22" i="44"/>
  <c r="X22" i="44" s="1"/>
  <c r="M7" i="7"/>
  <c r="X7" i="7"/>
  <c r="T21" i="7"/>
  <c r="U21" i="7" s="1"/>
  <c r="I6" i="40"/>
  <c r="R23" i="7"/>
  <c r="S23" i="7" s="1"/>
  <c r="I6" i="41"/>
  <c r="X20" i="26"/>
  <c r="Y20" i="26" s="1"/>
  <c r="J10" i="7"/>
  <c r="K10" i="7" s="1"/>
  <c r="L10" i="7" s="1"/>
  <c r="G20" i="27"/>
  <c r="H20" i="27"/>
  <c r="I20" i="27"/>
  <c r="J20" i="27"/>
  <c r="K20" i="27"/>
  <c r="L20" i="27"/>
  <c r="M20" i="27"/>
  <c r="N20" i="27"/>
  <c r="O20" i="27"/>
  <c r="P20" i="27"/>
  <c r="Q20" i="27"/>
  <c r="R20" i="27"/>
  <c r="S20" i="27"/>
  <c r="T20" i="27"/>
  <c r="N19" i="13"/>
  <c r="O11" i="9"/>
  <c r="P11" i="9" s="1"/>
  <c r="W9" i="7" l="1"/>
  <c r="X9" i="7" s="1"/>
  <c r="M9" i="7"/>
  <c r="T24" i="43"/>
  <c r="U24" i="43" s="1"/>
  <c r="R25" i="43"/>
  <c r="S25" i="43" s="1"/>
  <c r="M23" i="43"/>
  <c r="W23" i="43"/>
  <c r="X23" i="43" s="1"/>
  <c r="J25" i="43"/>
  <c r="K25" i="43" s="1"/>
  <c r="L25" i="43" s="1"/>
  <c r="T24" i="44"/>
  <c r="U24" i="44" s="1"/>
  <c r="R25" i="44"/>
  <c r="S25" i="44" s="1"/>
  <c r="M23" i="44"/>
  <c r="W23" i="44"/>
  <c r="X23" i="44" s="1"/>
  <c r="J25" i="44"/>
  <c r="K25" i="44" s="1"/>
  <c r="L25" i="44" s="1"/>
  <c r="T22" i="7"/>
  <c r="U22" i="7" s="1"/>
  <c r="R24" i="7"/>
  <c r="S24" i="7" s="1"/>
  <c r="X20" i="27"/>
  <c r="Y20" i="27" s="1"/>
  <c r="C12" i="5"/>
  <c r="D12" i="5" s="1"/>
  <c r="C11" i="5"/>
  <c r="D11" i="5" s="1"/>
  <c r="J11" i="7"/>
  <c r="K11" i="7" s="1"/>
  <c r="L11" i="7" s="1"/>
  <c r="O19" i="13"/>
  <c r="O12" i="9"/>
  <c r="P12" i="9" s="1"/>
  <c r="W10" i="7" l="1"/>
  <c r="X10" i="7" s="1"/>
  <c r="M10" i="7"/>
  <c r="W24" i="44"/>
  <c r="X24" i="44" s="1"/>
  <c r="M24" i="44"/>
  <c r="T25" i="44"/>
  <c r="U25" i="44" s="1"/>
  <c r="R26" i="44"/>
  <c r="S26" i="44" s="1"/>
  <c r="J26" i="44"/>
  <c r="K26" i="44" s="1"/>
  <c r="L26" i="44" s="1"/>
  <c r="M24" i="43"/>
  <c r="W24" i="43"/>
  <c r="X24" i="43" s="1"/>
  <c r="T25" i="43"/>
  <c r="U25" i="43" s="1"/>
  <c r="R26" i="43"/>
  <c r="S26" i="43" s="1"/>
  <c r="J26" i="43"/>
  <c r="K26" i="43" s="1"/>
  <c r="L26" i="43" s="1"/>
  <c r="T23" i="7"/>
  <c r="U23" i="7" s="1"/>
  <c r="R25" i="7"/>
  <c r="S25" i="7" s="1"/>
  <c r="C13" i="5"/>
  <c r="D13" i="5" s="1"/>
  <c r="H5" i="42" s="1"/>
  <c r="H6" i="42" s="1"/>
  <c r="J12" i="7"/>
  <c r="K12" i="7" s="1"/>
  <c r="L12" i="7" s="1"/>
  <c r="P19" i="13"/>
  <c r="O13" i="9"/>
  <c r="P13" i="9" s="1"/>
  <c r="C15" i="5" l="1"/>
  <c r="M11" i="7"/>
  <c r="W11" i="7"/>
  <c r="X11" i="7" s="1"/>
  <c r="I5" i="42" s="1"/>
  <c r="I6" i="42" s="1"/>
  <c r="J27" i="43"/>
  <c r="K27" i="43" s="1"/>
  <c r="L27" i="43" s="1"/>
  <c r="T26" i="44"/>
  <c r="U26" i="44" s="1"/>
  <c r="R27" i="44"/>
  <c r="S27" i="44" s="1"/>
  <c r="M25" i="43"/>
  <c r="W25" i="43"/>
  <c r="X25" i="43" s="1"/>
  <c r="T26" i="43"/>
  <c r="U26" i="43" s="1"/>
  <c r="R27" i="43"/>
  <c r="S27" i="43" s="1"/>
  <c r="J27" i="44"/>
  <c r="K27" i="44" s="1"/>
  <c r="L27" i="44" s="1"/>
  <c r="W25" i="44"/>
  <c r="X25" i="44" s="1"/>
  <c r="M25" i="44"/>
  <c r="T24" i="7"/>
  <c r="U24" i="7" s="1"/>
  <c r="R26" i="7"/>
  <c r="S26" i="7" s="1"/>
  <c r="I6" i="27"/>
  <c r="W12" i="7"/>
  <c r="X12" i="7" s="1"/>
  <c r="J13" i="7"/>
  <c r="K13" i="7" s="1"/>
  <c r="L13" i="7" s="1"/>
  <c r="C14" i="5"/>
  <c r="D14" i="5" s="1"/>
  <c r="Q19" i="13"/>
  <c r="O14" i="9"/>
  <c r="P14" i="9" s="1"/>
  <c r="T27" i="43" l="1"/>
  <c r="U27" i="43" s="1"/>
  <c r="T27" i="44"/>
  <c r="U27" i="44" s="1"/>
  <c r="M26" i="44"/>
  <c r="W26" i="44"/>
  <c r="X26" i="44" s="1"/>
  <c r="M26" i="43"/>
  <c r="W26" i="43"/>
  <c r="X26" i="43" s="1"/>
  <c r="T25" i="7"/>
  <c r="U25" i="7" s="1"/>
  <c r="R27" i="7"/>
  <c r="S27" i="7" s="1"/>
  <c r="M12" i="7"/>
  <c r="J14" i="7"/>
  <c r="K14" i="7" s="1"/>
  <c r="L14" i="7" s="1"/>
  <c r="D15" i="5"/>
  <c r="R19" i="13"/>
  <c r="O15" i="9"/>
  <c r="P15" i="9" s="1"/>
  <c r="M27" i="43" l="1"/>
  <c r="W27" i="43"/>
  <c r="X27" i="43" s="1"/>
  <c r="W13" i="7"/>
  <c r="X13" i="7" s="1"/>
  <c r="M13" i="7"/>
  <c r="M27" i="44"/>
  <c r="W27" i="44"/>
  <c r="X27" i="44" s="1"/>
  <c r="T27" i="7"/>
  <c r="U27" i="7" s="1"/>
  <c r="T26" i="7"/>
  <c r="U26" i="7" s="1"/>
  <c r="I6" i="26"/>
  <c r="J15" i="7"/>
  <c r="K15" i="7" s="1"/>
  <c r="L15" i="7" s="1"/>
  <c r="C16" i="5"/>
  <c r="D16" i="5" s="1"/>
  <c r="S19" i="13"/>
  <c r="O16" i="9"/>
  <c r="P16" i="9" s="1"/>
  <c r="W14" i="7" l="1"/>
  <c r="X14" i="7" s="1"/>
  <c r="M14" i="7"/>
  <c r="J16" i="7"/>
  <c r="K16" i="7" s="1"/>
  <c r="L16" i="7" s="1"/>
  <c r="C17" i="5"/>
  <c r="D17" i="5" s="1"/>
  <c r="T19" i="13"/>
  <c r="X19" i="13" s="1"/>
  <c r="Y19" i="13" s="1"/>
  <c r="F20" i="13" s="1"/>
  <c r="O17" i="9"/>
  <c r="P17" i="9" s="1"/>
  <c r="W15" i="7" l="1"/>
  <c r="X15" i="7" s="1"/>
  <c r="M15" i="7"/>
  <c r="J17" i="7"/>
  <c r="K17" i="7" s="1"/>
  <c r="L17" i="7" s="1"/>
  <c r="C18" i="5"/>
  <c r="D18" i="5" s="1"/>
  <c r="O18" i="9"/>
  <c r="P18" i="9" s="1"/>
  <c r="W16" i="7" l="1"/>
  <c r="X16" i="7" s="1"/>
  <c r="I5" i="39" s="1"/>
  <c r="I6" i="39" s="1"/>
  <c r="M16" i="7"/>
  <c r="J18" i="7"/>
  <c r="H5" i="41"/>
  <c r="H6" i="41" s="1"/>
  <c r="H5" i="39"/>
  <c r="H6" i="39" s="1"/>
  <c r="H5" i="40"/>
  <c r="H6" i="40" s="1"/>
  <c r="C19" i="5"/>
  <c r="D19" i="5" s="1"/>
  <c r="O19" i="9"/>
  <c r="P19" i="9" s="1"/>
  <c r="K18" i="7" l="1"/>
  <c r="L18" i="7" s="1"/>
  <c r="W17" i="7"/>
  <c r="X17" i="7" s="1"/>
  <c r="M17" i="7"/>
  <c r="J19" i="7"/>
  <c r="J5" i="42"/>
  <c r="C20" i="5"/>
  <c r="D20" i="5" s="1"/>
  <c r="H20" i="13"/>
  <c r="I20" i="13"/>
  <c r="J20" i="13"/>
  <c r="G20" i="13"/>
  <c r="K20" i="13"/>
  <c r="L20" i="13"/>
  <c r="M20" i="13"/>
  <c r="N20" i="13"/>
  <c r="O20" i="13"/>
  <c r="P20" i="13"/>
  <c r="Q20" i="13"/>
  <c r="R20" i="13"/>
  <c r="S20" i="13"/>
  <c r="T20" i="13"/>
  <c r="C21" i="5"/>
  <c r="O20" i="9"/>
  <c r="P20" i="9" s="1"/>
  <c r="W18" i="7" l="1"/>
  <c r="X18" i="7" s="1"/>
  <c r="M18" i="7"/>
  <c r="K19" i="7"/>
  <c r="L19" i="7" s="1"/>
  <c r="O21" i="9"/>
  <c r="P21" i="9" s="1"/>
  <c r="L5" i="42"/>
  <c r="J6" i="42"/>
  <c r="J20" i="7"/>
  <c r="K20" i="7" s="1"/>
  <c r="L20" i="7" s="1"/>
  <c r="X20" i="13"/>
  <c r="Y20" i="13" s="1"/>
  <c r="D21" i="5"/>
  <c r="W19" i="7" l="1"/>
  <c r="X19" i="7" s="1"/>
  <c r="M19" i="7"/>
  <c r="C23" i="5"/>
  <c r="D23" i="5" s="1"/>
  <c r="J21" i="7"/>
  <c r="K21" i="7" s="1"/>
  <c r="W20" i="7"/>
  <c r="X20" i="7" s="1"/>
  <c r="F13" i="42"/>
  <c r="K6" i="42"/>
  <c r="J5" i="40"/>
  <c r="J5" i="41"/>
  <c r="C22" i="5"/>
  <c r="D22" i="5" s="1"/>
  <c r="O22" i="9"/>
  <c r="P22" i="9" s="1"/>
  <c r="L21" i="7" l="1"/>
  <c r="W21" i="7" s="1"/>
  <c r="X21" i="7" s="1"/>
  <c r="I5" i="13" s="1"/>
  <c r="J22" i="7"/>
  <c r="K22" i="7" s="1"/>
  <c r="L22" i="7" s="1"/>
  <c r="W22" i="7" s="1"/>
  <c r="X22" i="7" s="1"/>
  <c r="H5" i="27"/>
  <c r="H5" i="13"/>
  <c r="H6" i="13" s="1"/>
  <c r="H5" i="26"/>
  <c r="H6" i="26" s="1"/>
  <c r="F6" i="45"/>
  <c r="B69" i="47" s="1"/>
  <c r="F27" i="45"/>
  <c r="M20" i="7"/>
  <c r="K5" i="41"/>
  <c r="J6" i="41"/>
  <c r="K5" i="40"/>
  <c r="J6" i="40"/>
  <c r="G9" i="42"/>
  <c r="J5" i="39"/>
  <c r="J23" i="7"/>
  <c r="K23" i="7" s="1"/>
  <c r="L23" i="7" s="1"/>
  <c r="O23" i="9"/>
  <c r="P23" i="9" s="1"/>
  <c r="M21" i="7" l="1"/>
  <c r="O24" i="9"/>
  <c r="P24" i="9" s="1"/>
  <c r="H6" i="27"/>
  <c r="J5" i="27"/>
  <c r="J6" i="27" s="1"/>
  <c r="L5" i="40"/>
  <c r="L6" i="40" s="1"/>
  <c r="F9" i="40" s="1"/>
  <c r="F13" i="45" s="1"/>
  <c r="B76" i="47" s="1"/>
  <c r="K6" i="40"/>
  <c r="L5" i="41"/>
  <c r="L6" i="41" s="1"/>
  <c r="F9" i="41" s="1"/>
  <c r="F19" i="45" s="1"/>
  <c r="B82" i="47" s="1"/>
  <c r="K6" i="41"/>
  <c r="H9" i="42"/>
  <c r="G13" i="42"/>
  <c r="G27" i="45" s="1"/>
  <c r="M22" i="7"/>
  <c r="K5" i="39"/>
  <c r="J6" i="39"/>
  <c r="J5" i="13"/>
  <c r="I6" i="13"/>
  <c r="J5" i="26"/>
  <c r="J6" i="26" s="1"/>
  <c r="C24" i="5"/>
  <c r="D24" i="5" s="1"/>
  <c r="W23" i="7"/>
  <c r="X23" i="7" s="1"/>
  <c r="J24" i="7"/>
  <c r="K24" i="7" s="1"/>
  <c r="L24" i="7" s="1"/>
  <c r="C26" i="5"/>
  <c r="O25" i="9"/>
  <c r="P25" i="9" s="1"/>
  <c r="G9" i="41" l="1"/>
  <c r="F13" i="41"/>
  <c r="F40" i="45" s="1"/>
  <c r="G9" i="40"/>
  <c r="F13" i="40"/>
  <c r="F34" i="45" s="1"/>
  <c r="M23" i="7"/>
  <c r="K5" i="13"/>
  <c r="J6" i="13"/>
  <c r="L5" i="39"/>
  <c r="L6" i="39" s="1"/>
  <c r="F9" i="39" s="1"/>
  <c r="F7" i="45" s="1"/>
  <c r="B70" i="47" s="1"/>
  <c r="K6" i="39"/>
  <c r="I9" i="42"/>
  <c r="H13" i="42"/>
  <c r="H27" i="45" s="1"/>
  <c r="C27" i="5"/>
  <c r="O26" i="9"/>
  <c r="P26" i="9" s="1"/>
  <c r="C25" i="5"/>
  <c r="D25" i="5" s="1"/>
  <c r="K5" i="26"/>
  <c r="K5" i="27"/>
  <c r="J25" i="7"/>
  <c r="K25" i="7" s="1"/>
  <c r="L25" i="7" s="1"/>
  <c r="W24" i="7"/>
  <c r="X24" i="7" s="1"/>
  <c r="D26" i="5"/>
  <c r="L5" i="26" l="1"/>
  <c r="L6" i="26" s="1"/>
  <c r="F9" i="26" s="1"/>
  <c r="F14" i="45" s="1"/>
  <c r="B77" i="47" s="1"/>
  <c r="K6" i="26"/>
  <c r="G13" i="40"/>
  <c r="G34" i="45" s="1"/>
  <c r="H9" i="40"/>
  <c r="L5" i="27"/>
  <c r="K6" i="27"/>
  <c r="H9" i="41"/>
  <c r="G13" i="41"/>
  <c r="G40" i="45" s="1"/>
  <c r="I13" i="42"/>
  <c r="I27" i="45" s="1"/>
  <c r="J9" i="42"/>
  <c r="J13" i="42" s="1"/>
  <c r="K6" i="13"/>
  <c r="L5" i="13"/>
  <c r="L6" i="13" s="1"/>
  <c r="F9" i="13" s="1"/>
  <c r="M24" i="7"/>
  <c r="F13" i="39"/>
  <c r="F28" i="45" s="1"/>
  <c r="G9" i="39"/>
  <c r="C28" i="5"/>
  <c r="D28" i="5" s="1"/>
  <c r="O27" i="9"/>
  <c r="P27" i="9" s="1"/>
  <c r="W25" i="7"/>
  <c r="X25" i="7" s="1"/>
  <c r="J26" i="7"/>
  <c r="K26" i="7" s="1"/>
  <c r="L26" i="7" s="1"/>
  <c r="D27" i="5"/>
  <c r="C29" i="5" l="1"/>
  <c r="D29" i="5" s="1"/>
  <c r="L6" i="27"/>
  <c r="F9" i="27" s="1"/>
  <c r="F13" i="13"/>
  <c r="F29" i="45" s="1"/>
  <c r="F8" i="45"/>
  <c r="B71" i="47" s="1"/>
  <c r="K13" i="42"/>
  <c r="J27" i="45"/>
  <c r="I9" i="40"/>
  <c r="H13" i="40"/>
  <c r="H34" i="45" s="1"/>
  <c r="H13" i="41"/>
  <c r="H40" i="45" s="1"/>
  <c r="I9" i="41"/>
  <c r="G9" i="13"/>
  <c r="G13" i="13" s="1"/>
  <c r="G29" i="45" s="1"/>
  <c r="H9" i="39"/>
  <c r="G13" i="39"/>
  <c r="G28" i="45" s="1"/>
  <c r="M25" i="7"/>
  <c r="J27" i="7"/>
  <c r="K27" i="7" s="1"/>
  <c r="L27" i="7" s="1"/>
  <c r="F13" i="26"/>
  <c r="F35" i="45" s="1"/>
  <c r="G9" i="26"/>
  <c r="G13" i="26" s="1"/>
  <c r="G35" i="45" s="1"/>
  <c r="W26" i="7"/>
  <c r="X26" i="7" s="1"/>
  <c r="F20" i="45" l="1"/>
  <c r="B83" i="47" s="1"/>
  <c r="G9" i="27"/>
  <c r="F13" i="27"/>
  <c r="F41" i="45" s="1"/>
  <c r="L13" i="42"/>
  <c r="L27" i="45" s="1"/>
  <c r="K27" i="45"/>
  <c r="H9" i="13"/>
  <c r="H13" i="13" s="1"/>
  <c r="H29" i="45" s="1"/>
  <c r="I13" i="41"/>
  <c r="I40" i="45" s="1"/>
  <c r="J9" i="41"/>
  <c r="I13" i="40"/>
  <c r="I34" i="45" s="1"/>
  <c r="J9" i="40"/>
  <c r="M26" i="7"/>
  <c r="H13" i="39"/>
  <c r="H28" i="45" s="1"/>
  <c r="I9" i="39"/>
  <c r="H9" i="27"/>
  <c r="H13" i="27" s="1"/>
  <c r="H41" i="45" s="1"/>
  <c r="G13" i="27"/>
  <c r="G41" i="45" s="1"/>
  <c r="H9" i="26"/>
  <c r="H13" i="26" s="1"/>
  <c r="H35" i="45" s="1"/>
  <c r="I9" i="13" l="1"/>
  <c r="I13" i="13" s="1"/>
  <c r="I29" i="45" s="1"/>
  <c r="W27" i="7"/>
  <c r="X27" i="7" s="1"/>
  <c r="M27" i="7"/>
  <c r="K9" i="40"/>
  <c r="J13" i="40"/>
  <c r="J34" i="45" s="1"/>
  <c r="J13" i="41"/>
  <c r="J40" i="45" s="1"/>
  <c r="K9" i="41"/>
  <c r="J9" i="39"/>
  <c r="I13" i="39"/>
  <c r="I28" i="45" s="1"/>
  <c r="I9" i="27"/>
  <c r="I13" i="27" s="1"/>
  <c r="I41" i="45" s="1"/>
  <c r="I9" i="26"/>
  <c r="J9" i="13" l="1"/>
  <c r="K9" i="13" s="1"/>
  <c r="L9" i="41"/>
  <c r="K13" i="41"/>
  <c r="K40" i="45" s="1"/>
  <c r="L9" i="40"/>
  <c r="K13" i="40"/>
  <c r="K34" i="45" s="1"/>
  <c r="J13" i="39"/>
  <c r="J28" i="45" s="1"/>
  <c r="K9" i="39"/>
  <c r="J9" i="27"/>
  <c r="K9" i="27" s="1"/>
  <c r="X9" i="42"/>
  <c r="Y9" i="42" s="1"/>
  <c r="I13" i="26"/>
  <c r="I35" i="45" s="1"/>
  <c r="J9" i="26"/>
  <c r="K9" i="26" s="1"/>
  <c r="L9" i="26" s="1"/>
  <c r="J13" i="27" l="1"/>
  <c r="J41" i="45" s="1"/>
  <c r="J13" i="13"/>
  <c r="J29" i="45" s="1"/>
  <c r="M9" i="40"/>
  <c r="L13" i="40"/>
  <c r="L34" i="45" s="1"/>
  <c r="M9" i="41"/>
  <c r="L13" i="41"/>
  <c r="L40" i="45" s="1"/>
  <c r="K13" i="39"/>
  <c r="K28" i="45" s="1"/>
  <c r="L9" i="39"/>
  <c r="X13" i="42"/>
  <c r="Y13" i="42" s="1"/>
  <c r="J13" i="26"/>
  <c r="J35" i="45" s="1"/>
  <c r="K13" i="26"/>
  <c r="K35" i="45" s="1"/>
  <c r="K13" i="13"/>
  <c r="K29" i="45" s="1"/>
  <c r="K13" i="27"/>
  <c r="K41" i="45" s="1"/>
  <c r="L13" i="26"/>
  <c r="L35" i="45" s="1"/>
  <c r="L9" i="27"/>
  <c r="L9" i="13"/>
  <c r="M9" i="26"/>
  <c r="N9" i="41" l="1"/>
  <c r="M13" i="41"/>
  <c r="M40" i="45" s="1"/>
  <c r="N9" i="40"/>
  <c r="M13" i="40"/>
  <c r="M34" i="45" s="1"/>
  <c r="M9" i="39"/>
  <c r="L13" i="39"/>
  <c r="L28" i="45" s="1"/>
  <c r="L13" i="13"/>
  <c r="L29" i="45" s="1"/>
  <c r="L13" i="27"/>
  <c r="L41" i="45" s="1"/>
  <c r="M13" i="26"/>
  <c r="M35" i="45" s="1"/>
  <c r="M9" i="27"/>
  <c r="M13" i="27" s="1"/>
  <c r="M41" i="45" s="1"/>
  <c r="M9" i="13"/>
  <c r="N9" i="26"/>
  <c r="O9" i="40" l="1"/>
  <c r="N13" i="40"/>
  <c r="N34" i="45" s="1"/>
  <c r="N13" i="41"/>
  <c r="N40" i="45" s="1"/>
  <c r="O9" i="41"/>
  <c r="N9" i="39"/>
  <c r="M13" i="39"/>
  <c r="M28" i="45" s="1"/>
  <c r="M13" i="13"/>
  <c r="M29" i="45" s="1"/>
  <c r="N13" i="26"/>
  <c r="N35" i="45" s="1"/>
  <c r="N9" i="27"/>
  <c r="N9" i="13"/>
  <c r="O9" i="26"/>
  <c r="X9" i="41" l="1"/>
  <c r="Y9" i="41" s="1"/>
  <c r="O13" i="41"/>
  <c r="O40" i="45" s="1"/>
  <c r="X9" i="40"/>
  <c r="O13" i="40"/>
  <c r="N13" i="39"/>
  <c r="N28" i="45" s="1"/>
  <c r="O9" i="39"/>
  <c r="N13" i="13"/>
  <c r="N29" i="45" s="1"/>
  <c r="N13" i="27"/>
  <c r="N41" i="45" s="1"/>
  <c r="O13" i="26"/>
  <c r="O35" i="45" s="1"/>
  <c r="O9" i="27"/>
  <c r="O9" i="13"/>
  <c r="P9" i="26"/>
  <c r="P13" i="40" l="1"/>
  <c r="O34" i="45"/>
  <c r="X13" i="40"/>
  <c r="P13" i="41"/>
  <c r="X13" i="41"/>
  <c r="Y13" i="41" s="1"/>
  <c r="X9" i="39"/>
  <c r="Y9" i="39" s="1"/>
  <c r="O13" i="39"/>
  <c r="O28" i="45" s="1"/>
  <c r="O13" i="13"/>
  <c r="O29" i="45" s="1"/>
  <c r="O13" i="27"/>
  <c r="O41" i="45" s="1"/>
  <c r="P13" i="26"/>
  <c r="P35" i="45" s="1"/>
  <c r="P9" i="27"/>
  <c r="P9" i="13"/>
  <c r="Q9" i="26"/>
  <c r="Q13" i="41" l="1"/>
  <c r="Q40" i="45" s="1"/>
  <c r="P40" i="45"/>
  <c r="Q13" i="40"/>
  <c r="Q34" i="45" s="1"/>
  <c r="P34" i="45"/>
  <c r="X13" i="39"/>
  <c r="Y13" i="39" s="1"/>
  <c r="P13" i="39"/>
  <c r="Y9" i="40"/>
  <c r="P13" i="13"/>
  <c r="P29" i="45" s="1"/>
  <c r="P13" i="27"/>
  <c r="P41" i="45" s="1"/>
  <c r="Q13" i="26"/>
  <c r="Q35" i="45" s="1"/>
  <c r="Q9" i="27"/>
  <c r="Q9" i="13"/>
  <c r="R9" i="26"/>
  <c r="Q13" i="39" l="1"/>
  <c r="Q28" i="45" s="1"/>
  <c r="P28" i="45"/>
  <c r="Y13" i="40"/>
  <c r="Q13" i="13"/>
  <c r="Q29" i="45" s="1"/>
  <c r="Q13" i="27"/>
  <c r="Q41" i="45" s="1"/>
  <c r="R13" i="26"/>
  <c r="R35" i="45" s="1"/>
  <c r="R9" i="27"/>
  <c r="R9" i="13"/>
  <c r="S9" i="26"/>
  <c r="R13" i="13" l="1"/>
  <c r="R29" i="45" s="1"/>
  <c r="R13" i="27"/>
  <c r="R41" i="45" s="1"/>
  <c r="S13" i="26"/>
  <c r="S35" i="45" s="1"/>
  <c r="S9" i="27"/>
  <c r="S9" i="13"/>
  <c r="T9" i="26"/>
  <c r="X9" i="26" s="1"/>
  <c r="Y9" i="26" s="1"/>
  <c r="S13" i="13" l="1"/>
  <c r="S29" i="45" s="1"/>
  <c r="S13" i="27"/>
  <c r="S41" i="45" s="1"/>
  <c r="T13" i="26"/>
  <c r="T35" i="45" s="1"/>
  <c r="T9" i="27"/>
  <c r="X9" i="27" s="1"/>
  <c r="Y9" i="27" s="1"/>
  <c r="T9" i="13"/>
  <c r="X9" i="13" s="1"/>
  <c r="Y9" i="13" s="1"/>
  <c r="X13" i="26" l="1"/>
  <c r="Y13" i="26" s="1"/>
  <c r="U13" i="26"/>
  <c r="T13" i="13"/>
  <c r="T13" i="27"/>
  <c r="T41" i="45" s="1"/>
  <c r="X13" i="13" l="1"/>
  <c r="Y13" i="13" s="1"/>
  <c r="T29" i="45"/>
  <c r="V13" i="26"/>
  <c r="V35" i="45" s="1"/>
  <c r="U35" i="45"/>
  <c r="X13" i="27"/>
  <c r="Y13" i="27" s="1"/>
  <c r="U13" i="27"/>
  <c r="U13" i="13"/>
  <c r="V13" i="27" l="1"/>
  <c r="V41" i="45" s="1"/>
  <c r="U41" i="45"/>
  <c r="V13" i="13"/>
  <c r="V29" i="45" s="1"/>
  <c r="U29" i="45"/>
</calcChain>
</file>

<file path=xl/comments1.xml><?xml version="1.0" encoding="utf-8"?>
<comments xmlns="http://schemas.openxmlformats.org/spreadsheetml/2006/main">
  <authors>
    <author>Williams, Bob</author>
  </authors>
  <commentList>
    <comment ref="D6" authorId="0" shapeId="0">
      <text>
        <r>
          <rPr>
            <sz val="9"/>
            <color indexed="81"/>
            <rFont val="Tahoma"/>
            <family val="2"/>
          </rPr>
          <t xml:space="preserve">Inflated to 2024 dollars
</t>
        </r>
      </text>
    </comment>
  </commentList>
</comments>
</file>

<file path=xl/comments2.xml><?xml version="1.0" encoding="utf-8"?>
<comments xmlns="http://schemas.openxmlformats.org/spreadsheetml/2006/main">
  <authors>
    <author>Williams, Bob</author>
  </authors>
  <commentList>
    <comment ref="D6" authorId="0" shapeId="0">
      <text>
        <r>
          <rPr>
            <sz val="9"/>
            <color indexed="81"/>
            <rFont val="Tahoma"/>
            <family val="2"/>
          </rPr>
          <t xml:space="preserve">Inflated to 2024
 dollars
</t>
        </r>
      </text>
    </comment>
  </commentList>
</comments>
</file>

<file path=xl/comments3.xml><?xml version="1.0" encoding="utf-8"?>
<comments xmlns="http://schemas.openxmlformats.org/spreadsheetml/2006/main">
  <authors>
    <author>Williams, Bob</author>
  </authors>
  <commentList>
    <comment ref="D6" authorId="0" shapeId="0">
      <text>
        <r>
          <rPr>
            <sz val="9"/>
            <color indexed="81"/>
            <rFont val="Tahoma"/>
            <family val="2"/>
          </rPr>
          <t xml:space="preserve">Inflated to 2023 dollars
</t>
        </r>
      </text>
    </comment>
  </commentList>
</comments>
</file>

<file path=xl/sharedStrings.xml><?xml version="1.0" encoding="utf-8"?>
<sst xmlns="http://schemas.openxmlformats.org/spreadsheetml/2006/main" count="587" uniqueCount="183">
  <si>
    <t>Annual Energy Savings in kWh</t>
  </si>
  <si>
    <t>Measure Life</t>
  </si>
  <si>
    <t>Capacity Factor</t>
  </si>
  <si>
    <t>Measure Type</t>
  </si>
  <si>
    <t>Avoided Cost of Energy</t>
  </si>
  <si>
    <t>Avoided Cost of Capacity</t>
  </si>
  <si>
    <t>Total Avoided Cost</t>
  </si>
  <si>
    <t>$/kWh</t>
  </si>
  <si>
    <t>Flat</t>
  </si>
  <si>
    <t>Constant Nominal</t>
  </si>
  <si>
    <t>Equivalent w/ 2.5% Increase</t>
  </si>
  <si>
    <t>2.5 Percent Increase</t>
  </si>
  <si>
    <t>2.5 Percent Index</t>
  </si>
  <si>
    <t>Notes</t>
  </si>
  <si>
    <t>$/MWh</t>
  </si>
  <si>
    <t>Year</t>
  </si>
  <si>
    <t>Total Annual Capital &amp; Fixed Costs of Capacity</t>
  </si>
  <si>
    <t>NPV - Capacity</t>
  </si>
  <si>
    <t>Cumulative Present Value CES-Capacity</t>
  </si>
  <si>
    <t>Levelized Cost Effectiveness Standard-Capacity</t>
  </si>
  <si>
    <t>(years)</t>
  </si>
  <si>
    <t>Deferred T&amp;D Cost Credit ($/kw-yr) (4):</t>
  </si>
  <si>
    <t>[1]</t>
  </si>
  <si>
    <t>[2]</t>
  </si>
  <si>
    <t>[3]</t>
  </si>
  <si>
    <t>[4]</t>
  </si>
  <si>
    <t>[5]</t>
  </si>
  <si>
    <t>[7]</t>
  </si>
  <si>
    <t>[8]</t>
  </si>
  <si>
    <t>NW Power Act Regional Credit (5):</t>
  </si>
  <si>
    <t>Annual Weighted Average of Hourly Price</t>
  </si>
  <si>
    <t>Levelized Cost Effectiveness Standard-Energy</t>
  </si>
  <si>
    <t>[6]</t>
  </si>
  <si>
    <r>
      <t>Nominal Discount Rate</t>
    </r>
    <r>
      <rPr>
        <b/>
        <sz val="10"/>
        <rFont val="Arial"/>
        <family val="2"/>
      </rPr>
      <t xml:space="preserve"> (*)</t>
    </r>
    <r>
      <rPr>
        <b/>
        <sz val="12"/>
        <rFont val="Arial"/>
        <family val="2"/>
      </rPr>
      <t>:</t>
    </r>
  </si>
  <si>
    <t>($/kw-yr)</t>
  </si>
  <si>
    <t xml:space="preserve">Present Value-Energy </t>
  </si>
  <si>
    <t>Cumulative Present Value -Energy</t>
  </si>
  <si>
    <t>$ / MWh</t>
  </si>
  <si>
    <t>$ / kWh</t>
  </si>
  <si>
    <t>[9]</t>
  </si>
  <si>
    <t xml:space="preserve"> "Contingency Reserves" per WECC 10/1/2014</t>
  </si>
  <si>
    <t>Ave</t>
  </si>
  <si>
    <t>MONTHS</t>
  </si>
  <si>
    <t>Indicative Avoided Capacity Costs for Resources Delivered to PSE's System</t>
  </si>
  <si>
    <t>Capacity Resource Addition</t>
  </si>
  <si>
    <t>Wind</t>
  </si>
  <si>
    <t>Solar</t>
  </si>
  <si>
    <t>This model accounts for both avoided energy costs and avoided capacity costs.</t>
  </si>
  <si>
    <t>Nominal Discount Rate</t>
  </si>
  <si>
    <t>GDP Inflation</t>
  </si>
  <si>
    <t>Planning Adjustment</t>
  </si>
  <si>
    <t>Avoided Renewable Benefits</t>
  </si>
  <si>
    <t>Conservation Credit</t>
  </si>
  <si>
    <t>PSE currently makes no deduction for balancing related costs as such costs could not be currently identified.</t>
  </si>
  <si>
    <t>Including</t>
  </si>
  <si>
    <t>($/MWh)</t>
  </si>
  <si>
    <t>20-year levelized</t>
  </si>
  <si>
    <t>15-year levelized</t>
  </si>
  <si>
    <t>Escalated Rate @ 2.5%</t>
  </si>
  <si>
    <t>1</t>
  </si>
  <si>
    <t>PUGET SOUND ENERGY-ELECTRIC</t>
  </si>
  <si>
    <t>LINE</t>
  </si>
  <si>
    <t>PRO FORMA</t>
  </si>
  <si>
    <t>COST OF</t>
  </si>
  <si>
    <t>NO.</t>
  </si>
  <si>
    <t>DESCRIPTION</t>
  </si>
  <si>
    <t>CAPITAL %</t>
  </si>
  <si>
    <t>COST %</t>
  </si>
  <si>
    <t>CAPITAL</t>
  </si>
  <si>
    <t>SHORT &amp; LONG TERM DEBT</t>
  </si>
  <si>
    <t>EQUITY</t>
  </si>
  <si>
    <t>TOTAL COST OF CAPITAL</t>
  </si>
  <si>
    <t>AFTER TAX DEBT</t>
  </si>
  <si>
    <t>TOTAL AFTER TAX COST OF CAPITAL</t>
  </si>
  <si>
    <t>[10]</t>
  </si>
  <si>
    <t>Deferred T&amp;D</t>
  </si>
  <si>
    <t>checksum</t>
  </si>
  <si>
    <t>Flat ($/MWh)</t>
  </si>
  <si>
    <t>Flat ($/kWh)</t>
  </si>
  <si>
    <t>Schedule 91 Rates for Purchase of Energy - Wind</t>
  </si>
  <si>
    <t>Schedule 91 Rates for Purchase of Energy - Solar</t>
  </si>
  <si>
    <t>The value of a measure increases with its measured life. The Power Purchase Agreement (PPA) length under Schedule 91 are five, ten and fifteen years, analogous to a five, ten and fifteen year measure life respectively.</t>
  </si>
  <si>
    <t>For each type of resource the final output of this calculation is a levelized price that does not vary from year to year (see cell L5).</t>
  </si>
  <si>
    <t>Unlike a conservation project, a PPA requires spinning reserves which are deducted above at the rate of 3% (see cell M6).</t>
  </si>
  <si>
    <t>The final levelized price is adjusted to create a Fixed Price option that increases by 2.5% each year, which maintains the same value to PSE while increasing the value to the customer-generator over time.</t>
  </si>
  <si>
    <t>The proposed strip is highlighted in yellow above.</t>
  </si>
  <si>
    <t xml:space="preserve">Schedule 91 -- Purchases from Qualifying Facilities of Five Megawatts or Less </t>
  </si>
  <si>
    <t>Baseload</t>
  </si>
  <si>
    <t>Delivered to PSE Capacity Value ($/MWh)</t>
  </si>
  <si>
    <t>(a)
Levelized Net $/kW-yr  Delivered To PSE</t>
  </si>
  <si>
    <t>Hours 
Available</t>
  </si>
  <si>
    <t>$/kW-yr</t>
  </si>
  <si>
    <t xml:space="preserve">- "Hours Available" are calculated as the total hours in a year for which the resource type is projected to operate, as determined by the Net Capacity Factor (NCF) for the generic resource for which the ELCC is based multiplied by the Total Hours in the Year. </t>
  </si>
  <si>
    <t>Schedule 91 Rates for Purchase of Energy - Baseload</t>
  </si>
  <si>
    <t>Baseload - 15 year</t>
  </si>
  <si>
    <t>Baseload - 5 year</t>
  </si>
  <si>
    <t>Baseload - 10 year</t>
  </si>
  <si>
    <t>Wind - 10 year</t>
  </si>
  <si>
    <t>Wind - 15 year</t>
  </si>
  <si>
    <t>Solar - 10 year</t>
  </si>
  <si>
    <t>Solar - 15 year</t>
  </si>
  <si>
    <t>Levelized</t>
  </si>
  <si>
    <t>Summary - Escalating @ 2.5%</t>
  </si>
  <si>
    <t>Summary - Levelized</t>
  </si>
  <si>
    <t>An additional two years are added to the strip to accommodate projects that sign the PPA in the year following the "current year."</t>
  </si>
  <si>
    <t>Schedule 91 -- Purchases from Qualifying Facilities of Five Megawatts or Less - Net Output Delivered to PSE's Distribution System</t>
  </si>
  <si>
    <r>
      <t xml:space="preserve">(b)=(a)*1.000                   
</t>
    </r>
    <r>
      <rPr>
        <u/>
        <sz val="10"/>
        <color theme="1"/>
        <rFont val="Arial"/>
        <family val="2"/>
      </rPr>
      <t>Baseload Resource</t>
    </r>
    <r>
      <rPr>
        <sz val="10"/>
        <rFont val="Arial"/>
        <family val="2"/>
      </rPr>
      <t xml:space="preserve"> ELCC=100.0%</t>
    </r>
  </si>
  <si>
    <t>(e)
Year</t>
  </si>
  <si>
    <t xml:space="preserve">(f)
Total Hours in Year
</t>
  </si>
  <si>
    <r>
      <t xml:space="preserve">(g)=(f)*1.000
</t>
    </r>
    <r>
      <rPr>
        <u/>
        <sz val="10"/>
        <color theme="1"/>
        <rFont val="Arial"/>
        <family val="2"/>
      </rPr>
      <t>Baseload 
Resource</t>
    </r>
    <r>
      <rPr>
        <sz val="10"/>
        <color theme="1"/>
        <rFont val="Arial"/>
        <family val="2"/>
      </rPr>
      <t xml:space="preserve"> NCF=100%</t>
    </r>
  </si>
  <si>
    <t>(h)=(b)*(g)
Baseload 
Resource</t>
  </si>
  <si>
    <t>This Schedule 91 standard rate model is based upon the cost effectiveness standard model that has been used for evaluating individual measures of PSE's Energy Efficiency Services program.</t>
  </si>
  <si>
    <t>(l)=(d)*(k)
Solar 
Resource</t>
  </si>
  <si>
    <r>
      <t>Inflation</t>
    </r>
    <r>
      <rPr>
        <b/>
        <sz val="10"/>
        <rFont val="Arial"/>
        <family val="2"/>
      </rPr>
      <t xml:space="preserve"> (**)</t>
    </r>
    <r>
      <rPr>
        <b/>
        <sz val="12"/>
        <rFont val="Arial"/>
        <family val="2"/>
      </rPr>
      <t>:</t>
    </r>
  </si>
  <si>
    <t>- It is assumed that either a Frame Peaker is the incremental capacity resource in these years, therefore the "projected fixed costs of a simple-cycle combustion turbine" is used for cost.</t>
  </si>
  <si>
    <t>- These both reflect Eastern Washington resources</t>
  </si>
  <si>
    <t xml:space="preserve">Pricing </t>
  </si>
  <si>
    <t>20 yr Levelized Price</t>
  </si>
  <si>
    <t>Capacity ELCC</t>
  </si>
  <si>
    <t>Frame peaker</t>
  </si>
  <si>
    <t xml:space="preserve">Net Capacity Factor </t>
  </si>
  <si>
    <t>Cost of Capacity $/KW</t>
  </si>
  <si>
    <t>T&amp;D Deferral</t>
  </si>
  <si>
    <t>Results - Summarized</t>
  </si>
  <si>
    <r>
      <t xml:space="preserve">(d)=(a)*0.040
</t>
    </r>
    <r>
      <rPr>
        <u/>
        <sz val="10"/>
        <color theme="1"/>
        <rFont val="Arial"/>
        <family val="2"/>
      </rPr>
      <t>Solar Resource</t>
    </r>
    <r>
      <rPr>
        <sz val="10"/>
        <rFont val="Arial"/>
        <family val="2"/>
      </rPr>
      <t xml:space="preserve"> ELCC=4.0%</t>
    </r>
  </si>
  <si>
    <t>2023 Sched 91</t>
  </si>
  <si>
    <t>Base load resources assumes 100% ELCC and 100% capacity factor for the pricing.</t>
  </si>
  <si>
    <t>Input Tabs</t>
  </si>
  <si>
    <t>Deferred T&amp;D Cost Credit ($/kW-yr)</t>
  </si>
  <si>
    <t>NW Power Act Regional Credit</t>
  </si>
  <si>
    <t>Conservation benefit not used</t>
  </si>
  <si>
    <t>Inflation rate</t>
  </si>
  <si>
    <t>The avoided capacity cost is comprised of the capacity benefit and the T&amp;D deferral benefit.</t>
  </si>
  <si>
    <t>Avoided cost is converted from $/KW  to $/MWh  based on the Effective Load Carrying Capability (ELCC) and the net capacity factor  (NCF) of each type of resource.</t>
  </si>
  <si>
    <t>The benefit of the avoided cost of transmission line losses since the energy is delivered to PSE distribution system is in column J.</t>
  </si>
  <si>
    <t>Columns N and O are the present value and the cumulative present value respectively  of the energy that is used to calculated the levelized cost in column P.</t>
  </si>
  <si>
    <t xml:space="preserve">Row 5 shows the Total Avoided Cost levelized cost </t>
  </si>
  <si>
    <t>Cell L6 includes the  reserve requirement.</t>
  </si>
  <si>
    <t>Row 9 is  the levelized cost over the time period.</t>
  </si>
  <si>
    <t>Row 13 shows the results of converting  the levelized cost stream to escalating price stream.</t>
  </si>
  <si>
    <t>The results in column W reflects  the annual cost and column X the levelized cost based on the number of years in the calculation.</t>
  </si>
  <si>
    <t>Comparison to the last filing inputs and results</t>
  </si>
  <si>
    <t xml:space="preserve">2. [Capacity Delivered] tab </t>
  </si>
  <si>
    <t>4.  [FlatLoadShapeEnergy_perMWH] tab calculates the levelized cost of energy.</t>
  </si>
  <si>
    <t>Column I is fed from the [Energy Prices] tab</t>
  </si>
  <si>
    <t xml:space="preserve">5. [Electric EES CE Std Energy] tab: Summarizing the information from [FlatLoadShapeEnergy_perMWH] tab  </t>
  </si>
  <si>
    <t>6. All the output tabs indicate the proposed • Schedule 91 Standard Fixed Rates for baseload, solar and wind varied by number of years --  5, 10 and 15.</t>
  </si>
  <si>
    <t>7.  [Output Summary] tab summarizes the proposed Schedule 91 Standard Fixed Rates in this filing.</t>
  </si>
  <si>
    <t>Power prices have been updated to reflect PSE's latest forecast that will be consistent with the 2023 Electric Progress Rereport.</t>
  </si>
  <si>
    <t xml:space="preserve"> Transmission Line Loss Reduction [4]</t>
  </si>
  <si>
    <t>Transmission Line Loss Reduction</t>
  </si>
  <si>
    <r>
      <t xml:space="preserve">(k)=(f)*0.25
</t>
    </r>
    <r>
      <rPr>
        <u/>
        <sz val="10"/>
        <color theme="1"/>
        <rFont val="Arial"/>
        <family val="2"/>
      </rPr>
      <t>Solar 
Resource</t>
    </r>
    <r>
      <rPr>
        <sz val="10"/>
        <color theme="1"/>
        <rFont val="Arial"/>
        <family val="2"/>
      </rPr>
      <t xml:space="preserve">
NCF=25%</t>
    </r>
  </si>
  <si>
    <r>
      <t>All tabs include update to the period of</t>
    </r>
    <r>
      <rPr>
        <sz val="12"/>
        <color rgb="FF92D050"/>
        <rFont val="Arial"/>
        <family val="2"/>
      </rPr>
      <t xml:space="preserve"> </t>
    </r>
    <r>
      <rPr>
        <sz val="12"/>
        <rFont val="Arial"/>
        <family val="2"/>
      </rPr>
      <t>2024-2044</t>
    </r>
  </si>
  <si>
    <t>Avoided Capacity Cost: Appendix H, Table H.6, page H.39</t>
  </si>
  <si>
    <t>Effective Load Carrying Capably (ELCC): Appendix D, Page D.36 and D.27, Table D.2 for Wind, Table D.3 for Solar</t>
  </si>
  <si>
    <t>Net Capacity Factor (NCF) Appendix D, Page D.36 and D.27, Table D.2 for Wind, Table D.3 for Solar</t>
  </si>
  <si>
    <t>3. [Avoided Capacity Calcs] tab</t>
  </si>
  <si>
    <t>Updated based on 2022 GRC</t>
  </si>
  <si>
    <t>2024 Sched 91</t>
  </si>
  <si>
    <t>1.  [Energy Prices] tab</t>
  </si>
  <si>
    <t>Wind capacity factor and ELCC is based on 2023 EPR Table  D.2</t>
  </si>
  <si>
    <t>Solar capacity factor and ELCC is based on 2023 EPR Table D.3</t>
  </si>
  <si>
    <r>
      <t xml:space="preserve">(c)=(a)*0.13 
</t>
    </r>
    <r>
      <rPr>
        <u/>
        <sz val="10"/>
        <rFont val="Arial"/>
        <family val="2"/>
      </rPr>
      <t>Wind Resource</t>
    </r>
    <r>
      <rPr>
        <sz val="10"/>
        <rFont val="Arial"/>
        <family val="2"/>
      </rPr>
      <t xml:space="preserve"> ELCC=13%</t>
    </r>
  </si>
  <si>
    <r>
      <t xml:space="preserve">(i)=(f)*0.37
</t>
    </r>
    <r>
      <rPr>
        <u/>
        <sz val="10"/>
        <rFont val="Arial"/>
        <family val="2"/>
      </rPr>
      <t>Wind 
Resource</t>
    </r>
    <r>
      <rPr>
        <sz val="10"/>
        <rFont val="Arial"/>
        <family val="2"/>
      </rPr>
      <t xml:space="preserve">
NCF=37%</t>
    </r>
  </si>
  <si>
    <t>- The Wind and Solar ELCCs of 13% and 4.0% are based in the assumption used in Appendix D</t>
  </si>
  <si>
    <t>- NCFs for Wind and Solar come from Appendix D, Table D.2, D.3 respectively.</t>
  </si>
  <si>
    <t>As Used in UE-220066 and UG-220067</t>
  </si>
  <si>
    <t>PRO FORMA COST OF CAPITAL APPROVED IN UE-220066/UG-220067</t>
  </si>
  <si>
    <t>FOR THE TWELVE MONTHS ENDED DECEMBER 31, 2022</t>
  </si>
  <si>
    <t>Delivered to PSE Winter Capacity Value ($/kW-yr)</t>
  </si>
  <si>
    <t xml:space="preserve">Transmission losses updated as per section 15.7 Real Power Losses, PSE Current Effective OATT 6.1.23.
 </t>
  </si>
  <si>
    <t>PSE_Current_OATT_Effective_06.01.2023.pdf (oati.com)</t>
  </si>
  <si>
    <t>- Data for the table is provided by PSE's 2023 EPR</t>
  </si>
  <si>
    <t>(j)=(c)*1000/(i)
Wind 
Resource</t>
  </si>
  <si>
    <t>Note 1:  T&amp;D deferral based on the 2023 EPR, Appendix H, Page H.22</t>
  </si>
  <si>
    <t>https://www.pse.com/-/media/PDFs/IRP/2023/electric/appendix/16_EPR23_AppG_Final.pdf?modified=20230331195806</t>
  </si>
  <si>
    <t xml:space="preserve">As provided for in WAC 480-106-040(1)(a), the estimated Avoided Energy Costs are based upon PSE's most current forecast of market prices for electricity in its 2023 Electric Progress Report in accordance with WAC 480-100-625(4).  See link below for the assumptions and discussions that was presented in the 2023 Electric Progress Report Appendix G: Electric Price Models:                                                                                                                                                                                                                                             </t>
  </si>
  <si>
    <t>As provided for in WAC 480-106-040(1)(a), the estimated Avoided Energy Costs are based upon PSE's most current forecast of market prices for electricity in its 2023 Electric Progress Report in accordance with WAC 480-100-625(4).  See link below for the assumptions and discussions that was presented in the 2023 Electric Progress Report Appendix G: Electric Price Models:</t>
  </si>
  <si>
    <t>https://www.pse.com/-/media/PDFs/IRP/2023/electric/appendix/17_EPR23_AppH_Final.pdf?modified=20230331195806</t>
  </si>
  <si>
    <t xml:space="preserve">The Deferred T&amp;D Cost Credit of $78.48/kW per year for 2024 (i.e., $74.70/kW per year levelized 2022 dollar) is based on the T&amp;D benefit of $74.70/kW-year for DER batteries in PSE’s 2023 Electric Progress Report of its IRP.  The $74.70/kW-year T&amp;D benefit is PSE’s forward-looking estimate of T&amp;D system costs under a scenario where electrification requirements and electric vehicles drive substantial electric load growth.  This is an significant change from the backward-looking estimate of $12.93/kW-year (or $12.61/kW-yr levelized 2020 dollar) Deferred T&amp;D Cost Credit used in PSE’s 2021 IRP and in the last two Schedule 91 annual filings, which was determined based upon the costs of PSE’s T&amp;D upgrade projects from 2010 to 2020.  
Discussions about the $74.70/kW-year T&amp;D benefit can be found at section 8.6. Transmission and Distribution Costs at page H.22 of Appendix H: Electric Analysis and Portfolio Model to its 2023 Electric Progress Report
</t>
  </si>
  <si>
    <t>Column D covers the Flat Load Shape Energy from $/MWh to $/kWh.</t>
  </si>
  <si>
    <t>8. Input update from the 2022 Schedule 91 filing includes:  Electricity Market Prices</t>
  </si>
  <si>
    <r>
      <t xml:space="preserve">Basis for assumptions in this table is PSE's </t>
    </r>
    <r>
      <rPr>
        <sz val="12"/>
        <rFont val="Arial"/>
        <family val="2"/>
      </rPr>
      <t>2023 EPR</t>
    </r>
    <r>
      <rPr>
        <sz val="12"/>
        <color theme="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</si>
</sst>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8" formatCode="&quot;$&quot;#,##0.00_);[Red]\(&quot;$&quot;#,##0.00\)"/>
    <numFmt numFmtId="41" formatCode="_(* #,##0_);_(* \(#,##0\);_(* &quot;-&quot;_);_(@_)"/>
    <numFmt numFmtId="44" formatCode="_(&quot;$&quot;* #,##0.00_);_(&quot;$&quot;* \(#,##0.00\);_(&quot;$&quot;* &quot;-&quot;??_);_(@_)"/>
    <numFmt numFmtId="43" formatCode="_(* #,##0.00_);_(* \(#,##0.00\);_(* &quot;-&quot;??_);_(@_)"/>
    <numFmt numFmtId="164" formatCode="0.0000"/>
    <numFmt numFmtId="165" formatCode="0.0000000"/>
    <numFmt numFmtId="166" formatCode="0.000000"/>
    <numFmt numFmtId="167" formatCode="0.0%"/>
    <numFmt numFmtId="168" formatCode="&quot;$&quot;#,##0.00"/>
    <numFmt numFmtId="169" formatCode="_(&quot;$&quot;* #,##0.0000_);_(&quot;$&quot;* \(#,##0.0000\);_(&quot;$&quot;* &quot;-&quot;??_);_(@_)"/>
    <numFmt numFmtId="170" formatCode="_(&quot;$&quot;* #,##0.00000_);_(&quot;$&quot;* \(#,##0.00000\);_(&quot;$&quot;* &quot;-&quot;??_);_(@_)"/>
    <numFmt numFmtId="171" formatCode="_(* #,##0.0000_);_(* \(#,##0.0000\);_(* &quot;-&quot;??_);_(@_)"/>
    <numFmt numFmtId="172" formatCode="_(&quot;$&quot;* #,##0_);_(&quot;$&quot;* \(#,##0\);_(&quot;$&quot;* &quot;-&quot;??_);_(@_)"/>
    <numFmt numFmtId="173" formatCode="_(* #,##0_);_(* \(#,##0\);_(* &quot;-&quot;??_);_(@_)"/>
    <numFmt numFmtId="174" formatCode="_(* #,##0.000000000000_);_(* \(#,##0.000000000000\);_(* &quot;-&quot;??_);_(@_)"/>
    <numFmt numFmtId="175" formatCode="&quot;$&quot;#,##0.00_);\(&quot;$&quot;#,##0.00\);@_)"/>
    <numFmt numFmtId="176" formatCode="&quot;$&quot;#,##0.000_);[Red]\(&quot;$&quot;#,##0.000\)"/>
    <numFmt numFmtId="177" formatCode="0.00%_);\(0.00%\);&quot;–&quot;_)"/>
    <numFmt numFmtId="178" formatCode="#,##0.00_);\(#,##0.00\);\–_);&quot;–&quot;_)"/>
    <numFmt numFmtId="179" formatCode="0.0%_);\(0.0%\);&quot;–&quot;_)"/>
  </numFmts>
  <fonts count="57"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Arial"/>
      <family val="2"/>
    </font>
    <font>
      <sz val="10"/>
      <name val="Arial"/>
      <family val="2"/>
    </font>
    <font>
      <u/>
      <sz val="7.5"/>
      <color indexed="12"/>
      <name val="Arial"/>
      <family val="2"/>
    </font>
    <font>
      <sz val="8"/>
      <name val="Arial"/>
      <family val="2"/>
    </font>
    <font>
      <b/>
      <sz val="12"/>
      <name val="Arial"/>
      <family val="2"/>
    </font>
    <font>
      <sz val="10"/>
      <name val="Arial"/>
      <family val="2"/>
    </font>
    <font>
      <sz val="12"/>
      <name val="Arial"/>
      <family val="2"/>
    </font>
    <font>
      <b/>
      <sz val="10"/>
      <name val="Arial"/>
      <family val="2"/>
    </font>
    <font>
      <sz val="11"/>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2"/>
      <color indexed="10"/>
      <name val="Arial"/>
      <family val="2"/>
    </font>
    <font>
      <sz val="12"/>
      <color indexed="8"/>
      <name val="Arial"/>
      <family val="2"/>
    </font>
    <font>
      <b/>
      <sz val="11"/>
      <name val="Arial"/>
      <family val="2"/>
    </font>
    <font>
      <sz val="12"/>
      <color theme="1"/>
      <name val="Arial"/>
      <family val="2"/>
    </font>
    <font>
      <sz val="12"/>
      <color rgb="FFFFFFFF"/>
      <name val="Arial"/>
      <family val="2"/>
    </font>
    <font>
      <b/>
      <sz val="12"/>
      <color rgb="FFFFFFFF"/>
      <name val="Arial"/>
      <family val="2"/>
    </font>
    <font>
      <b/>
      <sz val="12"/>
      <color rgb="FF000000"/>
      <name val="Arial"/>
      <family val="2"/>
    </font>
    <font>
      <sz val="12"/>
      <color rgb="FF000000"/>
      <name val="Arial"/>
      <family val="2"/>
    </font>
    <font>
      <b/>
      <sz val="10"/>
      <color theme="1"/>
      <name val="Times New Roman"/>
      <family val="1"/>
    </font>
    <font>
      <sz val="10"/>
      <color theme="1"/>
      <name val="Times New Roman"/>
      <family val="1"/>
    </font>
    <font>
      <sz val="8"/>
      <color theme="1"/>
      <name val="Times New Roman"/>
      <family val="1"/>
    </font>
    <font>
      <sz val="11"/>
      <color rgb="FFFF0000"/>
      <name val="Calibri"/>
      <family val="2"/>
      <scheme val="minor"/>
    </font>
    <font>
      <i/>
      <sz val="12"/>
      <name val="Arial"/>
      <family val="2"/>
    </font>
    <font>
      <sz val="12"/>
      <color indexed="9"/>
      <name val="Arial"/>
      <family val="2"/>
    </font>
    <font>
      <u/>
      <sz val="12"/>
      <name val="Arial"/>
      <family val="2"/>
    </font>
    <font>
      <sz val="11"/>
      <color indexed="8"/>
      <name val="Arial"/>
      <family val="2"/>
    </font>
    <font>
      <b/>
      <sz val="12"/>
      <color indexed="10"/>
      <name val="Arial"/>
      <family val="2"/>
    </font>
    <font>
      <sz val="11"/>
      <color rgb="FF1F497D"/>
      <name val="Calibri"/>
      <family val="2"/>
    </font>
    <font>
      <sz val="10"/>
      <color theme="1"/>
      <name val="Arial"/>
      <family val="2"/>
    </font>
    <font>
      <b/>
      <sz val="10"/>
      <color theme="1"/>
      <name val="Arial"/>
      <family val="2"/>
    </font>
    <font>
      <u/>
      <sz val="10"/>
      <color theme="1"/>
      <name val="Arial"/>
      <family val="2"/>
    </font>
    <font>
      <sz val="9"/>
      <color indexed="81"/>
      <name val="Tahoma"/>
      <family val="2"/>
    </font>
    <font>
      <sz val="12"/>
      <color rgb="FFFFC000"/>
      <name val="Arial"/>
      <family val="2"/>
    </font>
    <font>
      <sz val="12"/>
      <color rgb="FF92D050"/>
      <name val="Arial"/>
      <family val="2"/>
    </font>
    <font>
      <b/>
      <i/>
      <sz val="12"/>
      <color rgb="FFFFC000"/>
      <name val="Arial"/>
      <family val="2"/>
    </font>
    <font>
      <u/>
      <sz val="1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indexed="44"/>
        <bgColor indexed="64"/>
      </patternFill>
    </fill>
    <fill>
      <patternFill patternType="solid">
        <fgColor rgb="FF006A71"/>
        <bgColor indexed="64"/>
      </patternFill>
    </fill>
    <fill>
      <patternFill patternType="solid">
        <fgColor rgb="FFBDD22B"/>
        <bgColor indexed="64"/>
      </patternFill>
    </fill>
    <fill>
      <patternFill patternType="solid">
        <fgColor rgb="FFFFFF66"/>
        <bgColor indexed="64"/>
      </patternFill>
    </fill>
    <fill>
      <patternFill patternType="solid">
        <fgColor theme="7" tint="0.79998168889431442"/>
        <bgColor indexed="64"/>
      </patternFill>
    </fill>
  </fills>
  <borders count="7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rgb="FF000000"/>
      </bottom>
      <diagonal/>
    </border>
    <border>
      <left/>
      <right/>
      <top/>
      <bottom style="medium">
        <color rgb="FF000000"/>
      </bottom>
      <diagonal/>
    </border>
    <border>
      <left/>
      <right/>
      <top/>
      <bottom style="medium">
        <color indexed="64"/>
      </bottom>
      <diagonal/>
    </border>
    <border>
      <left style="medium">
        <color indexed="64"/>
      </left>
      <right style="medium">
        <color rgb="FF000000"/>
      </right>
      <top style="thin">
        <color indexed="64"/>
      </top>
      <bottom style="thin">
        <color indexed="64"/>
      </bottom>
      <diagonal/>
    </border>
    <border>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right style="medium">
        <color indexed="64"/>
      </right>
      <top/>
      <bottom style="thin">
        <color indexed="64"/>
      </bottom>
      <diagonal/>
    </border>
    <border>
      <left style="medium">
        <color rgb="FF000000"/>
      </left>
      <right style="thin">
        <color indexed="64"/>
      </right>
      <top style="thin">
        <color indexed="64"/>
      </top>
      <bottom style="medium">
        <color rgb="FF000000"/>
      </bottom>
      <diagonal/>
    </border>
    <border>
      <left style="medium">
        <color rgb="FF000000"/>
      </left>
      <right style="medium">
        <color rgb="FF000000"/>
      </right>
      <top style="medium">
        <color rgb="FF000000"/>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indexed="64"/>
      </right>
      <top/>
      <bottom style="thin">
        <color indexed="64"/>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style="medium">
        <color rgb="FF000000"/>
      </right>
      <top/>
      <bottom/>
      <diagonal/>
    </border>
    <border>
      <left style="medium">
        <color rgb="FF000000"/>
      </left>
      <right style="thin">
        <color indexed="64"/>
      </right>
      <top style="thin">
        <color indexed="64"/>
      </top>
      <bottom style="thin">
        <color indexed="64"/>
      </bottom>
      <diagonal/>
    </border>
    <border>
      <left style="medium">
        <color rgb="FF000000"/>
      </left>
      <right style="thin">
        <color indexed="64"/>
      </right>
      <top style="medium">
        <color rgb="FF000000"/>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rgb="FF000000"/>
      </top>
      <bottom/>
      <diagonal/>
    </border>
    <border>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000000"/>
      </left>
      <right style="medium">
        <color rgb="FF000000"/>
      </right>
      <top style="medium">
        <color indexed="64"/>
      </top>
      <bottom/>
      <diagonal/>
    </border>
    <border>
      <left style="thin">
        <color rgb="FF000000"/>
      </left>
      <right style="medium">
        <color rgb="FF000000"/>
      </right>
      <top/>
      <bottom/>
      <diagonal/>
    </border>
    <border>
      <left style="thin">
        <color rgb="FF000000"/>
      </left>
      <right style="medium">
        <color rgb="FF000000"/>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bottom style="thin">
        <color rgb="FF000000"/>
      </bottom>
      <diagonal/>
    </border>
    <border>
      <left/>
      <right style="medium">
        <color indexed="64"/>
      </right>
      <top/>
      <bottom style="thin">
        <color rgb="FF000000"/>
      </bottom>
      <diagonal/>
    </border>
    <border>
      <left/>
      <right style="medium">
        <color indexed="64"/>
      </right>
      <top style="medium">
        <color rgb="FF000000"/>
      </top>
      <bottom style="thin">
        <color indexed="64"/>
      </bottom>
      <diagonal/>
    </border>
    <border>
      <left/>
      <right/>
      <top style="medium">
        <color rgb="FF000000"/>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rgb="FF000000"/>
      </left>
      <right style="medium">
        <color indexed="64"/>
      </right>
      <top/>
      <bottom/>
      <diagonal/>
    </border>
    <border>
      <left style="medium">
        <color rgb="FF000000"/>
      </left>
      <right style="medium">
        <color indexed="64"/>
      </right>
      <top style="thin">
        <color rgb="FF000000"/>
      </top>
      <bottom style="medium">
        <color rgb="FF000000"/>
      </bottom>
      <diagonal/>
    </border>
    <border>
      <left style="medium">
        <color indexed="64"/>
      </left>
      <right style="medium">
        <color rgb="FF000000"/>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rgb="FF000000"/>
      </left>
      <right/>
      <top/>
      <bottom style="medium">
        <color rgb="FF000000"/>
      </bottom>
      <diagonal/>
    </border>
    <border>
      <left style="thin">
        <color indexed="64"/>
      </left>
      <right/>
      <top/>
      <bottom/>
      <diagonal/>
    </border>
  </borders>
  <cellStyleXfs count="67">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20" borderId="1" applyNumberFormat="0" applyAlignment="0" applyProtection="0"/>
    <xf numFmtId="0" fontId="18" fillId="21" borderId="2" applyNumberFormat="0" applyAlignment="0" applyProtection="0"/>
    <xf numFmtId="43" fontId="5"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4" fontId="5"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0" fontId="19" fillId="0" borderId="0" applyNumberFormat="0" applyFill="0" applyBorder="0" applyAlignment="0" applyProtection="0"/>
    <xf numFmtId="0" fontId="20" fillId="4" borderId="0" applyNumberFormat="0" applyBorder="0" applyAlignment="0" applyProtection="0"/>
    <xf numFmtId="0" fontId="21" fillId="0" borderId="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7" fillId="0" borderId="0" applyNumberFormat="0" applyFill="0" applyBorder="0" applyAlignment="0" applyProtection="0">
      <alignment vertical="top"/>
      <protection locked="0"/>
    </xf>
    <xf numFmtId="0" fontId="24" fillId="7" borderId="1" applyNumberFormat="0" applyAlignment="0" applyProtection="0"/>
    <xf numFmtId="0" fontId="25" fillId="0" borderId="6" applyNumberFormat="0" applyFill="0" applyAlignment="0" applyProtection="0"/>
    <xf numFmtId="0" fontId="26" fillId="22" borderId="0" applyNumberFormat="0" applyBorder="0" applyAlignment="0" applyProtection="0"/>
    <xf numFmtId="0" fontId="10" fillId="0" borderId="0"/>
    <xf numFmtId="0" fontId="14" fillId="0" borderId="0"/>
    <xf numFmtId="0" fontId="10" fillId="0" borderId="0"/>
    <xf numFmtId="0" fontId="14" fillId="0" borderId="0"/>
    <xf numFmtId="0" fontId="14" fillId="23" borderId="7" applyNumberFormat="0" applyFont="0" applyAlignment="0" applyProtection="0"/>
    <xf numFmtId="0" fontId="27" fillId="20" borderId="8" applyNumberFormat="0" applyAlignment="0" applyProtection="0"/>
    <xf numFmtId="9" fontId="5"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66" fontId="6" fillId="0" borderId="0">
      <alignment horizontal="left" wrapText="1"/>
    </xf>
    <xf numFmtId="0" fontId="28" fillId="0" borderId="0" applyNumberFormat="0" applyFill="0" applyBorder="0" applyAlignment="0" applyProtection="0"/>
    <xf numFmtId="0" fontId="29" fillId="0" borderId="9" applyNumberFormat="0" applyFill="0" applyAlignment="0" applyProtection="0"/>
    <xf numFmtId="0" fontId="30" fillId="0" borderId="0" applyNumberFormat="0" applyFill="0" applyBorder="0" applyAlignment="0" applyProtection="0"/>
    <xf numFmtId="0" fontId="4" fillId="0" borderId="0"/>
    <xf numFmtId="43" fontId="4" fillId="0" borderId="0" applyFont="0" applyFill="0" applyBorder="0" applyAlignment="0" applyProtection="0"/>
    <xf numFmtId="0" fontId="3" fillId="0" borderId="0"/>
    <xf numFmtId="44" fontId="3"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0" fontId="2" fillId="0" borderId="0"/>
    <xf numFmtId="9" fontId="2" fillId="0" borderId="0" applyFont="0" applyFill="0" applyBorder="0" applyAlignment="0" applyProtection="0"/>
    <xf numFmtId="0" fontId="1" fillId="0" borderId="0"/>
    <xf numFmtId="44" fontId="1" fillId="0" borderId="0" applyFont="0" applyFill="0" applyBorder="0" applyAlignment="0" applyProtection="0"/>
  </cellStyleXfs>
  <cellXfs count="367">
    <xf numFmtId="0" fontId="0" fillId="0" borderId="0" xfId="0"/>
    <xf numFmtId="8" fontId="0" fillId="0" borderId="0" xfId="0" applyNumberFormat="1"/>
    <xf numFmtId="0" fontId="0" fillId="0" borderId="0" xfId="0" applyAlignment="1">
      <alignment horizontal="center"/>
    </xf>
    <xf numFmtId="0" fontId="9" fillId="0" borderId="0" xfId="0" applyFont="1" applyAlignment="1">
      <alignment horizontal="center" wrapText="1"/>
    </xf>
    <xf numFmtId="0" fontId="9" fillId="0" borderId="11" xfId="0" applyFont="1" applyBorder="1" applyAlignment="1">
      <alignment horizontal="center"/>
    </xf>
    <xf numFmtId="0" fontId="9" fillId="0" borderId="0" xfId="0" applyFont="1"/>
    <xf numFmtId="0" fontId="12" fillId="0" borderId="10" xfId="0" applyFont="1" applyBorder="1" applyAlignment="1">
      <alignment horizontal="center" wrapText="1"/>
    </xf>
    <xf numFmtId="0" fontId="12" fillId="0" borderId="0" xfId="0" applyFont="1"/>
    <xf numFmtId="0" fontId="0" fillId="0" borderId="10" xfId="0" applyBorder="1" applyAlignment="1">
      <alignment horizontal="center"/>
    </xf>
    <xf numFmtId="2" fontId="0" fillId="0" borderId="0" xfId="0" applyNumberFormat="1" applyBorder="1"/>
    <xf numFmtId="164" fontId="0" fillId="0" borderId="0" xfId="0" applyNumberFormat="1"/>
    <xf numFmtId="41" fontId="10" fillId="0" borderId="0" xfId="28" applyNumberFormat="1" applyFont="1" applyFill="1" applyBorder="1" applyAlignment="1">
      <alignment horizontal="right"/>
    </xf>
    <xf numFmtId="165" fontId="0" fillId="0" borderId="0" xfId="0" applyNumberFormat="1" applyFill="1" applyAlignment="1">
      <alignment horizontal="right"/>
    </xf>
    <xf numFmtId="165" fontId="0" fillId="0" borderId="0" xfId="0" applyNumberFormat="1" applyAlignment="1">
      <alignment horizontal="right"/>
    </xf>
    <xf numFmtId="0" fontId="31" fillId="0" borderId="0" xfId="47" applyFont="1"/>
    <xf numFmtId="0" fontId="9" fillId="0" borderId="0" xfId="47" applyFont="1" applyAlignment="1">
      <alignment horizontal="center"/>
    </xf>
    <xf numFmtId="0" fontId="9" fillId="0" borderId="0" xfId="47" applyFont="1" applyAlignment="1">
      <alignment horizontal="center" wrapText="1"/>
    </xf>
    <xf numFmtId="0" fontId="9" fillId="0" borderId="0" xfId="47" applyFont="1" applyFill="1" applyAlignment="1">
      <alignment horizontal="center" wrapText="1"/>
    </xf>
    <xf numFmtId="0" fontId="9" fillId="0" borderId="11" xfId="47" applyFont="1" applyBorder="1" applyAlignment="1">
      <alignment horizontal="center"/>
    </xf>
    <xf numFmtId="0" fontId="9" fillId="0" borderId="11" xfId="47" applyFont="1" applyFill="1" applyBorder="1" applyAlignment="1">
      <alignment horizontal="center"/>
    </xf>
    <xf numFmtId="0" fontId="9" fillId="0" borderId="0" xfId="47" applyFont="1" applyBorder="1" applyAlignment="1">
      <alignment horizontal="right"/>
    </xf>
    <xf numFmtId="0" fontId="13" fillId="0" borderId="0" xfId="47" applyFont="1" applyFill="1"/>
    <xf numFmtId="0" fontId="9" fillId="0" borderId="0" xfId="46" applyFont="1" applyFill="1" applyAlignment="1">
      <alignment horizontal="right"/>
    </xf>
    <xf numFmtId="0" fontId="9" fillId="0" borderId="0" xfId="46" applyFont="1" applyFill="1" applyAlignment="1">
      <alignment horizontal="center"/>
    </xf>
    <xf numFmtId="0" fontId="9" fillId="0" borderId="0" xfId="46" applyFont="1" applyFill="1" applyAlignment="1">
      <alignment horizontal="center" wrapText="1"/>
    </xf>
    <xf numFmtId="0" fontId="9" fillId="0" borderId="0" xfId="46" applyFont="1" applyFill="1" applyBorder="1" applyAlignment="1">
      <alignment horizontal="center" wrapText="1"/>
    </xf>
    <xf numFmtId="0" fontId="9" fillId="0" borderId="11" xfId="46" applyFont="1" applyFill="1" applyBorder="1" applyAlignment="1">
      <alignment horizontal="center"/>
    </xf>
    <xf numFmtId="0" fontId="9" fillId="0" borderId="0" xfId="46" applyFont="1" applyFill="1" applyBorder="1" applyAlignment="1">
      <alignment horizontal="center"/>
    </xf>
    <xf numFmtId="0" fontId="9" fillId="0" borderId="0" xfId="46" applyFont="1" applyFill="1" applyBorder="1" applyAlignment="1">
      <alignment horizontal="right"/>
    </xf>
    <xf numFmtId="0" fontId="0" fillId="0" borderId="0" xfId="0" quotePrefix="1"/>
    <xf numFmtId="44" fontId="12" fillId="0" borderId="10" xfId="31" applyFont="1" applyFill="1" applyBorder="1" applyAlignment="1">
      <alignment horizontal="center" wrapText="1"/>
    </xf>
    <xf numFmtId="0" fontId="5" fillId="0" borderId="0" xfId="47" applyFont="1" applyFill="1" applyAlignment="1">
      <alignment horizontal="left"/>
    </xf>
    <xf numFmtId="44" fontId="5" fillId="0" borderId="0" xfId="31" applyFont="1" applyBorder="1"/>
    <xf numFmtId="0" fontId="5" fillId="0" borderId="0" xfId="47" applyFont="1"/>
    <xf numFmtId="0" fontId="9" fillId="0" borderId="0" xfId="46" applyFont="1" applyFill="1" applyBorder="1"/>
    <xf numFmtId="0" fontId="0" fillId="0" borderId="0" xfId="0" applyBorder="1"/>
    <xf numFmtId="44" fontId="0" fillId="0" borderId="10" xfId="31" applyFont="1" applyBorder="1"/>
    <xf numFmtId="0" fontId="5" fillId="0" borderId="0" xfId="47" applyFont="1" applyFill="1" applyAlignment="1">
      <alignment horizontal="center"/>
    </xf>
    <xf numFmtId="0" fontId="5" fillId="0" borderId="0" xfId="46" applyFont="1" applyFill="1" applyAlignment="1">
      <alignment horizontal="center"/>
    </xf>
    <xf numFmtId="0" fontId="5" fillId="0" borderId="0" xfId="47" applyFont="1" applyAlignment="1">
      <alignment horizontal="center"/>
    </xf>
    <xf numFmtId="44" fontId="5" fillId="0" borderId="0" xfId="31" applyFont="1"/>
    <xf numFmtId="44" fontId="5" fillId="0" borderId="0" xfId="31" applyFont="1" applyAlignment="1">
      <alignment horizontal="center"/>
    </xf>
    <xf numFmtId="0" fontId="9" fillId="0" borderId="0" xfId="0" applyFont="1" applyAlignment="1">
      <alignment horizontal="center"/>
    </xf>
    <xf numFmtId="8" fontId="0" fillId="0" borderId="0" xfId="0" applyNumberFormat="1" applyBorder="1"/>
    <xf numFmtId="0" fontId="5" fillId="0" borderId="0" xfId="47" applyFont="1" applyFill="1"/>
    <xf numFmtId="168" fontId="5" fillId="0" borderId="0" xfId="32" applyNumberFormat="1" applyFont="1" applyFill="1" applyAlignment="1">
      <alignment horizontal="right"/>
    </xf>
    <xf numFmtId="10" fontId="5" fillId="0" borderId="10" xfId="50" applyNumberFormat="1" applyFont="1" applyFill="1" applyBorder="1" applyAlignment="1">
      <alignment horizontal="right"/>
    </xf>
    <xf numFmtId="167" fontId="5" fillId="0" borderId="0" xfId="51" applyNumberFormat="1" applyFont="1" applyAlignment="1">
      <alignment horizontal="right"/>
    </xf>
    <xf numFmtId="8" fontId="5" fillId="0" borderId="0" xfId="31" applyNumberFormat="1" applyFont="1" applyAlignment="1">
      <alignment horizontal="center"/>
    </xf>
    <xf numFmtId="0" fontId="5" fillId="0" borderId="0" xfId="47" applyFont="1" applyAlignment="1">
      <alignment horizontal="right"/>
    </xf>
    <xf numFmtId="0" fontId="5" fillId="0" borderId="0" xfId="47" applyFont="1" applyBorder="1"/>
    <xf numFmtId="168" fontId="5" fillId="0" borderId="0" xfId="32" applyNumberFormat="1" applyFont="1" applyFill="1" applyBorder="1" applyAlignment="1">
      <alignment horizontal="right"/>
    </xf>
    <xf numFmtId="167" fontId="5" fillId="0" borderId="0" xfId="51" applyNumberFormat="1" applyFont="1" applyBorder="1"/>
    <xf numFmtId="0" fontId="5" fillId="0" borderId="0" xfId="0" applyFont="1"/>
    <xf numFmtId="44" fontId="5" fillId="0" borderId="0" xfId="47" applyNumberFormat="1" applyFont="1" applyFill="1"/>
    <xf numFmtId="172" fontId="5" fillId="0" borderId="0" xfId="47" applyNumberFormat="1" applyFont="1" applyFill="1"/>
    <xf numFmtId="172" fontId="5" fillId="0" borderId="0" xfId="32" applyNumberFormat="1" applyFont="1" applyFill="1" applyAlignment="1">
      <alignment horizontal="center"/>
    </xf>
    <xf numFmtId="0" fontId="34" fillId="0" borderId="0" xfId="59" applyFont="1"/>
    <xf numFmtId="0" fontId="35" fillId="26" borderId="14" xfId="0" applyFont="1" applyFill="1" applyBorder="1" applyAlignment="1">
      <alignment vertical="center"/>
    </xf>
    <xf numFmtId="0" fontId="38" fillId="0" borderId="0" xfId="0" applyFont="1" applyBorder="1" applyAlignment="1">
      <alignment horizontal="right" vertical="center"/>
    </xf>
    <xf numFmtId="2" fontId="38" fillId="0" borderId="0" xfId="0" applyNumberFormat="1" applyFont="1" applyBorder="1" applyAlignment="1">
      <alignment horizontal="right" vertical="center"/>
    </xf>
    <xf numFmtId="2" fontId="38" fillId="0" borderId="0" xfId="0" applyNumberFormat="1" applyFont="1" applyFill="1" applyBorder="1" applyAlignment="1">
      <alignment horizontal="right" vertical="center"/>
    </xf>
    <xf numFmtId="0" fontId="34" fillId="0" borderId="0" xfId="59" applyFont="1" applyAlignment="1">
      <alignment horizontal="right"/>
    </xf>
    <xf numFmtId="8" fontId="34" fillId="0" borderId="29" xfId="59" applyNumberFormat="1" applyFont="1" applyBorder="1"/>
    <xf numFmtId="0" fontId="36" fillId="26" borderId="15" xfId="0" applyFont="1" applyFill="1" applyBorder="1" applyAlignment="1">
      <alignment horizontal="center" vertical="center"/>
    </xf>
    <xf numFmtId="0" fontId="36" fillId="26" borderId="16" xfId="0" applyFont="1" applyFill="1" applyBorder="1" applyAlignment="1">
      <alignment horizontal="center" vertical="center"/>
    </xf>
    <xf numFmtId="0" fontId="37" fillId="27" borderId="17" xfId="0" applyFont="1" applyFill="1" applyBorder="1" applyAlignment="1">
      <alignment horizontal="centerContinuous" vertical="center"/>
    </xf>
    <xf numFmtId="0" fontId="34" fillId="0" borderId="0" xfId="59" applyFont="1" applyAlignment="1">
      <alignment horizontal="right" indent="1"/>
    </xf>
    <xf numFmtId="0" fontId="34" fillId="0" borderId="0" xfId="59" applyFont="1" applyBorder="1" applyAlignment="1">
      <alignment horizontal="right" indent="1"/>
    </xf>
    <xf numFmtId="177" fontId="34" fillId="0" borderId="0" xfId="50" applyNumberFormat="1" applyFont="1" applyAlignment="1">
      <alignment horizontal="right"/>
    </xf>
    <xf numFmtId="0" fontId="2" fillId="0" borderId="0" xfId="63"/>
    <xf numFmtId="0" fontId="39" fillId="0" borderId="14" xfId="63" applyFont="1" applyBorder="1" applyAlignment="1">
      <alignment vertical="center"/>
    </xf>
    <xf numFmtId="0" fontId="40" fillId="0" borderId="15" xfId="63" applyFont="1" applyBorder="1" applyAlignment="1">
      <alignment vertical="center"/>
    </xf>
    <xf numFmtId="0" fontId="39" fillId="0" borderId="16" xfId="63" applyFont="1" applyBorder="1" applyAlignment="1">
      <alignment horizontal="right" vertical="center"/>
    </xf>
    <xf numFmtId="0" fontId="41" fillId="0" borderId="39" xfId="63" applyFont="1" applyBorder="1" applyAlignment="1">
      <alignment vertical="center"/>
    </xf>
    <xf numFmtId="0" fontId="40" fillId="0" borderId="0" xfId="63" applyFont="1"/>
    <xf numFmtId="0" fontId="39" fillId="0" borderId="40" xfId="63" applyFont="1" applyBorder="1" applyAlignment="1">
      <alignment horizontal="right" vertical="center"/>
    </xf>
    <xf numFmtId="0" fontId="40" fillId="0" borderId="39" xfId="63" applyFont="1" applyBorder="1" applyAlignment="1">
      <alignment vertical="center"/>
    </xf>
    <xf numFmtId="0" fontId="39" fillId="0" borderId="39" xfId="63" applyFont="1" applyBorder="1" applyAlignment="1">
      <alignment horizontal="center" vertical="center"/>
    </xf>
    <xf numFmtId="0" fontId="39" fillId="0" borderId="40" xfId="63" applyFont="1" applyBorder="1" applyAlignment="1">
      <alignment vertical="center"/>
    </xf>
    <xf numFmtId="0" fontId="40" fillId="0" borderId="40" xfId="63" applyFont="1" applyBorder="1" applyAlignment="1">
      <alignment vertical="center"/>
    </xf>
    <xf numFmtId="0" fontId="40" fillId="0" borderId="0" xfId="63" applyFont="1" applyAlignment="1">
      <alignment horizontal="center" vertical="center"/>
    </xf>
    <xf numFmtId="0" fontId="40" fillId="0" borderId="40" xfId="63" applyFont="1" applyBorder="1" applyAlignment="1">
      <alignment horizontal="center" vertical="center"/>
    </xf>
    <xf numFmtId="0" fontId="39" fillId="0" borderId="41" xfId="63" applyFont="1" applyBorder="1" applyAlignment="1">
      <alignment horizontal="center" vertical="center"/>
    </xf>
    <xf numFmtId="0" fontId="39" fillId="0" borderId="19" xfId="63" applyFont="1" applyBorder="1" applyAlignment="1">
      <alignment vertical="center"/>
    </xf>
    <xf numFmtId="0" fontId="40" fillId="0" borderId="19" xfId="63" applyFont="1" applyBorder="1" applyAlignment="1">
      <alignment horizontal="center" vertical="center"/>
    </xf>
    <xf numFmtId="0" fontId="40" fillId="0" borderId="42" xfId="63" applyFont="1" applyBorder="1" applyAlignment="1">
      <alignment horizontal="center" vertical="center"/>
    </xf>
    <xf numFmtId="0" fontId="40" fillId="0" borderId="39" xfId="63" applyFont="1" applyBorder="1" applyAlignment="1">
      <alignment horizontal="center" vertical="center"/>
    </xf>
    <xf numFmtId="0" fontId="40" fillId="0" borderId="0" xfId="63" applyFont="1" applyAlignment="1">
      <alignment vertical="center"/>
    </xf>
    <xf numFmtId="10" fontId="40" fillId="0" borderId="0" xfId="63" applyNumberFormat="1" applyFont="1" applyAlignment="1">
      <alignment horizontal="right" vertical="center"/>
    </xf>
    <xf numFmtId="10" fontId="40" fillId="0" borderId="40" xfId="63" applyNumberFormat="1" applyFont="1" applyBorder="1" applyAlignment="1">
      <alignment horizontal="right" vertical="center"/>
    </xf>
    <xf numFmtId="0" fontId="42" fillId="0" borderId="0" xfId="63" applyFont="1"/>
    <xf numFmtId="10" fontId="40" fillId="0" borderId="19" xfId="63" applyNumberFormat="1" applyFont="1" applyBorder="1" applyAlignment="1">
      <alignment horizontal="right" vertical="center"/>
    </xf>
    <xf numFmtId="10" fontId="40" fillId="0" borderId="15" xfId="63" applyNumberFormat="1" applyFont="1" applyBorder="1" applyAlignment="1">
      <alignment horizontal="right" vertical="center"/>
    </xf>
    <xf numFmtId="10" fontId="40" fillId="0" borderId="16" xfId="63" applyNumberFormat="1" applyFont="1" applyBorder="1" applyAlignment="1">
      <alignment horizontal="right" vertical="center"/>
    </xf>
    <xf numFmtId="0" fontId="40" fillId="0" borderId="41" xfId="63" applyFont="1" applyBorder="1" applyAlignment="1">
      <alignment horizontal="center" vertical="center"/>
    </xf>
    <xf numFmtId="0" fontId="40" fillId="0" borderId="19" xfId="63" applyFont="1" applyBorder="1" applyAlignment="1">
      <alignment vertical="center"/>
    </xf>
    <xf numFmtId="0" fontId="40" fillId="0" borderId="42" xfId="63" applyFont="1" applyBorder="1" applyAlignment="1">
      <alignment vertical="center"/>
    </xf>
    <xf numFmtId="2" fontId="5" fillId="0" borderId="0" xfId="0" applyNumberFormat="1" applyFont="1" applyAlignment="1">
      <alignment horizontal="center" wrapText="1"/>
    </xf>
    <xf numFmtId="2" fontId="5" fillId="0" borderId="0" xfId="0" applyNumberFormat="1" applyFont="1" applyAlignment="1">
      <alignment wrapText="1"/>
    </xf>
    <xf numFmtId="0" fontId="5" fillId="0" borderId="0" xfId="0" applyFont="1" applyAlignment="1">
      <alignment horizontal="center"/>
    </xf>
    <xf numFmtId="44" fontId="5" fillId="0" borderId="0" xfId="0" applyNumberFormat="1" applyFont="1"/>
    <xf numFmtId="0" fontId="5" fillId="0" borderId="0" xfId="0" applyFont="1" applyBorder="1"/>
    <xf numFmtId="173" fontId="5" fillId="0" borderId="0" xfId="0" applyNumberFormat="1" applyFont="1"/>
    <xf numFmtId="44" fontId="5" fillId="0" borderId="0" xfId="0" applyNumberFormat="1" applyFont="1" applyBorder="1"/>
    <xf numFmtId="0" fontId="43" fillId="0" borderId="0" xfId="0" applyFont="1" applyBorder="1"/>
    <xf numFmtId="174" fontId="5" fillId="0" borderId="0" xfId="0" applyNumberFormat="1" applyFont="1"/>
    <xf numFmtId="8" fontId="5" fillId="0" borderId="0" xfId="0" applyNumberFormat="1" applyFont="1" applyBorder="1"/>
    <xf numFmtId="8" fontId="5" fillId="0" borderId="0" xfId="0" applyNumberFormat="1" applyFont="1"/>
    <xf numFmtId="0" fontId="5" fillId="0" borderId="34" xfId="0" applyFont="1" applyFill="1" applyBorder="1"/>
    <xf numFmtId="44" fontId="5" fillId="0" borderId="34" xfId="31" applyFont="1" applyFill="1" applyBorder="1"/>
    <xf numFmtId="175" fontId="5" fillId="0" borderId="0" xfId="31" applyNumberFormat="1" applyFont="1" applyBorder="1"/>
    <xf numFmtId="0" fontId="5" fillId="24" borderId="10" xfId="0" applyFont="1" applyFill="1" applyBorder="1" applyAlignment="1">
      <alignment horizontal="center"/>
    </xf>
    <xf numFmtId="0" fontId="5" fillId="0" borderId="0" xfId="0" applyFont="1" applyFill="1" applyBorder="1"/>
    <xf numFmtId="8" fontId="5" fillId="0" borderId="0" xfId="0" applyNumberFormat="1" applyFont="1" applyFill="1" applyBorder="1"/>
    <xf numFmtId="9" fontId="5" fillId="0" borderId="0" xfId="50" applyFont="1"/>
    <xf numFmtId="0" fontId="44" fillId="0" borderId="0" xfId="0" applyFont="1"/>
    <xf numFmtId="0" fontId="5" fillId="0" borderId="0" xfId="0" applyFont="1" applyFill="1"/>
    <xf numFmtId="2" fontId="5" fillId="0" borderId="0" xfId="0" applyNumberFormat="1" applyFont="1"/>
    <xf numFmtId="40" fontId="5" fillId="0" borderId="0" xfId="0" applyNumberFormat="1" applyFont="1"/>
    <xf numFmtId="17" fontId="45" fillId="0" borderId="0" xfId="0" applyNumberFormat="1" applyFont="1" applyAlignment="1">
      <alignment horizontal="left" vertical="top"/>
    </xf>
    <xf numFmtId="17" fontId="5" fillId="0" borderId="0" xfId="0" applyNumberFormat="1" applyFont="1" applyAlignment="1">
      <alignment horizontal="left" vertical="top"/>
    </xf>
    <xf numFmtId="0" fontId="5" fillId="0" borderId="0" xfId="0" applyFont="1" applyAlignment="1">
      <alignment horizontal="left" vertical="top"/>
    </xf>
    <xf numFmtId="0" fontId="5" fillId="0" borderId="0" xfId="0" applyFont="1" applyFill="1" applyAlignment="1">
      <alignment horizontal="center" vertical="top"/>
    </xf>
    <xf numFmtId="0" fontId="5" fillId="0" borderId="0" xfId="0" applyFont="1" applyFill="1" applyBorder="1" applyAlignment="1">
      <alignment horizontal="center" vertical="top"/>
    </xf>
    <xf numFmtId="0" fontId="9" fillId="0" borderId="0" xfId="0" applyFont="1" applyFill="1" applyAlignment="1">
      <alignment horizontal="left" vertical="top"/>
    </xf>
    <xf numFmtId="176" fontId="5" fillId="0" borderId="0" xfId="0" applyNumberFormat="1" applyFont="1"/>
    <xf numFmtId="0" fontId="5" fillId="0" borderId="32" xfId="0" applyFont="1" applyFill="1" applyBorder="1"/>
    <xf numFmtId="2" fontId="5" fillId="0" borderId="34" xfId="0" applyNumberFormat="1" applyFont="1" applyFill="1" applyBorder="1"/>
    <xf numFmtId="2" fontId="5" fillId="0" borderId="0" xfId="0" applyNumberFormat="1" applyFont="1" applyBorder="1"/>
    <xf numFmtId="164" fontId="5" fillId="0" borderId="0" xfId="0" applyNumberFormat="1" applyFont="1" applyBorder="1"/>
    <xf numFmtId="0" fontId="5" fillId="0" borderId="31" xfId="0" applyFont="1" applyFill="1" applyBorder="1"/>
    <xf numFmtId="40" fontId="5" fillId="0" borderId="31" xfId="0" applyNumberFormat="1" applyFont="1" applyFill="1" applyBorder="1"/>
    <xf numFmtId="2" fontId="5" fillId="0" borderId="0" xfId="0" applyNumberFormat="1" applyFont="1" applyBorder="1" applyAlignment="1">
      <alignment horizontal="center" wrapText="1"/>
    </xf>
    <xf numFmtId="2" fontId="5" fillId="0" borderId="0" xfId="0" applyNumberFormat="1" applyFont="1" applyBorder="1" applyAlignment="1">
      <alignment wrapText="1"/>
    </xf>
    <xf numFmtId="173" fontId="5" fillId="0" borderId="0" xfId="0" applyNumberFormat="1" applyFont="1" applyBorder="1"/>
    <xf numFmtId="171" fontId="5" fillId="0" borderId="34" xfId="28" applyNumberFormat="1" applyFont="1" applyFill="1" applyBorder="1"/>
    <xf numFmtId="173" fontId="5" fillId="0" borderId="34" xfId="28" applyNumberFormat="1" applyFont="1" applyFill="1" applyBorder="1"/>
    <xf numFmtId="1" fontId="5" fillId="0" borderId="34" xfId="0" applyNumberFormat="1" applyFont="1" applyFill="1" applyBorder="1" applyAlignment="1">
      <alignment horizontal="center"/>
    </xf>
    <xf numFmtId="0" fontId="5" fillId="0" borderId="34" xfId="0" applyFont="1" applyFill="1" applyBorder="1" applyAlignment="1">
      <alignment horizontal="center"/>
    </xf>
    <xf numFmtId="170" fontId="5" fillId="0" borderId="34" xfId="31" applyNumberFormat="1" applyFont="1" applyFill="1" applyBorder="1"/>
    <xf numFmtId="169" fontId="5" fillId="0" borderId="34" xfId="31" applyNumberFormat="1" applyFont="1" applyFill="1" applyBorder="1"/>
    <xf numFmtId="169" fontId="5" fillId="0" borderId="34" xfId="0" applyNumberFormat="1" applyFont="1" applyFill="1" applyBorder="1"/>
    <xf numFmtId="44" fontId="5" fillId="0" borderId="34" xfId="0" applyNumberFormat="1" applyFont="1" applyFill="1" applyBorder="1"/>
    <xf numFmtId="44" fontId="5" fillId="28" borderId="33" xfId="0" applyNumberFormat="1" applyFont="1" applyFill="1" applyBorder="1"/>
    <xf numFmtId="44" fontId="5" fillId="28" borderId="21" xfId="0" applyNumberFormat="1" applyFont="1" applyFill="1" applyBorder="1"/>
    <xf numFmtId="44" fontId="5" fillId="28" borderId="24" xfId="0" applyNumberFormat="1" applyFont="1" applyFill="1" applyBorder="1"/>
    <xf numFmtId="178" fontId="5" fillId="0" borderId="34" xfId="0" applyNumberFormat="1" applyFont="1" applyFill="1" applyBorder="1"/>
    <xf numFmtId="178" fontId="5" fillId="0" borderId="32" xfId="31" applyNumberFormat="1" applyFont="1" applyFill="1" applyBorder="1"/>
    <xf numFmtId="170" fontId="10" fillId="0" borderId="10" xfId="31" applyNumberFormat="1" applyFont="1" applyFill="1" applyBorder="1"/>
    <xf numFmtId="10" fontId="0" fillId="0" borderId="30" xfId="0" applyNumberFormat="1" applyFill="1" applyBorder="1"/>
    <xf numFmtId="10" fontId="0" fillId="0" borderId="35" xfId="50" applyNumberFormat="1" applyFont="1" applyFill="1" applyBorder="1"/>
    <xf numFmtId="0" fontId="9" fillId="0" borderId="31" xfId="46" applyFont="1" applyFill="1" applyBorder="1" applyAlignment="1">
      <alignment horizontal="center"/>
    </xf>
    <xf numFmtId="0" fontId="9" fillId="0" borderId="0" xfId="47" applyFont="1" applyFill="1" applyBorder="1" applyAlignment="1">
      <alignment horizontal="right"/>
    </xf>
    <xf numFmtId="0" fontId="43" fillId="0" borderId="0" xfId="47" applyFont="1" applyFill="1" applyAlignment="1">
      <alignment horizontal="center"/>
    </xf>
    <xf numFmtId="0" fontId="5" fillId="0" borderId="0" xfId="47" applyFont="1" applyBorder="1" applyAlignment="1">
      <alignment horizontal="center"/>
    </xf>
    <xf numFmtId="44" fontId="5" fillId="0" borderId="0" xfId="31" applyFont="1" applyBorder="1" applyAlignment="1">
      <alignment horizontal="center"/>
    </xf>
    <xf numFmtId="0" fontId="9" fillId="0" borderId="31" xfId="47" applyFont="1" applyFill="1" applyBorder="1" applyAlignment="1">
      <alignment horizontal="center"/>
    </xf>
    <xf numFmtId="0" fontId="6" fillId="0" borderId="0" xfId="47" applyFont="1" applyFill="1"/>
    <xf numFmtId="0" fontId="5" fillId="0" borderId="0" xfId="47" applyFont="1" applyFill="1" applyBorder="1"/>
    <xf numFmtId="0" fontId="5" fillId="0" borderId="0" xfId="46" applyFont="1" applyFill="1" applyBorder="1" applyAlignment="1">
      <alignment horizontal="center"/>
    </xf>
    <xf numFmtId="44" fontId="32" fillId="0" borderId="0" xfId="31" applyFont="1" applyFill="1" applyBorder="1"/>
    <xf numFmtId="0" fontId="46" fillId="0" borderId="0" xfId="47" applyFont="1"/>
    <xf numFmtId="0" fontId="6" fillId="0" borderId="0" xfId="0" applyFont="1"/>
    <xf numFmtId="44" fontId="6" fillId="0" borderId="0" xfId="0" applyNumberFormat="1" applyFont="1" applyFill="1"/>
    <xf numFmtId="8" fontId="46" fillId="0" borderId="0" xfId="47" applyNumberFormat="1" applyFont="1" applyFill="1" applyBorder="1"/>
    <xf numFmtId="44" fontId="32" fillId="0" borderId="0" xfId="31" applyNumberFormat="1" applyFont="1" applyFill="1" applyBorder="1"/>
    <xf numFmtId="0" fontId="5" fillId="0" borderId="0" xfId="46" applyFont="1" applyFill="1" applyBorder="1"/>
    <xf numFmtId="10" fontId="5" fillId="0" borderId="30" xfId="51" applyNumberFormat="1" applyFont="1" applyFill="1" applyBorder="1" applyAlignment="1">
      <alignment horizontal="right"/>
    </xf>
    <xf numFmtId="10" fontId="5" fillId="0" borderId="35" xfId="51" applyNumberFormat="1" applyFont="1" applyFill="1" applyBorder="1" applyAlignment="1">
      <alignment horizontal="right"/>
    </xf>
    <xf numFmtId="167" fontId="5" fillId="0" borderId="0" xfId="51" applyNumberFormat="1" applyFont="1" applyFill="1" applyBorder="1" applyAlignment="1">
      <alignment horizontal="right"/>
    </xf>
    <xf numFmtId="2" fontId="5" fillId="0" borderId="0" xfId="46" applyNumberFormat="1" applyFont="1" applyFill="1" applyBorder="1" applyAlignment="1">
      <alignment horizontal="center"/>
    </xf>
    <xf numFmtId="8" fontId="5" fillId="0" borderId="0" xfId="46" applyNumberFormat="1" applyFont="1" applyFill="1"/>
    <xf numFmtId="44" fontId="5" fillId="0" borderId="0" xfId="32" applyFont="1" applyFill="1"/>
    <xf numFmtId="44" fontId="5" fillId="0" borderId="0" xfId="46" applyNumberFormat="1" applyFont="1" applyFill="1"/>
    <xf numFmtId="44" fontId="5" fillId="0" borderId="0" xfId="32" applyFont="1" applyFill="1" applyAlignment="1">
      <alignment horizontal="center"/>
    </xf>
    <xf numFmtId="2" fontId="5" fillId="0" borderId="0" xfId="46" applyNumberFormat="1" applyFont="1" applyFill="1" applyAlignment="1">
      <alignment horizontal="center"/>
    </xf>
    <xf numFmtId="0" fontId="5" fillId="0" borderId="0" xfId="46" applyFont="1" applyFill="1" applyBorder="1" applyAlignment="1">
      <alignment horizontal="right"/>
    </xf>
    <xf numFmtId="0" fontId="5" fillId="0" borderId="0" xfId="46" applyFont="1" applyFill="1" applyBorder="1" applyAlignment="1"/>
    <xf numFmtId="167" fontId="5" fillId="0" borderId="0" xfId="51" applyNumberFormat="1" applyFont="1" applyFill="1" applyBorder="1"/>
    <xf numFmtId="0" fontId="31" fillId="0" borderId="0" xfId="47" applyFont="1" applyFill="1"/>
    <xf numFmtId="0" fontId="31" fillId="0" borderId="0" xfId="46" applyFont="1" applyFill="1"/>
    <xf numFmtId="0" fontId="47" fillId="0" borderId="0" xfId="46" applyFont="1" applyFill="1" applyAlignment="1">
      <alignment horizontal="right"/>
    </xf>
    <xf numFmtId="0" fontId="47" fillId="0" borderId="0" xfId="46" applyFont="1" applyFill="1"/>
    <xf numFmtId="0" fontId="5" fillId="0" borderId="0" xfId="46" applyFont="1" applyFill="1"/>
    <xf numFmtId="0" fontId="9" fillId="0" borderId="0" xfId="46" applyFont="1" applyFill="1"/>
    <xf numFmtId="0" fontId="32" fillId="0" borderId="0" xfId="47" applyFont="1" applyFill="1"/>
    <xf numFmtId="0" fontId="31" fillId="0" borderId="0" xfId="46" applyFont="1" applyFill="1" applyAlignment="1">
      <alignment wrapText="1"/>
    </xf>
    <xf numFmtId="8" fontId="5" fillId="0" borderId="34" xfId="31" applyNumberFormat="1" applyFont="1" applyFill="1" applyBorder="1"/>
    <xf numFmtId="8" fontId="43" fillId="0" borderId="0" xfId="0" applyNumberFormat="1" applyFont="1"/>
    <xf numFmtId="8" fontId="5" fillId="0" borderId="10" xfId="0" applyNumberFormat="1" applyFont="1" applyFill="1" applyBorder="1"/>
    <xf numFmtId="0" fontId="5" fillId="0" borderId="0" xfId="0" applyFont="1" applyFill="1" applyBorder="1" applyAlignment="1">
      <alignment horizontal="center"/>
    </xf>
    <xf numFmtId="0" fontId="48" fillId="0" borderId="0" xfId="0" applyFont="1" applyAlignment="1">
      <alignment vertical="center"/>
    </xf>
    <xf numFmtId="0" fontId="5" fillId="0" borderId="0" xfId="31" applyNumberFormat="1" applyFont="1" applyBorder="1" applyAlignment="1">
      <alignment horizontal="center"/>
    </xf>
    <xf numFmtId="0" fontId="5" fillId="25" borderId="30" xfId="0" applyFont="1" applyFill="1" applyBorder="1" applyAlignment="1">
      <alignment vertical="center" wrapText="1"/>
    </xf>
    <xf numFmtId="0" fontId="5" fillId="25" borderId="30" xfId="0" applyFont="1" applyFill="1" applyBorder="1" applyAlignment="1">
      <alignment horizontal="left" vertical="center" wrapText="1"/>
    </xf>
    <xf numFmtId="0" fontId="34" fillId="0" borderId="0" xfId="59" applyFont="1" applyAlignment="1">
      <alignment wrapText="1"/>
    </xf>
    <xf numFmtId="44" fontId="5" fillId="0" borderId="0" xfId="0" applyNumberFormat="1" applyFont="1" applyFill="1" applyBorder="1"/>
    <xf numFmtId="0" fontId="9" fillId="0" borderId="0" xfId="0" applyFont="1" applyAlignment="1">
      <alignment horizontal="left"/>
    </xf>
    <xf numFmtId="0" fontId="49" fillId="0" borderId="48" xfId="0" applyFont="1" applyBorder="1" applyAlignment="1">
      <alignment horizontal="center" vertical="center"/>
    </xf>
    <xf numFmtId="0" fontId="49" fillId="0" borderId="47" xfId="0" applyFont="1" applyBorder="1" applyAlignment="1">
      <alignment horizontal="center" vertical="center"/>
    </xf>
    <xf numFmtId="0" fontId="49" fillId="0" borderId="12" xfId="0" applyFont="1" applyBorder="1" applyAlignment="1">
      <alignment horizontal="center" vertical="center"/>
    </xf>
    <xf numFmtId="0" fontId="49" fillId="0" borderId="13" xfId="0" applyFont="1" applyBorder="1" applyAlignment="1">
      <alignment horizontal="center" vertical="center"/>
    </xf>
    <xf numFmtId="0" fontId="49" fillId="0" borderId="49" xfId="0" applyFont="1" applyBorder="1" applyAlignment="1">
      <alignment horizontal="center" vertical="center"/>
    </xf>
    <xf numFmtId="1" fontId="49" fillId="0" borderId="12" xfId="0" applyNumberFormat="1" applyFont="1" applyBorder="1" applyAlignment="1">
      <alignment horizontal="center" vertical="center"/>
    </xf>
    <xf numFmtId="8" fontId="49" fillId="0" borderId="13" xfId="0" applyNumberFormat="1" applyFont="1" applyBorder="1" applyAlignment="1">
      <alignment horizontal="right" vertical="center"/>
    </xf>
    <xf numFmtId="1" fontId="49" fillId="0" borderId="48" xfId="0" applyNumberFormat="1" applyFont="1" applyBorder="1" applyAlignment="1">
      <alignment horizontal="center" vertical="center"/>
    </xf>
    <xf numFmtId="8" fontId="49" fillId="0" borderId="49" xfId="0" applyNumberFormat="1" applyFont="1" applyBorder="1" applyAlignment="1">
      <alignment horizontal="right" vertical="center"/>
    </xf>
    <xf numFmtId="1" fontId="49" fillId="0" borderId="23" xfId="0" applyNumberFormat="1" applyFont="1" applyBorder="1" applyAlignment="1">
      <alignment horizontal="center" vertical="center"/>
    </xf>
    <xf numFmtId="8" fontId="49" fillId="0" borderId="25" xfId="0" applyNumberFormat="1" applyFont="1" applyBorder="1" applyAlignment="1">
      <alignment horizontal="right" vertical="center"/>
    </xf>
    <xf numFmtId="0" fontId="49" fillId="0" borderId="0" xfId="59" applyFont="1"/>
    <xf numFmtId="0" fontId="6" fillId="0" borderId="0" xfId="0" applyFont="1" applyBorder="1"/>
    <xf numFmtId="0" fontId="6" fillId="0" borderId="0" xfId="0" applyFont="1" applyFill="1" applyBorder="1"/>
    <xf numFmtId="0" fontId="49" fillId="0" borderId="0" xfId="59" applyFont="1" applyBorder="1"/>
    <xf numFmtId="0" fontId="49" fillId="0" borderId="11" xfId="59" applyFont="1" applyBorder="1" applyAlignment="1">
      <alignment horizontal="center"/>
    </xf>
    <xf numFmtId="44" fontId="6" fillId="0" borderId="0" xfId="60" applyNumberFormat="1" applyFont="1"/>
    <xf numFmtId="0" fontId="49" fillId="0" borderId="20" xfId="59" applyFont="1" applyFill="1" applyBorder="1"/>
    <xf numFmtId="0" fontId="49" fillId="0" borderId="23" xfId="0" applyFont="1" applyBorder="1" applyAlignment="1">
      <alignment horizontal="center" vertical="center"/>
    </xf>
    <xf numFmtId="169" fontId="49" fillId="0" borderId="58" xfId="31" applyNumberFormat="1" applyFont="1" applyBorder="1"/>
    <xf numFmtId="169" fontId="49" fillId="0" borderId="57" xfId="31" applyNumberFormat="1" applyFont="1" applyBorder="1"/>
    <xf numFmtId="169" fontId="6" fillId="0" borderId="27" xfId="31" applyNumberFormat="1" applyFont="1" applyBorder="1"/>
    <xf numFmtId="169" fontId="6" fillId="0" borderId="60" xfId="31" applyNumberFormat="1" applyFont="1" applyBorder="1"/>
    <xf numFmtId="1" fontId="49" fillId="0" borderId="21" xfId="0" applyNumberFormat="1" applyFont="1" applyBorder="1" applyAlignment="1">
      <alignment horizontal="center" vertical="center"/>
    </xf>
    <xf numFmtId="1" fontId="49" fillId="0" borderId="44" xfId="0" applyNumberFormat="1" applyFont="1" applyBorder="1" applyAlignment="1">
      <alignment horizontal="center" vertical="center"/>
    </xf>
    <xf numFmtId="1" fontId="49" fillId="0" borderId="56" xfId="0" applyNumberFormat="1" applyFont="1" applyBorder="1" applyAlignment="1">
      <alignment horizontal="center" vertical="center"/>
    </xf>
    <xf numFmtId="9" fontId="5" fillId="0" borderId="30" xfId="0" applyNumberFormat="1" applyFont="1" applyFill="1" applyBorder="1" applyAlignment="1">
      <alignment horizontal="center"/>
    </xf>
    <xf numFmtId="169" fontId="5" fillId="0" borderId="0" xfId="31" applyNumberFormat="1" applyFont="1" applyBorder="1" applyAlignment="1">
      <alignment horizontal="center"/>
    </xf>
    <xf numFmtId="169" fontId="5" fillId="0" borderId="0" xfId="31" applyNumberFormat="1" applyFont="1" applyAlignment="1">
      <alignment horizontal="center"/>
    </xf>
    <xf numFmtId="0" fontId="9" fillId="0" borderId="14" xfId="0" applyFont="1" applyBorder="1" applyAlignment="1">
      <alignment horizontal="center" wrapText="1"/>
    </xf>
    <xf numFmtId="0" fontId="9" fillId="0" borderId="16" xfId="0" applyFont="1" applyBorder="1" applyAlignment="1">
      <alignment horizontal="center" wrapText="1"/>
    </xf>
    <xf numFmtId="0" fontId="9" fillId="0" borderId="61" xfId="0" applyFont="1" applyBorder="1" applyAlignment="1">
      <alignment horizontal="center"/>
    </xf>
    <xf numFmtId="0" fontId="9" fillId="0" borderId="27" xfId="0" applyFont="1" applyBorder="1" applyAlignment="1">
      <alignment horizontal="center"/>
    </xf>
    <xf numFmtId="0" fontId="9" fillId="0" borderId="62" xfId="47" applyFont="1" applyFill="1" applyBorder="1" applyAlignment="1">
      <alignment horizontal="center"/>
    </xf>
    <xf numFmtId="0" fontId="9" fillId="0" borderId="63" xfId="47" applyFont="1" applyFill="1" applyBorder="1" applyAlignment="1">
      <alignment horizontal="center"/>
    </xf>
    <xf numFmtId="44" fontId="5" fillId="0" borderId="39" xfId="31" applyFont="1" applyBorder="1" applyAlignment="1">
      <alignment horizontal="center"/>
    </xf>
    <xf numFmtId="169" fontId="5" fillId="0" borderId="40" xfId="31" applyNumberFormat="1" applyFont="1" applyBorder="1" applyAlignment="1">
      <alignment horizontal="center"/>
    </xf>
    <xf numFmtId="44" fontId="5" fillId="0" borderId="41" xfId="31" applyFont="1" applyBorder="1" applyAlignment="1">
      <alignment horizontal="center"/>
    </xf>
    <xf numFmtId="169" fontId="5" fillId="0" borderId="42" xfId="31" applyNumberFormat="1" applyFont="1" applyBorder="1" applyAlignment="1">
      <alignment horizontal="center"/>
    </xf>
    <xf numFmtId="8" fontId="5" fillId="0" borderId="0" xfId="47" applyNumberFormat="1" applyFont="1"/>
    <xf numFmtId="2" fontId="49" fillId="0" borderId="0" xfId="59" applyNumberFormat="1" applyFont="1"/>
    <xf numFmtId="8" fontId="6" fillId="0" borderId="0" xfId="0" applyNumberFormat="1" applyFont="1"/>
    <xf numFmtId="8" fontId="34" fillId="0" borderId="22" xfId="31" applyNumberFormat="1" applyFont="1" applyBorder="1"/>
    <xf numFmtId="0" fontId="49" fillId="0" borderId="18" xfId="59" applyFont="1" applyBorder="1" applyAlignment="1">
      <alignment horizontal="center"/>
    </xf>
    <xf numFmtId="169" fontId="49" fillId="0" borderId="52" xfId="31" applyNumberFormat="1" applyFont="1" applyBorder="1"/>
    <xf numFmtId="169" fontId="49" fillId="0" borderId="66" xfId="31" applyNumberFormat="1" applyFont="1" applyBorder="1"/>
    <xf numFmtId="169" fontId="6" fillId="0" borderId="45" xfId="31" applyNumberFormat="1" applyFont="1" applyBorder="1"/>
    <xf numFmtId="167" fontId="5" fillId="0" borderId="0" xfId="51" applyNumberFormat="1" applyFont="1" applyFill="1" applyAlignment="1">
      <alignment horizontal="right"/>
    </xf>
    <xf numFmtId="44" fontId="5" fillId="0" borderId="0" xfId="31" applyFont="1" applyFill="1"/>
    <xf numFmtId="44" fontId="5" fillId="0" borderId="0" xfId="31" applyFont="1" applyFill="1" applyAlignment="1">
      <alignment horizontal="center"/>
    </xf>
    <xf numFmtId="169" fontId="5" fillId="0" borderId="0" xfId="31" applyNumberFormat="1" applyFont="1" applyFill="1" applyAlignment="1">
      <alignment horizontal="center"/>
    </xf>
    <xf numFmtId="44" fontId="5" fillId="0" borderId="39" xfId="31" applyFont="1" applyFill="1" applyBorder="1" applyAlignment="1">
      <alignment horizontal="center"/>
    </xf>
    <xf numFmtId="169" fontId="5" fillId="0" borderId="40" xfId="31" applyNumberFormat="1" applyFont="1" applyFill="1" applyBorder="1" applyAlignment="1">
      <alignment horizontal="center"/>
    </xf>
    <xf numFmtId="0" fontId="5" fillId="0" borderId="0" xfId="47" applyFont="1" applyFill="1" applyAlignment="1">
      <alignment horizontal="right"/>
    </xf>
    <xf numFmtId="9" fontId="5" fillId="0" borderId="0" xfId="50" applyFont="1" applyFill="1" applyBorder="1"/>
    <xf numFmtId="44" fontId="5" fillId="0" borderId="0" xfId="31" applyFont="1" applyFill="1" applyBorder="1"/>
    <xf numFmtId="0" fontId="46" fillId="0" borderId="0" xfId="47" applyFont="1" applyFill="1" applyBorder="1"/>
    <xf numFmtId="0" fontId="46" fillId="0" borderId="0" xfId="47" applyFont="1" applyFill="1"/>
    <xf numFmtId="0" fontId="6" fillId="0" borderId="0" xfId="0" applyFont="1" applyFill="1"/>
    <xf numFmtId="0" fontId="5" fillId="0" borderId="0" xfId="47" applyFont="1" applyFill="1" applyBorder="1" applyAlignment="1">
      <alignment horizontal="center"/>
    </xf>
    <xf numFmtId="44" fontId="5" fillId="0" borderId="0" xfId="31" applyFont="1" applyFill="1" applyBorder="1" applyAlignment="1">
      <alignment horizontal="center"/>
    </xf>
    <xf numFmtId="169" fontId="5" fillId="0" borderId="0" xfId="31" applyNumberFormat="1" applyFont="1" applyFill="1" applyBorder="1" applyAlignment="1">
      <alignment horizontal="center"/>
    </xf>
    <xf numFmtId="0" fontId="49" fillId="0" borderId="14" xfId="59" applyFont="1" applyFill="1" applyBorder="1" applyAlignment="1">
      <alignment horizontal="center" vertical="top" wrapText="1"/>
    </xf>
    <xf numFmtId="0" fontId="49" fillId="0" borderId="65" xfId="59" applyFont="1" applyBorder="1" applyAlignment="1">
      <alignment horizontal="center"/>
    </xf>
    <xf numFmtId="0" fontId="49" fillId="0" borderId="39" xfId="59" applyFont="1" applyFill="1" applyBorder="1" applyAlignment="1">
      <alignment horizontal="center" wrapText="1"/>
    </xf>
    <xf numFmtId="0" fontId="49" fillId="0" borderId="68" xfId="59" applyFont="1" applyFill="1" applyBorder="1" applyAlignment="1">
      <alignment horizontal="center" wrapText="1"/>
    </xf>
    <xf numFmtId="0" fontId="49" fillId="0" borderId="17" xfId="59" applyFont="1" applyFill="1" applyBorder="1" applyAlignment="1">
      <alignment horizontal="center" wrapText="1"/>
    </xf>
    <xf numFmtId="0" fontId="49" fillId="0" borderId="69" xfId="59" applyFont="1" applyFill="1" applyBorder="1" applyAlignment="1">
      <alignment horizontal="center" wrapText="1"/>
    </xf>
    <xf numFmtId="0" fontId="49" fillId="0" borderId="70" xfId="59" applyFont="1" applyFill="1" applyBorder="1"/>
    <xf numFmtId="44" fontId="6" fillId="0" borderId="45" xfId="60" applyFont="1" applyBorder="1"/>
    <xf numFmtId="0" fontId="49" fillId="0" borderId="67" xfId="59" applyFont="1" applyFill="1" applyBorder="1" applyAlignment="1">
      <alignment horizontal="center" vertical="top" wrapText="1"/>
    </xf>
    <xf numFmtId="0" fontId="49" fillId="29" borderId="38" xfId="59" applyFont="1" applyFill="1" applyBorder="1" applyAlignment="1">
      <alignment horizontal="center"/>
    </xf>
    <xf numFmtId="0" fontId="49" fillId="29" borderId="37" xfId="59" applyFont="1" applyFill="1" applyBorder="1" applyAlignment="1">
      <alignment horizontal="center"/>
    </xf>
    <xf numFmtId="0" fontId="49" fillId="29" borderId="28" xfId="59" applyFont="1" applyFill="1" applyBorder="1" applyAlignment="1">
      <alignment horizontal="center"/>
    </xf>
    <xf numFmtId="0" fontId="5" fillId="0" borderId="0" xfId="0" applyFont="1" applyFill="1" applyAlignment="1">
      <alignment horizontal="left" vertical="top"/>
    </xf>
    <xf numFmtId="0" fontId="0" fillId="0" borderId="10" xfId="0" applyFill="1" applyBorder="1" applyAlignment="1">
      <alignment horizontal="center"/>
    </xf>
    <xf numFmtId="44" fontId="0" fillId="0" borderId="10" xfId="31" applyFont="1" applyFill="1" applyBorder="1"/>
    <xf numFmtId="10" fontId="5" fillId="0" borderId="34" xfId="0" applyNumberFormat="1" applyFont="1" applyFill="1" applyBorder="1" applyAlignment="1">
      <alignment horizontal="right"/>
    </xf>
    <xf numFmtId="0" fontId="49" fillId="0" borderId="0" xfId="59" applyFont="1" applyFill="1"/>
    <xf numFmtId="0" fontId="49" fillId="0" borderId="51" xfId="59" applyFont="1" applyFill="1" applyBorder="1" applyAlignment="1">
      <alignment horizontal="center" vertical="top" wrapText="1"/>
    </xf>
    <xf numFmtId="0" fontId="49" fillId="0" borderId="59" xfId="59" applyFont="1" applyFill="1" applyBorder="1" applyAlignment="1">
      <alignment horizontal="center" vertical="top" wrapText="1"/>
    </xf>
    <xf numFmtId="0" fontId="49" fillId="0" borderId="46" xfId="59" applyFont="1" applyFill="1" applyBorder="1" applyAlignment="1">
      <alignment horizontal="centerContinuous" vertical="top" wrapText="1"/>
    </xf>
    <xf numFmtId="0" fontId="49" fillId="0" borderId="26" xfId="59" applyFont="1" applyFill="1" applyBorder="1" applyAlignment="1">
      <alignment horizontal="centerContinuous" vertical="top" wrapText="1"/>
    </xf>
    <xf numFmtId="0" fontId="49" fillId="0" borderId="50" xfId="59" applyFont="1" applyFill="1" applyBorder="1" applyAlignment="1">
      <alignment horizontal="centerContinuous" vertical="top" wrapText="1"/>
    </xf>
    <xf numFmtId="0" fontId="49" fillId="0" borderId="0" xfId="59" applyFont="1" applyFill="1" applyBorder="1"/>
    <xf numFmtId="179" fontId="49" fillId="0" borderId="12" xfId="59" applyNumberFormat="1" applyFont="1" applyFill="1" applyBorder="1" applyAlignment="1">
      <alignment horizontal="center"/>
    </xf>
    <xf numFmtId="0" fontId="49" fillId="0" borderId="25" xfId="59" applyFont="1" applyFill="1" applyBorder="1"/>
    <xf numFmtId="0" fontId="49" fillId="0" borderId="25" xfId="0" applyFont="1" applyFill="1" applyBorder="1" applyAlignment="1">
      <alignment horizontal="center" wrapText="1"/>
    </xf>
    <xf numFmtId="0" fontId="49" fillId="0" borderId="18" xfId="59" applyFont="1" applyFill="1" applyBorder="1"/>
    <xf numFmtId="0" fontId="49" fillId="0" borderId="52" xfId="59" applyFont="1" applyFill="1" applyBorder="1" applyAlignment="1">
      <alignment horizontal="centerContinuous"/>
    </xf>
    <xf numFmtId="0" fontId="49" fillId="0" borderId="45" xfId="59" applyFont="1" applyFill="1" applyBorder="1" applyAlignment="1">
      <alignment horizontal="centerContinuous"/>
    </xf>
    <xf numFmtId="0" fontId="49" fillId="0" borderId="48" xfId="59" applyFont="1" applyFill="1" applyBorder="1" applyAlignment="1">
      <alignment horizontal="center" wrapText="1"/>
    </xf>
    <xf numFmtId="0" fontId="49" fillId="0" borderId="49" xfId="59" applyFont="1" applyFill="1" applyBorder="1" applyAlignment="1">
      <alignment horizontal="center"/>
    </xf>
    <xf numFmtId="0" fontId="49" fillId="0" borderId="56" xfId="59" applyFont="1" applyFill="1" applyBorder="1" applyAlignment="1">
      <alignment horizontal="center" wrapText="1"/>
    </xf>
    <xf numFmtId="43" fontId="5" fillId="0" borderId="0" xfId="28" applyFont="1"/>
    <xf numFmtId="9" fontId="49" fillId="0" borderId="57" xfId="59" applyNumberFormat="1" applyFont="1" applyFill="1" applyBorder="1" applyAlignment="1">
      <alignment horizontal="center" wrapText="1"/>
    </xf>
    <xf numFmtId="167" fontId="49" fillId="0" borderId="57" xfId="59" applyNumberFormat="1" applyFont="1" applyFill="1" applyBorder="1" applyAlignment="1">
      <alignment horizontal="center" wrapText="1"/>
    </xf>
    <xf numFmtId="167" fontId="49" fillId="0" borderId="60" xfId="59" applyNumberFormat="1" applyFont="1" applyFill="1" applyBorder="1" applyAlignment="1">
      <alignment horizontal="center" wrapText="1"/>
    </xf>
    <xf numFmtId="8" fontId="32" fillId="0" borderId="0" xfId="31" applyNumberFormat="1" applyFont="1" applyFill="1" applyBorder="1"/>
    <xf numFmtId="0" fontId="38" fillId="0" borderId="72" xfId="0" applyFont="1" applyBorder="1" applyAlignment="1">
      <alignment horizontal="right" vertical="center"/>
    </xf>
    <xf numFmtId="0" fontId="37" fillId="27" borderId="0" xfId="0" applyFont="1" applyFill="1" applyBorder="1" applyAlignment="1">
      <alignment horizontal="centerContinuous" vertical="center"/>
    </xf>
    <xf numFmtId="0" fontId="37" fillId="27" borderId="36" xfId="0" applyFont="1" applyFill="1" applyBorder="1" applyAlignment="1">
      <alignment horizontal="centerContinuous" vertical="center"/>
    </xf>
    <xf numFmtId="44" fontId="5" fillId="0" borderId="71" xfId="0" applyNumberFormat="1" applyFont="1" applyBorder="1"/>
    <xf numFmtId="0" fontId="49" fillId="0" borderId="0" xfId="59" quotePrefix="1" applyFont="1"/>
    <xf numFmtId="44" fontId="0" fillId="0" borderId="0" xfId="60" quotePrefix="1" applyNumberFormat="1" applyFont="1"/>
    <xf numFmtId="0" fontId="51" fillId="0" borderId="0" xfId="59" quotePrefix="1" applyFont="1"/>
    <xf numFmtId="44" fontId="6" fillId="0" borderId="64" xfId="60" applyFont="1" applyFill="1" applyBorder="1"/>
    <xf numFmtId="179" fontId="49" fillId="0" borderId="44" xfId="59" applyNumberFormat="1" applyFont="1" applyFill="1" applyBorder="1" applyAlignment="1">
      <alignment horizontal="center"/>
    </xf>
    <xf numFmtId="44" fontId="5" fillId="0" borderId="10" xfId="31" applyFont="1" applyFill="1" applyBorder="1" applyAlignment="1">
      <alignment horizontal="right"/>
    </xf>
    <xf numFmtId="8" fontId="34" fillId="0" borderId="71" xfId="59" applyNumberFormat="1" applyFont="1" applyBorder="1"/>
    <xf numFmtId="167" fontId="5" fillId="0" borderId="0" xfId="0" applyNumberFormat="1" applyFont="1"/>
    <xf numFmtId="167" fontId="5" fillId="0" borderId="0" xfId="50" applyNumberFormat="1" applyFont="1"/>
    <xf numFmtId="0" fontId="5" fillId="0" borderId="10" xfId="0" applyFont="1" applyFill="1" applyBorder="1" applyAlignment="1">
      <alignment horizontal="center"/>
    </xf>
    <xf numFmtId="0" fontId="5" fillId="0" borderId="30" xfId="0" applyFont="1" applyFill="1" applyBorder="1" applyAlignment="1">
      <alignment vertical="center" wrapText="1"/>
    </xf>
    <xf numFmtId="44" fontId="5" fillId="0" borderId="33" xfId="0" applyNumberFormat="1" applyFont="1" applyFill="1" applyBorder="1"/>
    <xf numFmtId="0" fontId="44" fillId="0" borderId="0" xfId="0" applyFont="1" applyFill="1"/>
    <xf numFmtId="0" fontId="5" fillId="0" borderId="0" xfId="31" applyNumberFormat="1" applyFont="1" applyFill="1" applyBorder="1" applyAlignment="1">
      <alignment horizontal="center"/>
    </xf>
    <xf numFmtId="179" fontId="34" fillId="0" borderId="0" xfId="65" applyNumberFormat="1" applyFont="1"/>
    <xf numFmtId="0" fontId="5" fillId="0" borderId="0" xfId="65" applyFont="1"/>
    <xf numFmtId="44" fontId="5" fillId="0" borderId="0" xfId="66" quotePrefix="1" applyNumberFormat="1" applyFont="1" applyAlignment="1"/>
    <xf numFmtId="0" fontId="5" fillId="0" borderId="0" xfId="65" quotePrefix="1" applyNumberFormat="1" applyFont="1" applyAlignment="1">
      <alignment vertical="top" wrapText="1"/>
    </xf>
    <xf numFmtId="0" fontId="9" fillId="0" borderId="0" xfId="47" applyFont="1" applyFill="1" applyBorder="1" applyAlignment="1">
      <alignment horizontal="left"/>
    </xf>
    <xf numFmtId="0" fontId="9" fillId="0" borderId="0" xfId="47" applyFont="1" applyBorder="1" applyAlignment="1">
      <alignment horizontal="left"/>
    </xf>
    <xf numFmtId="168" fontId="5" fillId="0" borderId="0" xfId="32" applyNumberFormat="1" applyFont="1" applyFill="1" applyBorder="1" applyAlignment="1">
      <alignment horizontal="center"/>
    </xf>
    <xf numFmtId="0" fontId="9" fillId="0" borderId="0" xfId="47" applyNumberFormat="1" applyFont="1" applyFill="1" applyBorder="1" applyAlignment="1">
      <alignment horizontal="center"/>
    </xf>
    <xf numFmtId="44" fontId="46" fillId="0" borderId="0" xfId="47" applyNumberFormat="1" applyFont="1" applyFill="1" applyBorder="1"/>
    <xf numFmtId="44" fontId="34" fillId="0" borderId="0" xfId="59" applyNumberFormat="1" applyFont="1" applyAlignment="1">
      <alignment horizontal="right" indent="1"/>
    </xf>
    <xf numFmtId="0" fontId="53" fillId="0" borderId="0" xfId="65" quotePrefix="1" applyFont="1" applyAlignment="1">
      <alignment horizontal="left" indent="1"/>
    </xf>
    <xf numFmtId="10" fontId="53" fillId="0" borderId="0" xfId="0" applyNumberFormat="1" applyFont="1"/>
    <xf numFmtId="10" fontId="40" fillId="0" borderId="0" xfId="63" applyNumberFormat="1" applyFont="1" applyFill="1" applyAlignment="1">
      <alignment horizontal="right" vertical="center"/>
    </xf>
    <xf numFmtId="10" fontId="40" fillId="0" borderId="40" xfId="63" applyNumberFormat="1" applyFont="1" applyFill="1" applyBorder="1" applyAlignment="1">
      <alignment horizontal="right" vertical="center"/>
    </xf>
    <xf numFmtId="10" fontId="40" fillId="0" borderId="19" xfId="63" applyNumberFormat="1" applyFont="1" applyFill="1" applyBorder="1" applyAlignment="1">
      <alignment horizontal="right" vertical="center"/>
    </xf>
    <xf numFmtId="10" fontId="40" fillId="0" borderId="15" xfId="63" applyNumberFormat="1" applyFont="1" applyFill="1" applyBorder="1" applyAlignment="1">
      <alignment horizontal="right" vertical="center"/>
    </xf>
    <xf numFmtId="0" fontId="40" fillId="0" borderId="0" xfId="63" applyFont="1" applyFill="1"/>
    <xf numFmtId="10" fontId="40" fillId="0" borderId="43" xfId="63" applyNumberFormat="1" applyFont="1" applyFill="1" applyBorder="1" applyAlignment="1">
      <alignment horizontal="right" vertical="center"/>
    </xf>
    <xf numFmtId="0" fontId="5" fillId="0" borderId="0" xfId="65" quotePrefix="1" applyNumberFormat="1" applyFont="1"/>
    <xf numFmtId="44" fontId="5" fillId="0" borderId="10" xfId="31" applyFont="1" applyFill="1" applyBorder="1" applyAlignment="1">
      <alignment horizontal="left"/>
    </xf>
    <xf numFmtId="0" fontId="6" fillId="0" borderId="51" xfId="59" applyFont="1" applyFill="1" applyBorder="1" applyAlignment="1">
      <alignment horizontal="center" vertical="top" wrapText="1"/>
    </xf>
    <xf numFmtId="0" fontId="6" fillId="0" borderId="46" xfId="59" applyFont="1" applyFill="1" applyBorder="1" applyAlignment="1">
      <alignment horizontal="centerContinuous" vertical="top" wrapText="1"/>
    </xf>
    <xf numFmtId="0" fontId="5" fillId="0" borderId="0" xfId="0" applyFont="1" applyAlignment="1">
      <alignment wrapText="1"/>
    </xf>
    <xf numFmtId="0" fontId="7" fillId="0" borderId="0" xfId="40" applyAlignment="1" applyProtection="1"/>
    <xf numFmtId="44" fontId="49" fillId="0" borderId="0" xfId="59" applyNumberFormat="1" applyFont="1"/>
    <xf numFmtId="0" fontId="7" fillId="0" borderId="0" xfId="40" applyAlignment="1" applyProtection="1">
      <alignment horizontal="left" vertical="center" indent="4"/>
    </xf>
    <xf numFmtId="0" fontId="5" fillId="0" borderId="0" xfId="0" applyFont="1" applyAlignment="1">
      <alignment vertical="top" wrapText="1"/>
    </xf>
    <xf numFmtId="0" fontId="34" fillId="0" borderId="0" xfId="65" quotePrefix="1" applyNumberFormat="1" applyFont="1" applyAlignment="1">
      <alignment horizontal="left" vertical="top" wrapText="1"/>
    </xf>
    <xf numFmtId="0" fontId="5" fillId="0" borderId="0" xfId="65" quotePrefix="1" applyNumberFormat="1" applyFont="1" applyAlignment="1">
      <alignment horizontal="left" vertical="top"/>
    </xf>
    <xf numFmtId="0" fontId="5" fillId="0" borderId="0" xfId="65" quotePrefix="1" applyNumberFormat="1" applyFont="1" applyAlignment="1">
      <alignment horizontal="left" vertical="top" wrapText="1"/>
    </xf>
    <xf numFmtId="0" fontId="5" fillId="0" borderId="73" xfId="0" applyFont="1" applyBorder="1" applyAlignment="1">
      <alignment horizontal="left" wrapText="1"/>
    </xf>
    <xf numFmtId="0" fontId="5" fillId="0" borderId="0" xfId="0" applyFont="1" applyAlignment="1">
      <alignment horizontal="left" wrapText="1"/>
    </xf>
    <xf numFmtId="0" fontId="33" fillId="0" borderId="0" xfId="0" applyFont="1" applyAlignment="1">
      <alignment horizontal="right"/>
    </xf>
    <xf numFmtId="0" fontId="12" fillId="0" borderId="0" xfId="0" applyFont="1" applyAlignment="1">
      <alignment horizontal="right"/>
    </xf>
    <xf numFmtId="0" fontId="12" fillId="0" borderId="0" xfId="0" applyFont="1" applyBorder="1" applyAlignment="1">
      <alignment horizontal="right"/>
    </xf>
    <xf numFmtId="0" fontId="12" fillId="0" borderId="0" xfId="46" applyFont="1" applyFill="1" applyBorder="1" applyAlignment="1">
      <alignment horizontal="right"/>
    </xf>
    <xf numFmtId="0" fontId="55" fillId="0" borderId="0" xfId="0" applyFont="1" applyAlignment="1">
      <alignment wrapText="1"/>
    </xf>
    <xf numFmtId="0" fontId="49" fillId="0" borderId="0" xfId="59" quotePrefix="1" applyNumberFormat="1" applyFont="1" applyAlignment="1">
      <alignment horizontal="left" vertical="top" wrapText="1"/>
    </xf>
    <xf numFmtId="0" fontId="0" fillId="0" borderId="0" xfId="60" quotePrefix="1" applyNumberFormat="1" applyFont="1" applyAlignment="1">
      <alignment horizontal="left" vertical="top" wrapText="1"/>
    </xf>
    <xf numFmtId="0" fontId="50" fillId="0" borderId="0" xfId="59" applyFont="1" applyFill="1" applyBorder="1" applyAlignment="1">
      <alignment horizontal="center"/>
    </xf>
    <xf numFmtId="0" fontId="49" fillId="0" borderId="14" xfId="59" applyFont="1" applyFill="1" applyBorder="1" applyAlignment="1">
      <alignment horizontal="center" vertical="top" wrapText="1"/>
    </xf>
    <xf numFmtId="0" fontId="49" fillId="0" borderId="39" xfId="59" applyFont="1" applyFill="1" applyBorder="1" applyAlignment="1">
      <alignment horizontal="center" vertical="top" wrapText="1"/>
    </xf>
    <xf numFmtId="0" fontId="49" fillId="0" borderId="41" xfId="59" applyFont="1" applyFill="1" applyBorder="1" applyAlignment="1">
      <alignment horizontal="center" vertical="top" wrapText="1"/>
    </xf>
    <xf numFmtId="0" fontId="49" fillId="0" borderId="53" xfId="59" applyFont="1" applyFill="1" applyBorder="1" applyAlignment="1">
      <alignment horizontal="center" vertical="top" wrapText="1"/>
    </xf>
    <xf numFmtId="0" fontId="49" fillId="0" borderId="54" xfId="59" applyFont="1" applyFill="1" applyBorder="1" applyAlignment="1">
      <alignment horizontal="center" vertical="top" wrapText="1"/>
    </xf>
    <xf numFmtId="0" fontId="49" fillId="0" borderId="55" xfId="59" applyFont="1" applyFill="1" applyBorder="1" applyAlignment="1">
      <alignment horizontal="center" vertical="top" wrapText="1"/>
    </xf>
    <xf numFmtId="0" fontId="50" fillId="0" borderId="19" xfId="59" applyFont="1" applyFill="1" applyBorder="1" applyAlignment="1">
      <alignment horizontal="center" wrapText="1"/>
    </xf>
    <xf numFmtId="0" fontId="39" fillId="0" borderId="39" xfId="63" applyFont="1" applyBorder="1" applyAlignment="1">
      <alignment horizontal="center" vertical="center"/>
    </xf>
    <xf numFmtId="0" fontId="39" fillId="0" borderId="0" xfId="63" applyFont="1" applyBorder="1" applyAlignment="1">
      <alignment horizontal="center" vertical="center"/>
    </xf>
    <xf numFmtId="0" fontId="39" fillId="0" borderId="36" xfId="63" applyFont="1" applyBorder="1" applyAlignment="1">
      <alignment horizontal="center" vertical="center"/>
    </xf>
    <xf numFmtId="0" fontId="39" fillId="0" borderId="40" xfId="63" applyFont="1" applyBorder="1" applyAlignment="1">
      <alignment horizontal="center" vertical="center"/>
    </xf>
  </cellXfs>
  <cellStyles count="6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3" xfId="30"/>
    <cellStyle name="Comma 4" xfId="58"/>
    <cellStyle name="Comma 5" xfId="61"/>
    <cellStyle name="Currency" xfId="31" builtinId="4"/>
    <cellStyle name="Currency 2" xfId="32"/>
    <cellStyle name="Currency 3" xfId="33"/>
    <cellStyle name="Currency 4" xfId="60"/>
    <cellStyle name="Currency 4 2" xfId="66"/>
    <cellStyle name="Explanatory Text" xfId="34" builtinId="53" customBuiltin="1"/>
    <cellStyle name="Good" xfId="35" builtinId="26" customBuiltin="1"/>
    <cellStyle name="Heading 1" xfId="36" builtinId="16" customBuiltin="1"/>
    <cellStyle name="Heading 2" xfId="37" builtinId="17" customBuiltin="1"/>
    <cellStyle name="Heading 3" xfId="38" builtinId="18" customBuiltin="1"/>
    <cellStyle name="Heading 4" xfId="39" builtinId="19" customBuiltin="1"/>
    <cellStyle name="Hyperlink" xfId="40" builtinId="8"/>
    <cellStyle name="Input" xfId="41" builtinId="20" customBuiltin="1"/>
    <cellStyle name="Linked Cell" xfId="42" builtinId="24" customBuiltin="1"/>
    <cellStyle name="Neutral" xfId="43" builtinId="28" customBuiltin="1"/>
    <cellStyle name="Normal" xfId="0" builtinId="0"/>
    <cellStyle name="Normal 2" xfId="44"/>
    <cellStyle name="Normal 3" xfId="45"/>
    <cellStyle name="Normal 4" xfId="46"/>
    <cellStyle name="Normal 5" xfId="57"/>
    <cellStyle name="Normal 6" xfId="59"/>
    <cellStyle name="Normal 6 2" xfId="65"/>
    <cellStyle name="Normal 7" xfId="63"/>
    <cellStyle name="Normal_ElectricAvoidedCost_FlatLoad.Jim_Tom.10.14.11" xfId="47"/>
    <cellStyle name="Note" xfId="48" builtinId="10" customBuiltin="1"/>
    <cellStyle name="Output" xfId="49" builtinId="21" customBuiltin="1"/>
    <cellStyle name="Percent" xfId="50" builtinId="5"/>
    <cellStyle name="Percent 2" xfId="51"/>
    <cellStyle name="Percent 3" xfId="52"/>
    <cellStyle name="Percent 3 2" xfId="64"/>
    <cellStyle name="Percent 4" xfId="62"/>
    <cellStyle name="Style 1" xfId="53"/>
    <cellStyle name="Title" xfId="54" builtinId="15" customBuiltin="1"/>
    <cellStyle name="Total" xfId="55" builtinId="25" customBuiltin="1"/>
    <cellStyle name="Warning Text" xfId="56" builtinId="11" customBuiltin="1"/>
  </cellStyles>
  <dxfs count="0"/>
  <tableStyles count="0" defaultTableStyle="TableStyleMedium9" defaultPivotStyle="PivotStyleLight16"/>
  <colors>
    <mruColors>
      <color rgb="FFFFFF99"/>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activeX1.xml><?xml version="1.0" encoding="utf-8"?>
<ax:ocx xmlns:ax="http://schemas.microsoft.com/office/2006/activeX" xmlns:r="http://schemas.openxmlformats.org/officeDocument/2006/relationships" ax:classid="{5512D110-5CC6-11CF-8D67-00AA00BDCE1D}" ax:persistence="persistStream" r:id="rId1"/>
</file>

<file path=xl/activeX/activeX2.xml><?xml version="1.0" encoding="utf-8"?>
<ax:ocx xmlns:ax="http://schemas.microsoft.com/office/2006/activeX" xmlns:r="http://schemas.openxmlformats.org/officeDocument/2006/relationships" ax:classid="{5512D122-5CC6-11CF-8D67-00AA00BDCE1D}" ax:persistence="persistStream" r:id="rId1"/>
</file>

<file path=xl/activeX/activeX3.xml><?xml version="1.0" encoding="utf-8"?>
<ax:ocx xmlns:ax="http://schemas.microsoft.com/office/2006/activeX" xmlns:r="http://schemas.openxmlformats.org/officeDocument/2006/relationships" ax:classid="{5512D122-5CC6-11CF-8D67-00AA00BDCE1D}" ax:persistence="persistStream" r:id="rId1"/>
</file>

<file path=xl/activeX/activeX4.xml><?xml version="1.0" encoding="utf-8"?>
<ax:ocx xmlns:ax="http://schemas.microsoft.com/office/2006/activeX" xmlns:r="http://schemas.openxmlformats.org/officeDocument/2006/relationships" ax:classid="{5512D11A-5CC6-11CF-8D67-00AA00BDCE1D}" ax:persistence="persistStream" r:id="rId1"/>
</file>

<file path=xl/activeX/activeX5.xml><?xml version="1.0" encoding="utf-8"?>
<ax:ocx xmlns:ax="http://schemas.microsoft.com/office/2006/activeX" xmlns:r="http://schemas.openxmlformats.org/officeDocument/2006/relationships" ax:classid="{5512D11A-5CC6-11CF-8D67-00AA00BDCE1D}" ax:persistence="persistStream" r:id="rId1"/>
</file>

<file path=xl/activeX/activeX6.xml><?xml version="1.0" encoding="utf-8"?>
<ax:ocx xmlns:ax="http://schemas.microsoft.com/office/2006/activeX" xmlns:r="http://schemas.openxmlformats.org/officeDocument/2006/relationships" ax:classid="{5512D122-5CC6-11CF-8D67-00AA00BDCE1D}" ax:persistence="persistStream" r:id="rId1"/>
</file>

<file path=xl/activeX/activeX7.xml><?xml version="1.0" encoding="utf-8"?>
<ax:ocx xmlns:ax="http://schemas.microsoft.com/office/2006/activeX" xmlns:r="http://schemas.openxmlformats.org/officeDocument/2006/relationships" ax:classid="{5512D122-5CC6-11CF-8D67-00AA00BDCE1D}" ax:persistence="persistStream" r:id="rId1"/>
</file>

<file path=xl/activeX/activeX8.xml><?xml version="1.0" encoding="utf-8"?>
<ax:ocx xmlns:ax="http://schemas.microsoft.com/office/2006/activeX" xmlns:r="http://schemas.openxmlformats.org/officeDocument/2006/relationships" ax:classid="{5512D110-5CC6-11CF-8D67-00AA00BDCE1D}" ax:persistence="persistStream" r:id="rId1"/>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t>All</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0-C1E5-4900-B61D-5D47D8C99D10}"/>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1-C1E5-4900-B61D-5D47D8C99D10}"/>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2-C1E5-4900-B61D-5D47D8C99D10}"/>
            </c:ext>
          </c:extLst>
        </c:ser>
        <c:ser>
          <c:idx val="3"/>
          <c:order val="3"/>
          <c:spPr>
            <a:ln w="12700">
              <a:solidFill>
                <a:srgbClr val="00FFFF"/>
              </a:solidFill>
              <a:prstDash val="solid"/>
            </a:ln>
          </c:spPr>
          <c:marker>
            <c:symbol val="x"/>
            <c:size val="5"/>
            <c:spPr>
              <a:noFill/>
              <a:ln>
                <a:solidFill>
                  <a:srgbClr val="00FF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3-C1E5-4900-B61D-5D47D8C99D10}"/>
            </c:ext>
          </c:extLst>
        </c:ser>
        <c:ser>
          <c:idx val="4"/>
          <c:order val="4"/>
          <c:spPr>
            <a:ln w="12700">
              <a:solidFill>
                <a:srgbClr val="800080"/>
              </a:solidFill>
              <a:prstDash val="solid"/>
            </a:ln>
          </c:spPr>
          <c:marker>
            <c:symbol val="star"/>
            <c:size val="5"/>
            <c:spPr>
              <a:noFill/>
              <a:ln>
                <a:solidFill>
                  <a:srgbClr val="80008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4-C1E5-4900-B61D-5D47D8C99D10}"/>
            </c:ext>
          </c:extLst>
        </c:ser>
        <c:ser>
          <c:idx val="5"/>
          <c:order val="5"/>
          <c:spPr>
            <a:ln w="12700">
              <a:solidFill>
                <a:srgbClr val="800000"/>
              </a:solidFill>
              <a:prstDash val="solid"/>
            </a:ln>
          </c:spPr>
          <c:marker>
            <c:symbol val="circle"/>
            <c:size val="5"/>
            <c:spPr>
              <a:solidFill>
                <a:srgbClr val="800000"/>
              </a:solidFill>
              <a:ln>
                <a:solidFill>
                  <a:srgbClr val="80000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5-C1E5-4900-B61D-5D47D8C99D10}"/>
            </c:ext>
          </c:extLst>
        </c:ser>
        <c:ser>
          <c:idx val="6"/>
          <c:order val="6"/>
          <c:spPr>
            <a:ln w="12700">
              <a:solidFill>
                <a:srgbClr val="008080"/>
              </a:solidFill>
              <a:prstDash val="solid"/>
            </a:ln>
          </c:spPr>
          <c:marker>
            <c:symbol val="plus"/>
            <c:size val="5"/>
            <c:spPr>
              <a:noFill/>
              <a:ln>
                <a:solidFill>
                  <a:srgbClr val="00808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6-C1E5-4900-B61D-5D47D8C99D10}"/>
            </c:ext>
          </c:extLst>
        </c:ser>
        <c:ser>
          <c:idx val="7"/>
          <c:order val="7"/>
          <c:spPr>
            <a:ln w="12700">
              <a:solidFill>
                <a:srgbClr val="0000FF"/>
              </a:solidFill>
              <a:prstDash val="solid"/>
            </a:ln>
          </c:spPr>
          <c:marker>
            <c:symbol val="dot"/>
            <c:size val="5"/>
            <c:spPr>
              <a:noFill/>
              <a:ln>
                <a:solidFill>
                  <a:srgbClr val="0000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7-C1E5-4900-B61D-5D47D8C99D10}"/>
            </c:ext>
          </c:extLst>
        </c:ser>
        <c:ser>
          <c:idx val="8"/>
          <c:order val="8"/>
          <c:spPr>
            <a:ln w="12700">
              <a:solidFill>
                <a:srgbClr val="00CCFF"/>
              </a:solidFill>
              <a:prstDash val="solid"/>
            </a:ln>
          </c:spPr>
          <c:marker>
            <c:symbol val="dash"/>
            <c:size val="5"/>
            <c:spPr>
              <a:noFill/>
              <a:ln>
                <a:solidFill>
                  <a:srgbClr val="00CC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8-C1E5-4900-B61D-5D47D8C99D10}"/>
            </c:ext>
          </c:extLst>
        </c:ser>
        <c:ser>
          <c:idx val="9"/>
          <c:order val="9"/>
          <c:spPr>
            <a:ln w="12700">
              <a:solidFill>
                <a:srgbClr val="CCFFFF"/>
              </a:solidFill>
              <a:prstDash val="solid"/>
            </a:ln>
          </c:spPr>
          <c:marker>
            <c:symbol val="diamond"/>
            <c:size val="5"/>
            <c:spPr>
              <a:solidFill>
                <a:srgbClr val="CCFFFF"/>
              </a:solidFill>
              <a:ln>
                <a:solidFill>
                  <a:srgbClr val="CCFF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9-C1E5-4900-B61D-5D47D8C99D10}"/>
            </c:ext>
          </c:extLst>
        </c:ser>
        <c:ser>
          <c:idx val="10"/>
          <c:order val="10"/>
          <c:spPr>
            <a:ln w="12700">
              <a:solidFill>
                <a:srgbClr val="CCFFCC"/>
              </a:solidFill>
              <a:prstDash val="solid"/>
            </a:ln>
          </c:spPr>
          <c:marker>
            <c:symbol val="square"/>
            <c:size val="5"/>
            <c:spPr>
              <a:solidFill>
                <a:srgbClr val="CCFFCC"/>
              </a:solidFill>
              <a:ln>
                <a:solidFill>
                  <a:srgbClr val="CCFFCC"/>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A-C1E5-4900-B61D-5D47D8C99D10}"/>
            </c:ext>
          </c:extLst>
        </c:ser>
        <c:ser>
          <c:idx val="11"/>
          <c:order val="11"/>
          <c:spPr>
            <a:ln w="12700">
              <a:solidFill>
                <a:srgbClr val="FFFF99"/>
              </a:solidFill>
              <a:prstDash val="solid"/>
            </a:ln>
          </c:spPr>
          <c:marker>
            <c:symbol val="triangle"/>
            <c:size val="5"/>
            <c:spPr>
              <a:solidFill>
                <a:srgbClr val="FFFF99"/>
              </a:solidFill>
              <a:ln>
                <a:solidFill>
                  <a:srgbClr val="FFFF99"/>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B-C1E5-4900-B61D-5D47D8C99D10}"/>
            </c:ext>
          </c:extLst>
        </c:ser>
        <c:ser>
          <c:idx val="12"/>
          <c:order val="12"/>
          <c:spPr>
            <a:ln w="12700">
              <a:solidFill>
                <a:srgbClr val="99CCFF"/>
              </a:solidFill>
              <a:prstDash val="solid"/>
            </a:ln>
          </c:spPr>
          <c:marker>
            <c:symbol val="x"/>
            <c:size val="5"/>
            <c:spPr>
              <a:noFill/>
              <a:ln>
                <a:solidFill>
                  <a:srgbClr val="99CC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C-C1E5-4900-B61D-5D47D8C99D10}"/>
            </c:ext>
          </c:extLst>
        </c:ser>
        <c:dLbls>
          <c:showLegendKey val="0"/>
          <c:showVal val="0"/>
          <c:showCatName val="0"/>
          <c:showSerName val="0"/>
          <c:showPercent val="0"/>
          <c:showBubbleSize val="0"/>
        </c:dLbls>
        <c:marker val="1"/>
        <c:smooth val="0"/>
        <c:axId val="231291520"/>
        <c:axId val="231297792"/>
      </c:lineChart>
      <c:catAx>
        <c:axId val="2312915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31297792"/>
        <c:crosses val="autoZero"/>
        <c:auto val="1"/>
        <c:lblAlgn val="ctr"/>
        <c:lblOffset val="100"/>
        <c:tickLblSkip val="1"/>
        <c:tickMarkSkip val="1"/>
        <c:noMultiLvlLbl val="0"/>
      </c:catAx>
      <c:valAx>
        <c:axId val="23129779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31291520"/>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t>Residential</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0-4B7C-4C8E-B5B6-F1F89FFE3596}"/>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1-4B7C-4C8E-B5B6-F1F89FFE3596}"/>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2-4B7C-4C8E-B5B6-F1F89FFE3596}"/>
            </c:ext>
          </c:extLst>
        </c:ser>
        <c:ser>
          <c:idx val="3"/>
          <c:order val="3"/>
          <c:spPr>
            <a:ln w="12700">
              <a:solidFill>
                <a:srgbClr val="00FFFF"/>
              </a:solidFill>
              <a:prstDash val="solid"/>
            </a:ln>
          </c:spPr>
          <c:marker>
            <c:symbol val="x"/>
            <c:size val="5"/>
            <c:spPr>
              <a:noFill/>
              <a:ln>
                <a:solidFill>
                  <a:srgbClr val="00FF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3-4B7C-4C8E-B5B6-F1F89FFE3596}"/>
            </c:ext>
          </c:extLst>
        </c:ser>
        <c:ser>
          <c:idx val="4"/>
          <c:order val="4"/>
          <c:spPr>
            <a:ln w="12700">
              <a:solidFill>
                <a:srgbClr val="800080"/>
              </a:solidFill>
              <a:prstDash val="solid"/>
            </a:ln>
          </c:spPr>
          <c:marker>
            <c:symbol val="star"/>
            <c:size val="5"/>
            <c:spPr>
              <a:noFill/>
              <a:ln>
                <a:solidFill>
                  <a:srgbClr val="80008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4-4B7C-4C8E-B5B6-F1F89FFE3596}"/>
            </c:ext>
          </c:extLst>
        </c:ser>
        <c:ser>
          <c:idx val="5"/>
          <c:order val="5"/>
          <c:spPr>
            <a:ln w="12700">
              <a:solidFill>
                <a:srgbClr val="800000"/>
              </a:solidFill>
              <a:prstDash val="solid"/>
            </a:ln>
          </c:spPr>
          <c:marker>
            <c:symbol val="circle"/>
            <c:size val="5"/>
            <c:spPr>
              <a:solidFill>
                <a:srgbClr val="800000"/>
              </a:solidFill>
              <a:ln>
                <a:solidFill>
                  <a:srgbClr val="80000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5-4B7C-4C8E-B5B6-F1F89FFE3596}"/>
            </c:ext>
          </c:extLst>
        </c:ser>
        <c:ser>
          <c:idx val="6"/>
          <c:order val="6"/>
          <c:spPr>
            <a:ln w="12700">
              <a:solidFill>
                <a:srgbClr val="008080"/>
              </a:solidFill>
              <a:prstDash val="solid"/>
            </a:ln>
          </c:spPr>
          <c:marker>
            <c:symbol val="plus"/>
            <c:size val="5"/>
            <c:spPr>
              <a:noFill/>
              <a:ln>
                <a:solidFill>
                  <a:srgbClr val="00808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6-4B7C-4C8E-B5B6-F1F89FFE3596}"/>
            </c:ext>
          </c:extLst>
        </c:ser>
        <c:ser>
          <c:idx val="7"/>
          <c:order val="7"/>
          <c:spPr>
            <a:ln w="12700">
              <a:solidFill>
                <a:srgbClr val="0000FF"/>
              </a:solidFill>
              <a:prstDash val="solid"/>
            </a:ln>
          </c:spPr>
          <c:marker>
            <c:symbol val="dot"/>
            <c:size val="5"/>
            <c:spPr>
              <a:noFill/>
              <a:ln>
                <a:solidFill>
                  <a:srgbClr val="0000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7-4B7C-4C8E-B5B6-F1F89FFE3596}"/>
            </c:ext>
          </c:extLst>
        </c:ser>
        <c:dLbls>
          <c:showLegendKey val="0"/>
          <c:showVal val="0"/>
          <c:showCatName val="0"/>
          <c:showSerName val="0"/>
          <c:showPercent val="0"/>
          <c:showBubbleSize val="0"/>
        </c:dLbls>
        <c:marker val="1"/>
        <c:smooth val="0"/>
        <c:axId val="231212544"/>
        <c:axId val="231214080"/>
      </c:lineChart>
      <c:catAx>
        <c:axId val="231212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31214080"/>
        <c:crosses val="autoZero"/>
        <c:auto val="1"/>
        <c:lblAlgn val="ctr"/>
        <c:lblOffset val="100"/>
        <c:tickLblSkip val="1"/>
        <c:tickMarkSkip val="1"/>
        <c:noMultiLvlLbl val="0"/>
      </c:catAx>
      <c:valAx>
        <c:axId val="23121408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31212544"/>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3.emf"/><Relationship Id="rId1" Type="http://schemas.openxmlformats.org/officeDocument/2006/relationships/image" Target="../media/image4.emf"/><Relationship Id="rId4"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 Id="rId4"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xdr:from>
      <xdr:col>3</xdr:col>
      <xdr:colOff>0</xdr:colOff>
      <xdr:row>42</xdr:row>
      <xdr:rowOff>129540</xdr:rowOff>
    </xdr:from>
    <xdr:to>
      <xdr:col>3</xdr:col>
      <xdr:colOff>0</xdr:colOff>
      <xdr:row>61</xdr:row>
      <xdr:rowOff>137160</xdr:rowOff>
    </xdr:to>
    <xdr:graphicFrame macro="">
      <xdr:nvGraphicFramePr>
        <xdr:cNvPr id="221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42</xdr:row>
      <xdr:rowOff>129540</xdr:rowOff>
    </xdr:from>
    <xdr:to>
      <xdr:col>3</xdr:col>
      <xdr:colOff>0</xdr:colOff>
      <xdr:row>61</xdr:row>
      <xdr:rowOff>137160</xdr:rowOff>
    </xdr:to>
    <xdr:graphicFrame macro="">
      <xdr:nvGraphicFramePr>
        <xdr:cNvPr id="221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571500</xdr:colOff>
          <xdr:row>2</xdr:row>
          <xdr:rowOff>45720</xdr:rowOff>
        </xdr:from>
        <xdr:to>
          <xdr:col>6</xdr:col>
          <xdr:colOff>792480</xdr:colOff>
          <xdr:row>3</xdr:row>
          <xdr:rowOff>68580</xdr:rowOff>
        </xdr:to>
        <xdr:sp macro="" textlink="">
          <xdr:nvSpPr>
            <xdr:cNvPr id="5121" name="Control 1" hidden="1">
              <a:extLst>
                <a:ext uri="{63B3BB69-23CF-44E3-9099-C40C66FF867C}">
                  <a14:compatExt spid="_x0000_s5121"/>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2</xdr:row>
          <xdr:rowOff>45720</xdr:rowOff>
        </xdr:from>
        <xdr:to>
          <xdr:col>7</xdr:col>
          <xdr:colOff>175260</xdr:colOff>
          <xdr:row>3</xdr:row>
          <xdr:rowOff>68580</xdr:rowOff>
        </xdr:to>
        <xdr:sp macro="" textlink="">
          <xdr:nvSpPr>
            <xdr:cNvPr id="5122" name="Control 2" hidden="1">
              <a:extLst>
                <a:ext uri="{63B3BB69-23CF-44E3-9099-C40C66FF867C}">
                  <a14:compatExt spid="_x0000_s5122"/>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2</xdr:row>
          <xdr:rowOff>45720</xdr:rowOff>
        </xdr:from>
        <xdr:to>
          <xdr:col>7</xdr:col>
          <xdr:colOff>175260</xdr:colOff>
          <xdr:row>3</xdr:row>
          <xdr:rowOff>68580</xdr:rowOff>
        </xdr:to>
        <xdr:sp macro="" textlink="">
          <xdr:nvSpPr>
            <xdr:cNvPr id="5123" name="Control 3" hidden="1">
              <a:extLst>
                <a:ext uri="{63B3BB69-23CF-44E3-9099-C40C66FF867C}">
                  <a14:compatExt spid="_x0000_s5123"/>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2</xdr:row>
          <xdr:rowOff>45720</xdr:rowOff>
        </xdr:from>
        <xdr:to>
          <xdr:col>7</xdr:col>
          <xdr:colOff>198120</xdr:colOff>
          <xdr:row>3</xdr:row>
          <xdr:rowOff>152400</xdr:rowOff>
        </xdr:to>
        <xdr:sp macro="" textlink="">
          <xdr:nvSpPr>
            <xdr:cNvPr id="5124" name="Control 4" hidden="1">
              <a:extLst>
                <a:ext uri="{63B3BB69-23CF-44E3-9099-C40C66FF867C}">
                  <a14:compatExt spid="_x0000_s5124"/>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571500</xdr:colOff>
          <xdr:row>2</xdr:row>
          <xdr:rowOff>68580</xdr:rowOff>
        </xdr:from>
        <xdr:to>
          <xdr:col>6</xdr:col>
          <xdr:colOff>792480</xdr:colOff>
          <xdr:row>3</xdr:row>
          <xdr:rowOff>91440</xdr:rowOff>
        </xdr:to>
        <xdr:sp macro="" textlink="">
          <xdr:nvSpPr>
            <xdr:cNvPr id="27649" name="Control 1" hidden="1">
              <a:extLst>
                <a:ext uri="{63B3BB69-23CF-44E3-9099-C40C66FF867C}">
                  <a14:compatExt spid="_x0000_s27649"/>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2</xdr:row>
          <xdr:rowOff>68580</xdr:rowOff>
        </xdr:from>
        <xdr:to>
          <xdr:col>7</xdr:col>
          <xdr:colOff>175260</xdr:colOff>
          <xdr:row>3</xdr:row>
          <xdr:rowOff>91440</xdr:rowOff>
        </xdr:to>
        <xdr:sp macro="" textlink="">
          <xdr:nvSpPr>
            <xdr:cNvPr id="27650" name="Control 2" hidden="1">
              <a:extLst>
                <a:ext uri="{63B3BB69-23CF-44E3-9099-C40C66FF867C}">
                  <a14:compatExt spid="_x0000_s2765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2</xdr:row>
          <xdr:rowOff>68580</xdr:rowOff>
        </xdr:from>
        <xdr:to>
          <xdr:col>7</xdr:col>
          <xdr:colOff>175260</xdr:colOff>
          <xdr:row>3</xdr:row>
          <xdr:rowOff>91440</xdr:rowOff>
        </xdr:to>
        <xdr:sp macro="" textlink="">
          <xdr:nvSpPr>
            <xdr:cNvPr id="27651" name="Control 3" hidden="1">
              <a:extLst>
                <a:ext uri="{63B3BB69-23CF-44E3-9099-C40C66FF867C}">
                  <a14:compatExt spid="_x0000_s27651"/>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2</xdr:row>
          <xdr:rowOff>68580</xdr:rowOff>
        </xdr:from>
        <xdr:to>
          <xdr:col>7</xdr:col>
          <xdr:colOff>198120</xdr:colOff>
          <xdr:row>3</xdr:row>
          <xdr:rowOff>175260</xdr:rowOff>
        </xdr:to>
        <xdr:sp macro="" textlink="">
          <xdr:nvSpPr>
            <xdr:cNvPr id="27652" name="Control 4" hidden="1">
              <a:extLst>
                <a:ext uri="{63B3BB69-23CF-44E3-9099-C40C66FF867C}">
                  <a14:compatExt spid="_x0000_s27652"/>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sourcePlanning\2009IRP\Aurora\PSM\RevReq\Update%20A\Update%20A%20Constrained_No%20DSM_FullCap_PSM%2020-1%202009%20IR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rwilli\AppData\Local\Microsoft\Windows\Temporary%20Internet%20Files\Content.Outlook\OMOIMSCX\PSM%20III%2023.4_2015%20IRP%20Capacity%20Cal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_DATA_"/>
      <sheetName val="Case Output"/>
      <sheetName val="EvalSum"/>
      <sheetName val="Evaluation Summary"/>
      <sheetName val="Assumptions"/>
      <sheetName val="Acquisition Inputs"/>
      <sheetName val="AURORAenergy"/>
      <sheetName val="AURORAcost"/>
      <sheetName val="AURORArevenue"/>
      <sheetName val="ACQTHERMAL"/>
      <sheetName val="ACQWIND"/>
      <sheetName val="ACQPPA"/>
      <sheetName val="EXISTCOAL"/>
      <sheetName val="CONTRACT"/>
      <sheetName val="EXISTGAS"/>
      <sheetName val="EXISTWIND"/>
      <sheetName val="WESTERNHYDRO"/>
      <sheetName val="MIDCHYDRO"/>
      <sheetName val="NEWBIOMASS"/>
      <sheetName val="NEWCOAL"/>
      <sheetName val="NEWGAS"/>
      <sheetName val="NEWGASPK"/>
      <sheetName val="NEWGEOTHERMAL"/>
      <sheetName val="NEWSOLAR"/>
      <sheetName val="NEWWIND"/>
      <sheetName val="NEWWINDLONG"/>
      <sheetName val="Load_Market_DSM"/>
      <sheetName val="RPS Summary"/>
      <sheetName val="Dispatch Cases"/>
      <sheetName val="Capital Additions"/>
      <sheetName val="Results Summary"/>
      <sheetName val="ACQConsol"/>
      <sheetName val="Acquisition Thermal"/>
      <sheetName val="Acquisition Wind"/>
      <sheetName val="Consol"/>
      <sheetName val="CCGT"/>
      <sheetName val="Geothermal"/>
      <sheetName val="Long Haul Wind"/>
      <sheetName val="Solar"/>
      <sheetName val="Open Slot"/>
      <sheetName val="Wind"/>
      <sheetName val="Coal"/>
      <sheetName val="Recip Engine"/>
      <sheetName val="Biomass"/>
      <sheetName val="Joint Ownership MW"/>
      <sheetName val="Contracted MW"/>
      <sheetName val="Exist Consol"/>
      <sheetName val="Existing Gas"/>
      <sheetName val="Colstrip"/>
      <sheetName val="Existing Wind"/>
      <sheetName val="West Hydro"/>
      <sheetName val="Mid_C Hydro"/>
      <sheetName val="PPA Rollup"/>
      <sheetName val="Equity Equalization - PPA"/>
      <sheetName val="End Effects"/>
      <sheetName val="Nameplate Capacity"/>
      <sheetName val="WACC"/>
      <sheetName val="AURORAENERGY1"/>
      <sheetName val="AURORACOST1"/>
      <sheetName val="AURORAREVENUE1"/>
      <sheetName val="AURORAENERGY11"/>
      <sheetName val="AURORACOST11"/>
      <sheetName val="AURORAREVENUE11"/>
    </sheetNames>
    <sheetDataSet>
      <sheetData sheetId="0" refreshError="1"/>
      <sheetData sheetId="1" refreshError="1"/>
      <sheetData sheetId="2" refreshError="1"/>
      <sheetData sheetId="3" refreshError="1"/>
      <sheetData sheetId="4">
        <row r="1">
          <cell r="A1" t="str">
            <v>Current Trends - All Generic</v>
          </cell>
        </row>
        <row r="2">
          <cell r="A2" t="str">
            <v>PSM 20-1 2009 IRP Update A Cnstrd No DSR</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_DATA_"/>
      <sheetName val="Capacity Calculation"/>
      <sheetName val="To Tableau"/>
      <sheetName val="Evaluation Summary"/>
      <sheetName val="Comments"/>
      <sheetName val="LPProblem"/>
      <sheetName val="Peak Capacity Need"/>
      <sheetName val="Assumptions"/>
      <sheetName val="AuroraEnergyAll"/>
      <sheetName val="AuroraCostAll"/>
      <sheetName val="AuroraRevenueAll"/>
      <sheetName val="AuroraCO2EmissionsAll"/>
      <sheetName val="Peak Inputs"/>
      <sheetName val="CO2_Emissions"/>
      <sheetName val="Load_Market_DSM"/>
      <sheetName val="REC Credit"/>
      <sheetName val="Thermal Acq Inputs"/>
      <sheetName val="Wind Acq Inputs"/>
      <sheetName val="Wind PPA Inputs"/>
      <sheetName val="Fixed Price PPA Inputs"/>
      <sheetName val="Toll PPA Inputs"/>
      <sheetName val="AURORAenergy"/>
      <sheetName val="AURORAcost"/>
      <sheetName val="AURORArevenue"/>
      <sheetName val="Results Summary"/>
      <sheetName val="AcqTherm 1"/>
      <sheetName val="AcqTherm 2"/>
      <sheetName val="AcqTherm 3"/>
      <sheetName val="AcqTherm 4"/>
      <sheetName val="AcqTherm 5"/>
      <sheetName val="AcqWind 1"/>
      <sheetName val="AcqWind 2"/>
      <sheetName val="AcqWind 3"/>
      <sheetName val="AcqWind 4"/>
      <sheetName val="AcqWind 5"/>
      <sheetName val="CCGT"/>
      <sheetName val="Peaker Aero"/>
      <sheetName val="Self Build Peaker"/>
      <sheetName val="Peaker Recip"/>
      <sheetName val="Peaker Frame"/>
      <sheetName val="Chart1"/>
      <sheetName val="Biomass"/>
      <sheetName val="Batteries"/>
      <sheetName val="Solar"/>
      <sheetName val="Wind"/>
      <sheetName val="MT Wind"/>
      <sheetName val="PPA Rollup"/>
      <sheetName val="Equity Equalization - PPA"/>
      <sheetName val="Net Cost Calc"/>
      <sheetName val="Book Life"/>
      <sheetName val="Replacement Cost Rollup"/>
      <sheetName val="CCGT Replacement Rev Req"/>
      <sheetName val="Peaker Frame Replace Rev Req"/>
      <sheetName val="Peaker Aero Replacement Rev Req"/>
      <sheetName val="Peaker Recip Replace Rev Req"/>
      <sheetName val="Wind Replacement Rev Req"/>
      <sheetName val="MT Wind Replacement Rev Req"/>
      <sheetName val="Biomass Replacement Rev Req"/>
      <sheetName val="Solar Replacement Rev Req"/>
      <sheetName val="Battery Replacement Rev Req"/>
      <sheetName val="WACC"/>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8">
          <cell r="K8">
            <v>228</v>
          </cell>
        </row>
        <row r="24">
          <cell r="O24">
            <v>7.7700000000000005E-2</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se.com/-/media/PDFs/IRP/2023/electric/appendix/17_EPR23_AppH_Final.pdf?modified=20230331195806" TargetMode="External"/><Relationship Id="rId1" Type="http://schemas.openxmlformats.org/officeDocument/2006/relationships/hyperlink" Target="https://www.pse.com/-/media/PDFs/IRP/2023/electric/appendix/16_EPR23_AppG_Final.pdf?modified=20230331195806" TargetMode="External"/></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4.bin"/><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ustomProperty" Target="../customProperty5.bin"/><Relationship Id="rId2" Type="http://schemas.openxmlformats.org/officeDocument/2006/relationships/printerSettings" Target="../printerSettings/printerSettings11.bin"/><Relationship Id="rId1" Type="http://schemas.openxmlformats.org/officeDocument/2006/relationships/hyperlink" Target="http://www.oasis.oati.com/woa/docs/PSEI/PSEIdocs/PSE_Current_OATT_Effective_06.01.2023.pdf" TargetMode="External"/></Relationships>
</file>

<file path=xl/worksheets/_rels/sheet13.xml.rels><?xml version="1.0" encoding="UTF-8" standalone="yes"?>
<Relationships xmlns="http://schemas.openxmlformats.org/package/2006/relationships"><Relationship Id="rId8" Type="http://schemas.openxmlformats.org/officeDocument/2006/relationships/control" Target="../activeX/activeX2.xml"/><Relationship Id="rId13" Type="http://schemas.openxmlformats.org/officeDocument/2006/relationships/image" Target="../media/image4.emf"/><Relationship Id="rId3" Type="http://schemas.openxmlformats.org/officeDocument/2006/relationships/customProperty" Target="../customProperty6.bin"/><Relationship Id="rId7" Type="http://schemas.openxmlformats.org/officeDocument/2006/relationships/image" Target="../media/image1.emf"/><Relationship Id="rId12" Type="http://schemas.openxmlformats.org/officeDocument/2006/relationships/control" Target="../activeX/activeX4.xml"/><Relationship Id="rId2" Type="http://schemas.openxmlformats.org/officeDocument/2006/relationships/printerSettings" Target="../printerSettings/printerSettings12.bin"/><Relationship Id="rId1" Type="http://schemas.openxmlformats.org/officeDocument/2006/relationships/hyperlink" Target="https://www.pse.com/-/media/PDFs/IRP/2023/electric/appendix/17_EPR23_AppH_Final.pdf?modified=20230331195806" TargetMode="External"/><Relationship Id="rId6" Type="http://schemas.openxmlformats.org/officeDocument/2006/relationships/control" Target="../activeX/activeX1.xml"/><Relationship Id="rId11" Type="http://schemas.openxmlformats.org/officeDocument/2006/relationships/image" Target="../media/image3.emf"/><Relationship Id="rId5" Type="http://schemas.openxmlformats.org/officeDocument/2006/relationships/vmlDrawing" Target="../drawings/vmlDrawing1.vml"/><Relationship Id="rId10" Type="http://schemas.openxmlformats.org/officeDocument/2006/relationships/control" Target="../activeX/activeX3.xml"/><Relationship Id="rId4" Type="http://schemas.openxmlformats.org/officeDocument/2006/relationships/drawing" Target="../drawings/drawing2.xml"/><Relationship Id="rId9" Type="http://schemas.openxmlformats.org/officeDocument/2006/relationships/image" Target="../media/image2.emf"/><Relationship Id="rId14" Type="http://schemas.openxmlformats.org/officeDocument/2006/relationships/comments" Target="../comments1.xml"/></Relationships>
</file>

<file path=xl/worksheets/_rels/sheet14.xml.rels><?xml version="1.0" encoding="UTF-8" standalone="yes"?>
<Relationships xmlns="http://schemas.openxmlformats.org/package/2006/relationships"><Relationship Id="rId8" Type="http://schemas.openxmlformats.org/officeDocument/2006/relationships/image" Target="../media/image5.emf"/><Relationship Id="rId13" Type="http://schemas.openxmlformats.org/officeDocument/2006/relationships/comments" Target="../comments2.xml"/><Relationship Id="rId3" Type="http://schemas.openxmlformats.org/officeDocument/2006/relationships/drawing" Target="../drawings/drawing3.xml"/><Relationship Id="rId7" Type="http://schemas.openxmlformats.org/officeDocument/2006/relationships/control" Target="../activeX/activeX6.xml"/><Relationship Id="rId12" Type="http://schemas.openxmlformats.org/officeDocument/2006/relationships/image" Target="../media/image7.emf"/><Relationship Id="rId2" Type="http://schemas.openxmlformats.org/officeDocument/2006/relationships/printerSettings" Target="../printerSettings/printerSettings13.bin"/><Relationship Id="rId1" Type="http://schemas.openxmlformats.org/officeDocument/2006/relationships/hyperlink" Target="https://www.pse.com/-/media/PDFs/IRP/2023/electric/appendix/17_EPR23_AppH_Final.pdf?modified=20230331195806" TargetMode="External"/><Relationship Id="rId6" Type="http://schemas.openxmlformats.org/officeDocument/2006/relationships/image" Target="../media/image4.emf"/><Relationship Id="rId11" Type="http://schemas.openxmlformats.org/officeDocument/2006/relationships/control" Target="../activeX/activeX8.xml"/><Relationship Id="rId5" Type="http://schemas.openxmlformats.org/officeDocument/2006/relationships/control" Target="../activeX/activeX5.xml"/><Relationship Id="rId10" Type="http://schemas.openxmlformats.org/officeDocument/2006/relationships/image" Target="../media/image6.emf"/><Relationship Id="rId4" Type="http://schemas.openxmlformats.org/officeDocument/2006/relationships/vmlDrawing" Target="../drawings/vmlDrawing2.vml"/><Relationship Id="rId9" Type="http://schemas.openxmlformats.org/officeDocument/2006/relationships/control" Target="../activeX/activeX7.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14.bin"/><Relationship Id="rId1" Type="http://schemas.openxmlformats.org/officeDocument/2006/relationships/hyperlink" Target="https://www.pse.com/-/media/PDFs/IRP/2023/electric/appendix/17_EPR23_AppH_Final.pdf?modified=20230331195806" TargetMode="External"/><Relationship Id="rId4" Type="http://schemas.openxmlformats.org/officeDocument/2006/relationships/comments" Target="../comments3.xml"/></Relationships>
</file>

<file path=xl/worksheets/_rels/sheet16.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customProperty" Target="../customProperty8.bin"/><Relationship Id="rId2" Type="http://schemas.openxmlformats.org/officeDocument/2006/relationships/printerSettings" Target="../printerSettings/printerSettings16.bin"/><Relationship Id="rId1" Type="http://schemas.openxmlformats.org/officeDocument/2006/relationships/hyperlink" Target="https://www.pse.com/-/media/PDFs/IRP/2023/electric/appendix/16_EPR23_AppG_Final.pdf?modified=20230331195806" TargetMode="External"/></Relationships>
</file>

<file path=xl/worksheets/_rels/sheet18.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3:S42"/>
  <sheetViews>
    <sheetView tabSelected="1" topLeftCell="A3" workbookViewId="0">
      <selection activeCell="D17" sqref="D17:M17"/>
    </sheetView>
  </sheetViews>
  <sheetFormatPr defaultColWidth="9.109375" defaultRowHeight="15" x14ac:dyDescent="0.25"/>
  <cols>
    <col min="1" max="1" width="14.109375" style="53" customWidth="1"/>
    <col min="2" max="2" width="41" style="53" customWidth="1"/>
    <col min="3" max="3" width="16.44140625" style="53" customWidth="1"/>
    <col min="4" max="4" width="13.44140625" style="53" customWidth="1"/>
    <col min="5" max="5" width="12.44140625" style="53" customWidth="1"/>
    <col min="6" max="16384" width="9.109375" style="53"/>
  </cols>
  <sheetData>
    <row r="3" spans="1:19" x14ac:dyDescent="0.25">
      <c r="A3" s="53" t="s">
        <v>127</v>
      </c>
      <c r="B3" s="53" t="s">
        <v>152</v>
      </c>
    </row>
    <row r="5" spans="1:19" x14ac:dyDescent="0.25">
      <c r="A5" s="53" t="s">
        <v>159</v>
      </c>
    </row>
    <row r="6" spans="1:19" ht="44.4" customHeight="1" x14ac:dyDescent="0.25">
      <c r="B6" s="342" t="s">
        <v>177</v>
      </c>
      <c r="C6" s="342"/>
      <c r="D6" s="342"/>
      <c r="E6" s="342"/>
      <c r="F6" s="342"/>
      <c r="G6" s="342"/>
      <c r="H6" s="342"/>
      <c r="I6" s="342"/>
      <c r="J6" s="342"/>
      <c r="K6" s="342"/>
      <c r="L6" s="342"/>
      <c r="M6" s="342"/>
      <c r="N6" s="342"/>
      <c r="O6" s="342"/>
      <c r="P6" s="342"/>
    </row>
    <row r="7" spans="1:19" x14ac:dyDescent="0.25">
      <c r="B7" s="339" t="s">
        <v>175</v>
      </c>
    </row>
    <row r="9" spans="1:19" x14ac:dyDescent="0.25">
      <c r="A9" s="53" t="s">
        <v>142</v>
      </c>
    </row>
    <row r="10" spans="1:19" ht="15" customHeight="1" x14ac:dyDescent="0.25">
      <c r="B10" s="343" t="s">
        <v>182</v>
      </c>
      <c r="C10" s="343"/>
      <c r="D10" s="343"/>
      <c r="E10" s="343"/>
      <c r="F10" s="343"/>
      <c r="G10" s="343"/>
      <c r="H10" s="343"/>
      <c r="I10" s="343"/>
      <c r="J10" s="343"/>
      <c r="K10" s="343"/>
      <c r="L10" s="343"/>
      <c r="M10" s="343"/>
      <c r="N10" s="343"/>
      <c r="O10" s="343"/>
      <c r="P10" s="343"/>
      <c r="Q10" s="343"/>
      <c r="R10" s="343"/>
      <c r="S10" s="316"/>
    </row>
    <row r="11" spans="1:19" x14ac:dyDescent="0.25">
      <c r="B11" s="344" t="s">
        <v>153</v>
      </c>
      <c r="C11" s="344"/>
      <c r="D11" s="344"/>
      <c r="E11" s="344"/>
      <c r="F11" s="344"/>
      <c r="G11" s="344"/>
      <c r="H11" s="344"/>
      <c r="I11" s="344"/>
      <c r="J11" s="344"/>
      <c r="K11" s="344"/>
      <c r="L11" s="344"/>
      <c r="M11" s="344"/>
      <c r="N11" s="344"/>
      <c r="O11" s="344"/>
      <c r="P11" s="344"/>
      <c r="Q11" s="344"/>
      <c r="R11" s="317"/>
    </row>
    <row r="12" spans="1:19" x14ac:dyDescent="0.25">
      <c r="B12" s="334" t="s">
        <v>154</v>
      </c>
      <c r="C12" s="317"/>
      <c r="D12" s="317"/>
      <c r="E12" s="317"/>
      <c r="F12" s="317"/>
      <c r="G12" s="317"/>
      <c r="H12" s="317"/>
      <c r="I12" s="317"/>
      <c r="J12" s="317"/>
      <c r="K12" s="317"/>
      <c r="L12" s="317"/>
      <c r="M12" s="317"/>
      <c r="N12" s="317"/>
      <c r="O12" s="317"/>
      <c r="P12" s="317"/>
      <c r="Q12" s="317"/>
      <c r="R12" s="317"/>
    </row>
    <row r="13" spans="1:19" x14ac:dyDescent="0.25">
      <c r="B13" s="345" t="s">
        <v>155</v>
      </c>
      <c r="C13" s="345"/>
      <c r="D13" s="345"/>
      <c r="E13" s="345"/>
      <c r="F13" s="345"/>
      <c r="G13" s="345"/>
      <c r="H13" s="345"/>
      <c r="I13" s="345"/>
      <c r="J13" s="345"/>
      <c r="K13" s="345"/>
      <c r="L13" s="345"/>
      <c r="M13" s="345"/>
      <c r="N13" s="345"/>
      <c r="O13" s="345"/>
      <c r="P13" s="345"/>
      <c r="Q13" s="345"/>
      <c r="R13" s="345"/>
    </row>
    <row r="14" spans="1:19" x14ac:dyDescent="0.25">
      <c r="B14" s="326"/>
      <c r="C14" s="318"/>
      <c r="D14" s="319"/>
      <c r="E14" s="319"/>
      <c r="F14" s="319"/>
      <c r="G14" s="319"/>
      <c r="H14" s="319"/>
      <c r="I14" s="319"/>
      <c r="J14" s="319"/>
      <c r="K14" s="319"/>
      <c r="L14" s="319"/>
      <c r="M14" s="319"/>
      <c r="N14" s="319"/>
      <c r="O14" s="319"/>
      <c r="P14" s="319"/>
      <c r="Q14" s="319"/>
      <c r="R14" s="317"/>
    </row>
    <row r="15" spans="1:19" x14ac:dyDescent="0.25">
      <c r="A15" s="53" t="s">
        <v>156</v>
      </c>
    </row>
    <row r="17" spans="1:14" ht="120.6" customHeight="1" x14ac:dyDescent="0.3">
      <c r="B17" s="320" t="s">
        <v>128</v>
      </c>
      <c r="C17" s="335">
        <f>'Baseload Avoided Capacity Calcs'!D6</f>
        <v>78.481687499999992</v>
      </c>
      <c r="D17" s="346" t="s">
        <v>179</v>
      </c>
      <c r="E17" s="347"/>
      <c r="F17" s="347"/>
      <c r="G17" s="347"/>
      <c r="H17" s="347"/>
      <c r="I17" s="347"/>
      <c r="J17" s="347"/>
      <c r="K17" s="347"/>
      <c r="L17" s="347"/>
      <c r="M17" s="347"/>
      <c r="N17" s="341" t="s">
        <v>178</v>
      </c>
    </row>
    <row r="18" spans="1:14" ht="15.6" x14ac:dyDescent="0.3">
      <c r="B18" s="321" t="s">
        <v>129</v>
      </c>
      <c r="C18" s="46">
        <f>'Baseload Avoided Capacity Calcs'!D7</f>
        <v>0</v>
      </c>
      <c r="D18" s="53" t="s">
        <v>130</v>
      </c>
      <c r="N18" s="192"/>
    </row>
    <row r="19" spans="1:14" ht="15.6" x14ac:dyDescent="0.3">
      <c r="B19" s="321" t="s">
        <v>48</v>
      </c>
      <c r="C19" s="46">
        <f>'Baseload Avoided Capacity Calcs'!D8</f>
        <v>7.1599999999999997E-2</v>
      </c>
      <c r="D19" s="53" t="s">
        <v>157</v>
      </c>
      <c r="E19" s="327"/>
    </row>
    <row r="20" spans="1:14" ht="15.6" x14ac:dyDescent="0.3">
      <c r="B20" s="321" t="s">
        <v>49</v>
      </c>
      <c r="C20" s="46">
        <f>'Baseload Avoided Capacity Calcs'!D9</f>
        <v>2.5000000000000001E-2</v>
      </c>
      <c r="D20" s="53" t="s">
        <v>131</v>
      </c>
    </row>
    <row r="22" spans="1:14" x14ac:dyDescent="0.25">
      <c r="B22" s="53" t="s">
        <v>132</v>
      </c>
    </row>
    <row r="23" spans="1:14" x14ac:dyDescent="0.25">
      <c r="B23" s="53" t="s">
        <v>133</v>
      </c>
    </row>
    <row r="24" spans="1:14" x14ac:dyDescent="0.25">
      <c r="B24" s="53" t="s">
        <v>140</v>
      </c>
    </row>
    <row r="26" spans="1:14" x14ac:dyDescent="0.25">
      <c r="A26" s="53" t="s">
        <v>143</v>
      </c>
    </row>
    <row r="27" spans="1:14" x14ac:dyDescent="0.25">
      <c r="B27" s="53" t="s">
        <v>144</v>
      </c>
    </row>
    <row r="28" spans="1:14" x14ac:dyDescent="0.25">
      <c r="B28" s="53" t="s">
        <v>134</v>
      </c>
    </row>
    <row r="29" spans="1:14" x14ac:dyDescent="0.25">
      <c r="B29" s="53" t="s">
        <v>135</v>
      </c>
    </row>
    <row r="31" spans="1:14" x14ac:dyDescent="0.25">
      <c r="A31" s="53" t="s">
        <v>145</v>
      </c>
    </row>
    <row r="32" spans="1:14" x14ac:dyDescent="0.25">
      <c r="B32" s="53" t="s">
        <v>180</v>
      </c>
    </row>
    <row r="34" spans="1:2" x14ac:dyDescent="0.25">
      <c r="A34" s="53" t="s">
        <v>146</v>
      </c>
    </row>
    <row r="35" spans="1:2" x14ac:dyDescent="0.25">
      <c r="B35" s="53" t="s">
        <v>136</v>
      </c>
    </row>
    <row r="36" spans="1:2" x14ac:dyDescent="0.25">
      <c r="B36" s="53" t="s">
        <v>137</v>
      </c>
    </row>
    <row r="37" spans="1:2" x14ac:dyDescent="0.25">
      <c r="B37" s="53" t="s">
        <v>138</v>
      </c>
    </row>
    <row r="38" spans="1:2" x14ac:dyDescent="0.25">
      <c r="B38" s="53" t="s">
        <v>139</v>
      </c>
    </row>
    <row r="40" spans="1:2" x14ac:dyDescent="0.25">
      <c r="A40" s="53" t="s">
        <v>147</v>
      </c>
    </row>
    <row r="42" spans="1:2" x14ac:dyDescent="0.25">
      <c r="A42" s="53" t="s">
        <v>181</v>
      </c>
    </row>
  </sheetData>
  <mergeCells count="5">
    <mergeCell ref="B6:P6"/>
    <mergeCell ref="B10:R10"/>
    <mergeCell ref="B11:Q11"/>
    <mergeCell ref="B13:R13"/>
    <mergeCell ref="D17:M17"/>
  </mergeCells>
  <hyperlinks>
    <hyperlink ref="B7" r:id="rId1"/>
    <hyperlink ref="N17" r:id="rId2"/>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E40"/>
  <sheetViews>
    <sheetView topLeftCell="C16" workbookViewId="0">
      <selection activeCell="H24" sqref="H24"/>
    </sheetView>
  </sheetViews>
  <sheetFormatPr defaultColWidth="9.109375" defaultRowHeight="15" x14ac:dyDescent="0.25"/>
  <cols>
    <col min="1" max="1" width="2.5546875" style="53" customWidth="1"/>
    <col min="2" max="2" width="5" style="53" customWidth="1"/>
    <col min="3" max="3" width="46.5546875" style="53" customWidth="1"/>
    <col min="4" max="4" width="2.5546875" style="53" customWidth="1"/>
    <col min="5" max="22" width="12.5546875" style="53" customWidth="1"/>
    <col min="23" max="23" width="2.5546875" style="53" customWidth="1"/>
    <col min="24" max="25" width="12.5546875" style="53" customWidth="1"/>
    <col min="26" max="30" width="12.44140625" style="53" customWidth="1"/>
    <col min="31" max="16384" width="9.109375" style="53"/>
  </cols>
  <sheetData>
    <row r="2" spans="2:31" ht="19.5" customHeight="1" x14ac:dyDescent="0.3">
      <c r="C2" s="198" t="s">
        <v>86</v>
      </c>
      <c r="D2" s="198"/>
      <c r="E2" s="198"/>
      <c r="F2" s="198"/>
      <c r="G2" s="198"/>
      <c r="H2" s="198"/>
      <c r="I2" s="198"/>
      <c r="J2" s="198"/>
      <c r="K2" s="198"/>
      <c r="L2" s="198"/>
    </row>
    <row r="3" spans="2:31" ht="15.6" x14ac:dyDescent="0.3">
      <c r="C3" s="42" t="s">
        <v>46</v>
      </c>
    </row>
    <row r="4" spans="2:31" s="99" customFormat="1" ht="45" x14ac:dyDescent="0.25">
      <c r="B4" s="98"/>
      <c r="C4" s="133" t="s">
        <v>0</v>
      </c>
      <c r="D4" s="133"/>
      <c r="E4" s="133" t="s">
        <v>1</v>
      </c>
      <c r="F4" s="133" t="s">
        <v>2</v>
      </c>
      <c r="G4" s="133" t="s">
        <v>3</v>
      </c>
      <c r="H4" s="133" t="s">
        <v>4</v>
      </c>
      <c r="I4" s="133" t="s">
        <v>5</v>
      </c>
      <c r="J4" s="133" t="s">
        <v>6</v>
      </c>
      <c r="K4" s="133" t="s">
        <v>7</v>
      </c>
      <c r="L4" s="134" t="s">
        <v>14</v>
      </c>
      <c r="M4" s="134"/>
    </row>
    <row r="5" spans="2:31" x14ac:dyDescent="0.25">
      <c r="C5" s="136"/>
      <c r="D5" s="137"/>
      <c r="E5" s="138">
        <v>15</v>
      </c>
      <c r="F5" s="276">
        <f>+'Capacity Delivered'!$I$5</f>
        <v>0.04</v>
      </c>
      <c r="G5" s="139" t="s">
        <v>8</v>
      </c>
      <c r="H5" s="140">
        <f>'Electric EES CE Std Energy'!D23</f>
        <v>4.3823684792235862E-2</v>
      </c>
      <c r="I5" s="141">
        <f>'Solar Avoided Capacity Calcs'!X21</f>
        <v>1.2856073813546691E-2</v>
      </c>
      <c r="J5" s="141">
        <f>H5+I5</f>
        <v>5.6679758605782553E-2</v>
      </c>
      <c r="K5" s="142">
        <f>J5</f>
        <v>5.6679758605782553E-2</v>
      </c>
      <c r="L5" s="143">
        <f>K5*1000</f>
        <v>56.679758605782553</v>
      </c>
      <c r="M5" s="127"/>
    </row>
    <row r="6" spans="2:31" ht="15.6" x14ac:dyDescent="0.3">
      <c r="C6" s="135"/>
      <c r="D6" s="135"/>
      <c r="E6" s="102"/>
      <c r="F6" s="102"/>
      <c r="G6" s="102"/>
      <c r="H6" s="32">
        <f>H5*1000</f>
        <v>43.823684792235859</v>
      </c>
      <c r="I6" s="32">
        <f t="shared" ref="I6:K6" si="0">I5*1000</f>
        <v>12.856073813546692</v>
      </c>
      <c r="J6" s="32">
        <f t="shared" si="0"/>
        <v>56.679758605782553</v>
      </c>
      <c r="K6" s="32">
        <f t="shared" si="0"/>
        <v>56.679758605782553</v>
      </c>
      <c r="L6" s="104">
        <f>L5*(1-M6)</f>
        <v>54.979365847609074</v>
      </c>
      <c r="M6" s="225">
        <v>0.03</v>
      </c>
      <c r="N6" s="105" t="s">
        <v>40</v>
      </c>
    </row>
    <row r="7" spans="2:31" x14ac:dyDescent="0.25">
      <c r="C7" s="106"/>
      <c r="D7" s="103"/>
      <c r="H7" s="40"/>
      <c r="I7" s="101"/>
      <c r="J7" s="40"/>
      <c r="K7" s="101"/>
      <c r="L7" s="101"/>
      <c r="M7" s="102"/>
    </row>
    <row r="8" spans="2:31" ht="15.6" x14ac:dyDescent="0.3">
      <c r="C8" s="102"/>
      <c r="D8" s="102"/>
      <c r="E8" s="102"/>
      <c r="F8" s="102"/>
      <c r="G8" s="102"/>
      <c r="H8" s="107"/>
      <c r="I8" s="107"/>
      <c r="J8" s="107"/>
      <c r="K8" s="107"/>
      <c r="L8" s="107"/>
      <c r="M8" s="107"/>
      <c r="N8" s="107"/>
      <c r="O8" s="107"/>
      <c r="P8" s="107"/>
      <c r="Q8" s="107"/>
      <c r="R8" s="107"/>
      <c r="S8" s="107"/>
      <c r="T8" s="107"/>
      <c r="U8" s="108"/>
      <c r="V8" s="108"/>
      <c r="W8" s="108"/>
      <c r="X8" s="189" t="s">
        <v>76</v>
      </c>
      <c r="Y8" s="108"/>
      <c r="Z8" s="108"/>
      <c r="AA8" s="108"/>
    </row>
    <row r="9" spans="2:31" x14ac:dyDescent="0.25">
      <c r="C9" s="109" t="s">
        <v>9</v>
      </c>
      <c r="D9" s="109"/>
      <c r="E9" s="109"/>
      <c r="F9" s="110">
        <f>+L6</f>
        <v>54.979365847609074</v>
      </c>
      <c r="G9" s="110">
        <f t="shared" ref="G9:T9" si="1">F9</f>
        <v>54.979365847609074</v>
      </c>
      <c r="H9" s="110">
        <f t="shared" si="1"/>
        <v>54.979365847609074</v>
      </c>
      <c r="I9" s="110">
        <f t="shared" si="1"/>
        <v>54.979365847609074</v>
      </c>
      <c r="J9" s="110">
        <f t="shared" si="1"/>
        <v>54.979365847609074</v>
      </c>
      <c r="K9" s="110">
        <f t="shared" si="1"/>
        <v>54.979365847609074</v>
      </c>
      <c r="L9" s="110">
        <f t="shared" si="1"/>
        <v>54.979365847609074</v>
      </c>
      <c r="M9" s="110">
        <f t="shared" si="1"/>
        <v>54.979365847609074</v>
      </c>
      <c r="N9" s="110">
        <f t="shared" si="1"/>
        <v>54.979365847609074</v>
      </c>
      <c r="O9" s="110">
        <f t="shared" si="1"/>
        <v>54.979365847609074</v>
      </c>
      <c r="P9" s="110">
        <f t="shared" si="1"/>
        <v>54.979365847609074</v>
      </c>
      <c r="Q9" s="110">
        <f t="shared" si="1"/>
        <v>54.979365847609074</v>
      </c>
      <c r="R9" s="110">
        <f t="shared" si="1"/>
        <v>54.979365847609074</v>
      </c>
      <c r="S9" s="110">
        <f t="shared" si="1"/>
        <v>54.979365847609074</v>
      </c>
      <c r="T9" s="110">
        <f t="shared" si="1"/>
        <v>54.979365847609074</v>
      </c>
      <c r="U9" s="40"/>
      <c r="V9" s="40"/>
      <c r="W9" s="40"/>
      <c r="X9" s="188">
        <f>NPV(Rate_of_Return,F9:T9)</f>
        <v>495.72588860211681</v>
      </c>
      <c r="Y9" s="188">
        <f>-PMT(Rate_of_Return,15,X9)</f>
        <v>54.979365847609031</v>
      </c>
      <c r="Z9" s="40"/>
      <c r="AA9" s="40"/>
    </row>
    <row r="10" spans="2:31" x14ac:dyDescent="0.25">
      <c r="C10" s="102"/>
      <c r="D10" s="102"/>
      <c r="E10" s="102"/>
      <c r="F10" s="111"/>
      <c r="G10" s="111"/>
      <c r="H10" s="111"/>
      <c r="I10" s="111"/>
      <c r="J10" s="111"/>
      <c r="K10" s="111"/>
      <c r="L10" s="111"/>
      <c r="M10" s="111"/>
      <c r="N10" s="111"/>
      <c r="O10" s="111"/>
      <c r="P10" s="111"/>
      <c r="Q10" s="111"/>
      <c r="R10" s="111"/>
      <c r="S10" s="111"/>
      <c r="T10" s="111"/>
      <c r="U10" s="40"/>
      <c r="V10" s="40"/>
      <c r="W10" s="40"/>
      <c r="X10" s="32"/>
      <c r="Y10" s="32"/>
      <c r="Z10" s="40"/>
      <c r="AA10" s="40"/>
    </row>
    <row r="11" spans="2:31" x14ac:dyDescent="0.25">
      <c r="C11" s="53" t="s">
        <v>58</v>
      </c>
      <c r="F11" s="193">
        <v>1</v>
      </c>
      <c r="G11" s="193">
        <v>2</v>
      </c>
      <c r="H11" s="193">
        <v>3</v>
      </c>
      <c r="I11" s="193">
        <v>4</v>
      </c>
      <c r="J11" s="193">
        <v>5</v>
      </c>
      <c r="K11" s="193">
        <v>6</v>
      </c>
      <c r="L11" s="193">
        <v>7</v>
      </c>
      <c r="M11" s="193">
        <v>8</v>
      </c>
      <c r="N11" s="193">
        <v>9</v>
      </c>
      <c r="O11" s="193">
        <v>10</v>
      </c>
      <c r="P11" s="193">
        <v>11</v>
      </c>
      <c r="Q11" s="193">
        <v>12</v>
      </c>
      <c r="R11" s="193">
        <v>13</v>
      </c>
      <c r="S11" s="193">
        <v>14</v>
      </c>
      <c r="T11" s="193">
        <v>15</v>
      </c>
      <c r="U11" s="193">
        <v>16</v>
      </c>
      <c r="V11" s="193">
        <v>17</v>
      </c>
      <c r="W11" s="40"/>
      <c r="X11" s="40"/>
      <c r="Y11" s="40"/>
      <c r="Z11" s="40"/>
      <c r="AA11" s="40"/>
    </row>
    <row r="12" spans="2:31" ht="15.6" x14ac:dyDescent="0.3">
      <c r="C12" s="102"/>
      <c r="D12" s="100"/>
      <c r="E12" s="102"/>
      <c r="F12" s="112">
        <f>'Energy Prices'!$C$6</f>
        <v>2024</v>
      </c>
      <c r="G12" s="112">
        <f>F12+1</f>
        <v>2025</v>
      </c>
      <c r="H12" s="112">
        <f>G12+1</f>
        <v>2026</v>
      </c>
      <c r="I12" s="112">
        <f t="shared" ref="I12:T12" si="2">H12+1</f>
        <v>2027</v>
      </c>
      <c r="J12" s="112">
        <f t="shared" si="2"/>
        <v>2028</v>
      </c>
      <c r="K12" s="112">
        <f t="shared" si="2"/>
        <v>2029</v>
      </c>
      <c r="L12" s="112">
        <f t="shared" si="2"/>
        <v>2030</v>
      </c>
      <c r="M12" s="112">
        <f t="shared" si="2"/>
        <v>2031</v>
      </c>
      <c r="N12" s="112">
        <f t="shared" si="2"/>
        <v>2032</v>
      </c>
      <c r="O12" s="112">
        <f t="shared" si="2"/>
        <v>2033</v>
      </c>
      <c r="P12" s="112">
        <f t="shared" si="2"/>
        <v>2034</v>
      </c>
      <c r="Q12" s="112">
        <f t="shared" si="2"/>
        <v>2035</v>
      </c>
      <c r="R12" s="112">
        <f t="shared" si="2"/>
        <v>2036</v>
      </c>
      <c r="S12" s="112">
        <f t="shared" si="2"/>
        <v>2037</v>
      </c>
      <c r="T12" s="112">
        <f t="shared" si="2"/>
        <v>2038</v>
      </c>
      <c r="U12" s="112">
        <f>T12+1</f>
        <v>2039</v>
      </c>
      <c r="V12" s="112">
        <f>U12+1</f>
        <v>2040</v>
      </c>
      <c r="W12" s="191"/>
      <c r="X12" s="189" t="s">
        <v>76</v>
      </c>
      <c r="Y12" s="32"/>
      <c r="Z12" s="108"/>
      <c r="AA12" s="108"/>
    </row>
    <row r="13" spans="2:31" ht="53.1" customHeight="1" x14ac:dyDescent="0.25">
      <c r="B13" s="102"/>
      <c r="C13" s="194" t="s">
        <v>80</v>
      </c>
      <c r="D13" s="102"/>
      <c r="F13" s="144">
        <f t="shared" ref="F13:T13" si="3">F$9*F$20</f>
        <v>47.463755938070939</v>
      </c>
      <c r="G13" s="145">
        <f>G$9*G$20</f>
        <v>48.650349836522707</v>
      </c>
      <c r="H13" s="146">
        <f t="shared" si="3"/>
        <v>49.866608582435767</v>
      </c>
      <c r="I13" s="146">
        <f t="shared" si="3"/>
        <v>51.113273796996658</v>
      </c>
      <c r="J13" s="146">
        <f t="shared" si="3"/>
        <v>52.39110564192157</v>
      </c>
      <c r="K13" s="146">
        <f t="shared" si="3"/>
        <v>53.700883282969606</v>
      </c>
      <c r="L13" s="146">
        <f t="shared" si="3"/>
        <v>55.043405365043846</v>
      </c>
      <c r="M13" s="146">
        <f t="shared" si="3"/>
        <v>56.419490499169925</v>
      </c>
      <c r="N13" s="146">
        <f t="shared" si="3"/>
        <v>57.829977761649168</v>
      </c>
      <c r="O13" s="146">
        <f t="shared" si="3"/>
        <v>59.275727205690401</v>
      </c>
      <c r="P13" s="146">
        <f t="shared" si="3"/>
        <v>60.757620385832645</v>
      </c>
      <c r="Q13" s="146">
        <f t="shared" si="3"/>
        <v>62.276560895478461</v>
      </c>
      <c r="R13" s="146">
        <f t="shared" si="3"/>
        <v>63.833474917865409</v>
      </c>
      <c r="S13" s="146">
        <f t="shared" si="3"/>
        <v>65.429311790812037</v>
      </c>
      <c r="T13" s="146">
        <f t="shared" si="3"/>
        <v>67.065044585582342</v>
      </c>
      <c r="U13" s="190">
        <f>T13*1.025</f>
        <v>68.741670700221889</v>
      </c>
      <c r="V13" s="190">
        <f>U13*1.025</f>
        <v>70.46021246772743</v>
      </c>
      <c r="W13" s="114"/>
      <c r="X13" s="188">
        <f>NPV(Rate_of_Return,F13:T13)</f>
        <v>495.72588860211704</v>
      </c>
      <c r="Y13" s="188">
        <f>-PMT(Rate_of_Return,15,X13)</f>
        <v>54.97936584760906</v>
      </c>
      <c r="Z13" s="114"/>
      <c r="AA13" s="114"/>
      <c r="AE13" s="115"/>
    </row>
    <row r="14" spans="2:31" x14ac:dyDescent="0.25">
      <c r="C14" s="113"/>
      <c r="E14" s="116"/>
      <c r="F14" s="114"/>
      <c r="G14" s="114"/>
      <c r="H14" s="114"/>
      <c r="I14" s="114"/>
      <c r="J14" s="114"/>
      <c r="K14" s="114"/>
      <c r="L14" s="114"/>
      <c r="M14" s="114"/>
      <c r="N14" s="114"/>
      <c r="O14" s="114"/>
      <c r="P14" s="114"/>
      <c r="Q14" s="114"/>
      <c r="R14" s="114"/>
      <c r="S14" s="114"/>
      <c r="T14" s="114"/>
      <c r="U14" s="114"/>
      <c r="V14" s="114"/>
      <c r="W14" s="114"/>
      <c r="X14" s="108"/>
      <c r="Y14" s="108"/>
      <c r="Z14" s="108"/>
      <c r="AA14" s="108"/>
    </row>
    <row r="15" spans="2:31" x14ac:dyDescent="0.25">
      <c r="C15" s="117"/>
      <c r="E15" s="116"/>
      <c r="F15" s="114"/>
      <c r="G15" s="197"/>
      <c r="H15" s="114"/>
      <c r="I15" s="114"/>
      <c r="J15" s="114"/>
      <c r="K15" s="114"/>
      <c r="L15" s="114"/>
      <c r="M15" s="114"/>
      <c r="N15" s="114"/>
      <c r="O15" s="114"/>
      <c r="P15" s="114"/>
      <c r="Q15" s="114"/>
      <c r="R15" s="114"/>
      <c r="S15" s="114"/>
      <c r="T15" s="114"/>
      <c r="U15" s="114"/>
      <c r="V15" s="114"/>
      <c r="W15" s="114"/>
      <c r="X15" s="108"/>
      <c r="Y15" s="108"/>
      <c r="Z15" s="108"/>
      <c r="AA15" s="108"/>
    </row>
    <row r="16" spans="2:31" x14ac:dyDescent="0.25">
      <c r="C16" s="53" t="s">
        <v>10</v>
      </c>
      <c r="Q16" s="108"/>
      <c r="R16" s="108"/>
    </row>
    <row r="17" spans="2:27" x14ac:dyDescent="0.25">
      <c r="Q17" s="108"/>
      <c r="R17" s="108"/>
    </row>
    <row r="18" spans="2:27" ht="15.6" x14ac:dyDescent="0.3">
      <c r="C18" s="102"/>
      <c r="D18" s="102"/>
      <c r="E18" s="102"/>
      <c r="F18" s="102"/>
      <c r="G18" s="102"/>
      <c r="H18" s="102"/>
      <c r="I18" s="102"/>
      <c r="J18" s="102"/>
      <c r="K18" s="102"/>
      <c r="L18" s="102"/>
      <c r="M18" s="102"/>
      <c r="N18" s="102"/>
      <c r="O18" s="102"/>
      <c r="P18" s="102"/>
      <c r="Q18" s="107"/>
      <c r="R18" s="107"/>
      <c r="S18" s="102"/>
      <c r="T18" s="102"/>
      <c r="X18" s="189" t="s">
        <v>76</v>
      </c>
      <c r="Y18" s="102"/>
    </row>
    <row r="19" spans="2:27" x14ac:dyDescent="0.25">
      <c r="C19" s="109" t="s">
        <v>11</v>
      </c>
      <c r="D19" s="109"/>
      <c r="E19" s="109"/>
      <c r="F19" s="128">
        <v>100</v>
      </c>
      <c r="G19" s="128">
        <f t="shared" ref="G19:T19" si="4">F19*1.025</f>
        <v>102.49999999999999</v>
      </c>
      <c r="H19" s="128">
        <f t="shared" si="4"/>
        <v>105.06249999999997</v>
      </c>
      <c r="I19" s="128">
        <f t="shared" si="4"/>
        <v>107.68906249999996</v>
      </c>
      <c r="J19" s="128">
        <f t="shared" si="4"/>
        <v>110.38128906249996</v>
      </c>
      <c r="K19" s="128">
        <f t="shared" si="4"/>
        <v>113.14082128906244</v>
      </c>
      <c r="L19" s="128">
        <f t="shared" si="4"/>
        <v>115.96934182128899</v>
      </c>
      <c r="M19" s="128">
        <f t="shared" si="4"/>
        <v>118.8685753668212</v>
      </c>
      <c r="N19" s="128">
        <f t="shared" si="4"/>
        <v>121.84028975099173</v>
      </c>
      <c r="O19" s="128">
        <f t="shared" si="4"/>
        <v>124.88629699476651</v>
      </c>
      <c r="P19" s="128">
        <f t="shared" si="4"/>
        <v>128.00845441963565</v>
      </c>
      <c r="Q19" s="128">
        <f t="shared" si="4"/>
        <v>131.20866578012652</v>
      </c>
      <c r="R19" s="128">
        <f t="shared" si="4"/>
        <v>134.48888242462968</v>
      </c>
      <c r="S19" s="128">
        <f t="shared" si="4"/>
        <v>137.8511044852454</v>
      </c>
      <c r="T19" s="128">
        <f t="shared" si="4"/>
        <v>141.29738209737653</v>
      </c>
      <c r="U19" s="118"/>
      <c r="V19" s="118"/>
      <c r="W19" s="118"/>
      <c r="X19" s="148">
        <f>NPV(Rate_of_Return,F19:T19)</f>
        <v>1044.4303844156857</v>
      </c>
      <c r="Y19" s="148">
        <f>-PMT(Rate_of_Return,15,X19)</f>
        <v>115.83441883390822</v>
      </c>
      <c r="Z19" s="108"/>
      <c r="AA19" s="108"/>
    </row>
    <row r="20" spans="2:27" x14ac:dyDescent="0.25">
      <c r="C20" s="131" t="s">
        <v>12</v>
      </c>
      <c r="D20" s="131"/>
      <c r="E20" s="131"/>
      <c r="F20" s="132">
        <f>F19/$Y$19</f>
        <v>0.86330126232503701</v>
      </c>
      <c r="G20" s="132">
        <f t="shared" ref="G20:T20" si="5">G19/$Y$19</f>
        <v>0.88488379388316274</v>
      </c>
      <c r="H20" s="132">
        <f t="shared" si="5"/>
        <v>0.90700588873024168</v>
      </c>
      <c r="I20" s="132">
        <f t="shared" si="5"/>
        <v>0.92968103594849771</v>
      </c>
      <c r="J20" s="132">
        <f t="shared" si="5"/>
        <v>0.9529230618472101</v>
      </c>
      <c r="K20" s="132">
        <f t="shared" si="5"/>
        <v>0.9767461383933902</v>
      </c>
      <c r="L20" s="132">
        <f t="shared" si="5"/>
        <v>1.0011647918532249</v>
      </c>
      <c r="M20" s="132">
        <f t="shared" si="5"/>
        <v>1.0261939116495553</v>
      </c>
      <c r="N20" s="132">
        <f t="shared" si="5"/>
        <v>1.0518487594407941</v>
      </c>
      <c r="O20" s="132">
        <f t="shared" si="5"/>
        <v>1.078144978426814</v>
      </c>
      <c r="P20" s="132">
        <f t="shared" si="5"/>
        <v>1.1050986028874841</v>
      </c>
      <c r="Q20" s="132">
        <f t="shared" si="5"/>
        <v>1.1327260679596711</v>
      </c>
      <c r="R20" s="132">
        <f t="shared" si="5"/>
        <v>1.1610442196586628</v>
      </c>
      <c r="S20" s="132">
        <f t="shared" si="5"/>
        <v>1.1900703251501292</v>
      </c>
      <c r="T20" s="132">
        <f t="shared" si="5"/>
        <v>1.2198220832788824</v>
      </c>
      <c r="U20" s="119"/>
      <c r="V20" s="119"/>
      <c r="W20" s="119"/>
      <c r="X20" s="147">
        <f>NPV(Rate_of_Return,F20:T20)</f>
        <v>9.0165806927668495</v>
      </c>
      <c r="Y20" s="147">
        <f>-PMT(Rate_of_Return,15,X20)</f>
        <v>0.99999999999999978</v>
      </c>
      <c r="Z20" s="108"/>
      <c r="AA20" s="108"/>
    </row>
    <row r="21" spans="2:27" x14ac:dyDescent="0.25">
      <c r="C21" s="102"/>
      <c r="D21" s="102"/>
      <c r="E21" s="129"/>
      <c r="F21" s="129"/>
      <c r="G21" s="129"/>
      <c r="H21" s="129"/>
      <c r="I21" s="129"/>
      <c r="J21" s="129"/>
      <c r="K21" s="129"/>
      <c r="L21" s="129"/>
      <c r="M21" s="130"/>
      <c r="N21" s="130"/>
      <c r="O21" s="130"/>
      <c r="P21" s="130"/>
      <c r="Q21" s="130"/>
      <c r="R21" s="130"/>
      <c r="S21" s="130"/>
      <c r="T21" s="130"/>
      <c r="X21" s="102"/>
      <c r="Y21" s="102"/>
    </row>
    <row r="22" spans="2:27" x14ac:dyDescent="0.25">
      <c r="B22" s="120" t="s">
        <v>13</v>
      </c>
      <c r="C22" s="121"/>
      <c r="D22" s="122"/>
      <c r="E22" s="122"/>
      <c r="F22" s="122"/>
      <c r="G22" s="122"/>
      <c r="H22" s="122"/>
      <c r="I22" s="122"/>
      <c r="J22" s="122"/>
      <c r="K22" s="122"/>
      <c r="L22" s="122"/>
      <c r="M22" s="122"/>
      <c r="N22" s="122"/>
      <c r="O22" s="122"/>
      <c r="Z22" s="117"/>
    </row>
    <row r="23" spans="2:27" x14ac:dyDescent="0.25">
      <c r="B23" s="123">
        <v>1</v>
      </c>
      <c r="C23" s="273" t="s">
        <v>111</v>
      </c>
      <c r="D23" s="122"/>
      <c r="E23" s="122"/>
      <c r="F23" s="122"/>
      <c r="G23" s="122"/>
      <c r="H23" s="122"/>
      <c r="I23" s="122"/>
      <c r="J23" s="122"/>
      <c r="K23" s="122"/>
      <c r="L23" s="122"/>
      <c r="M23" s="122"/>
      <c r="N23" s="122"/>
      <c r="O23" s="122"/>
      <c r="Z23" s="113"/>
    </row>
    <row r="24" spans="2:27" x14ac:dyDescent="0.25">
      <c r="B24" s="123">
        <v>2</v>
      </c>
      <c r="C24" s="122" t="s">
        <v>148</v>
      </c>
      <c r="D24" s="122"/>
      <c r="E24" s="122"/>
      <c r="F24" s="122"/>
      <c r="G24" s="122"/>
      <c r="H24" s="122"/>
      <c r="I24" s="122"/>
      <c r="J24" s="122"/>
      <c r="K24" s="122"/>
      <c r="L24" s="122"/>
      <c r="M24" s="122"/>
      <c r="N24" s="122"/>
      <c r="O24" s="122"/>
      <c r="Z24" s="114"/>
    </row>
    <row r="25" spans="2:27" x14ac:dyDescent="0.25">
      <c r="B25" s="123">
        <v>3</v>
      </c>
      <c r="C25" s="122" t="s">
        <v>47</v>
      </c>
      <c r="D25" s="122"/>
      <c r="E25" s="122"/>
      <c r="F25" s="122"/>
      <c r="G25" s="122"/>
      <c r="H25" s="122"/>
      <c r="I25" s="122"/>
      <c r="J25" s="122"/>
      <c r="K25" s="122"/>
      <c r="L25" s="122"/>
      <c r="M25" s="122"/>
      <c r="N25" s="122"/>
      <c r="O25" s="122"/>
      <c r="Z25" s="124"/>
    </row>
    <row r="26" spans="2:27" x14ac:dyDescent="0.25">
      <c r="B26" s="123">
        <v>4</v>
      </c>
      <c r="C26" s="122" t="s">
        <v>161</v>
      </c>
      <c r="D26" s="122"/>
      <c r="E26" s="122"/>
      <c r="F26" s="122"/>
      <c r="G26" s="122"/>
      <c r="H26" s="122"/>
      <c r="I26" s="122"/>
      <c r="J26" s="122"/>
      <c r="K26" s="122"/>
      <c r="L26" s="122"/>
      <c r="M26" s="122"/>
      <c r="N26" s="122"/>
      <c r="O26" s="122"/>
      <c r="Z26" s="124"/>
    </row>
    <row r="27" spans="2:27" x14ac:dyDescent="0.25">
      <c r="B27" s="123">
        <v>5</v>
      </c>
      <c r="C27" s="122" t="s">
        <v>81</v>
      </c>
      <c r="D27" s="122"/>
      <c r="E27" s="122"/>
      <c r="F27" s="122"/>
      <c r="G27" s="122"/>
      <c r="H27" s="122"/>
      <c r="I27" s="122"/>
      <c r="J27" s="122"/>
      <c r="K27" s="122"/>
      <c r="L27" s="122"/>
      <c r="M27" s="122"/>
      <c r="N27" s="122"/>
      <c r="O27" s="122"/>
      <c r="Z27" s="113"/>
    </row>
    <row r="28" spans="2:27" x14ac:dyDescent="0.25">
      <c r="B28" s="123">
        <v>6</v>
      </c>
      <c r="C28" s="122" t="s">
        <v>82</v>
      </c>
      <c r="D28" s="122"/>
      <c r="E28" s="122"/>
      <c r="F28" s="122"/>
      <c r="G28" s="122"/>
      <c r="H28" s="122"/>
      <c r="I28" s="122"/>
      <c r="J28" s="122"/>
      <c r="K28" s="122"/>
      <c r="L28" s="122"/>
      <c r="M28" s="122"/>
      <c r="N28" s="122"/>
      <c r="O28" s="122"/>
      <c r="Z28" s="114"/>
    </row>
    <row r="29" spans="2:27" x14ac:dyDescent="0.25">
      <c r="B29" s="123">
        <v>7</v>
      </c>
      <c r="C29" s="122" t="s">
        <v>83</v>
      </c>
      <c r="D29" s="122"/>
      <c r="E29" s="122"/>
      <c r="F29" s="122"/>
      <c r="G29" s="122"/>
      <c r="H29" s="122"/>
      <c r="I29" s="122"/>
      <c r="J29" s="122"/>
      <c r="K29" s="122"/>
      <c r="L29" s="122"/>
      <c r="M29" s="122"/>
      <c r="N29" s="122"/>
      <c r="O29" s="122"/>
      <c r="P29" s="122"/>
      <c r="Q29" s="122"/>
    </row>
    <row r="30" spans="2:27" x14ac:dyDescent="0.25">
      <c r="B30" s="123">
        <v>8</v>
      </c>
      <c r="C30" s="122" t="s">
        <v>53</v>
      </c>
      <c r="D30" s="122"/>
      <c r="E30" s="122"/>
      <c r="F30" s="122"/>
      <c r="G30" s="122"/>
      <c r="H30" s="122"/>
      <c r="I30" s="122"/>
      <c r="J30" s="122"/>
      <c r="K30" s="122"/>
      <c r="L30" s="122"/>
      <c r="M30" s="122"/>
      <c r="N30" s="122"/>
      <c r="O30" s="122"/>
      <c r="P30" s="122"/>
      <c r="Q30" s="122"/>
    </row>
    <row r="31" spans="2:27" x14ac:dyDescent="0.25">
      <c r="B31" s="123">
        <v>9</v>
      </c>
      <c r="C31" s="122" t="s">
        <v>84</v>
      </c>
      <c r="D31" s="122"/>
      <c r="E31" s="122"/>
      <c r="F31" s="122"/>
      <c r="G31" s="122"/>
      <c r="H31" s="122"/>
      <c r="I31" s="122"/>
      <c r="J31" s="122"/>
      <c r="K31" s="122"/>
      <c r="L31" s="122"/>
      <c r="M31" s="122"/>
      <c r="N31" s="122"/>
      <c r="O31" s="122"/>
      <c r="P31" s="122"/>
      <c r="Q31" s="122"/>
    </row>
    <row r="32" spans="2:27" x14ac:dyDescent="0.25">
      <c r="B32" s="123">
        <v>10</v>
      </c>
      <c r="C32" s="53" t="s">
        <v>85</v>
      </c>
    </row>
    <row r="33" spans="2:20" x14ac:dyDescent="0.25">
      <c r="B33" s="123">
        <v>11</v>
      </c>
      <c r="C33" s="53" t="s">
        <v>104</v>
      </c>
    </row>
    <row r="34" spans="2:20" ht="15.6" x14ac:dyDescent="0.3">
      <c r="B34" s="125"/>
      <c r="C34" s="5"/>
      <c r="D34" s="5"/>
      <c r="E34" s="5"/>
      <c r="F34" s="5"/>
    </row>
    <row r="35" spans="2:20" ht="15.6" x14ac:dyDescent="0.3">
      <c r="B35" s="125"/>
      <c r="C35" s="5"/>
      <c r="D35" s="5"/>
      <c r="E35" s="5"/>
      <c r="F35" s="5"/>
    </row>
    <row r="37" spans="2:20" x14ac:dyDescent="0.25">
      <c r="F37" s="108"/>
      <c r="G37" s="126"/>
      <c r="H37" s="126"/>
      <c r="I37" s="126"/>
      <c r="J37" s="126"/>
      <c r="K37" s="126"/>
      <c r="L37" s="126"/>
      <c r="M37" s="126"/>
      <c r="N37" s="126"/>
      <c r="O37" s="126"/>
      <c r="P37" s="126"/>
      <c r="Q37" s="126"/>
      <c r="R37" s="126"/>
      <c r="S37" s="126"/>
      <c r="T37" s="126"/>
    </row>
    <row r="38" spans="2:20" x14ac:dyDescent="0.25">
      <c r="G38" s="126"/>
      <c r="H38" s="126"/>
      <c r="I38" s="126"/>
      <c r="J38" s="126"/>
      <c r="K38" s="126"/>
      <c r="L38" s="126"/>
      <c r="M38" s="126"/>
      <c r="N38" s="126"/>
      <c r="O38" s="126"/>
      <c r="P38" s="126"/>
      <c r="Q38" s="126"/>
      <c r="R38" s="126"/>
      <c r="S38" s="126"/>
      <c r="T38" s="126"/>
    </row>
    <row r="39" spans="2:20" x14ac:dyDescent="0.25">
      <c r="F39" s="108"/>
      <c r="G39" s="108"/>
      <c r="H39" s="108"/>
      <c r="I39" s="108"/>
      <c r="J39" s="108"/>
      <c r="K39" s="108"/>
      <c r="L39" s="108"/>
      <c r="M39" s="108"/>
      <c r="N39" s="108"/>
      <c r="O39" s="108"/>
      <c r="P39" s="108"/>
      <c r="Q39" s="108"/>
      <c r="R39" s="108"/>
      <c r="S39" s="108"/>
      <c r="T39" s="108"/>
    </row>
    <row r="40" spans="2:20" x14ac:dyDescent="0.25">
      <c r="D40" s="118"/>
    </row>
  </sheetData>
  <dataValidations disablePrompts="1" count="3">
    <dataValidation type="list" allowBlank="1" showInputMessage="1" showErrorMessage="1" sqref="E5">
      <formula1>"1,2,3,4,5,6,7,8,9,10,11,12,13,14,15,16,17,18,19,20,21,22,23,24,25,26,27,28,29,30"</formula1>
    </dataValidation>
    <dataValidation type="list" allowBlank="1" showInputMessage="1" showErrorMessage="1" sqref="G5">
      <formula1>MeasureList</formula1>
    </dataValidation>
    <dataValidation type="decimal" operator="greaterThan" allowBlank="1" showInputMessage="1" showErrorMessage="1" sqref="C5:D5">
      <formula1>0</formula1>
    </dataValidation>
  </dataValidations>
  <pageMargins left="0.75" right="0.5" top="0.76" bottom="0.79" header="0.5" footer="0.26"/>
  <pageSetup scale="34" orientation="landscape" r:id="rId1"/>
  <headerFooter alignWithMargins="0">
    <oddFooter>&amp;L&amp;F&amp;C&amp;A&amp;RPSE Advice No. 2018-48 &amp;D
Page &amp;P of &amp;N</oddFooter>
  </headerFooter>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6" tint="0.39997558519241921"/>
    <pageSetUpPr fitToPage="1"/>
  </sheetPr>
  <dimension ref="B2:F41"/>
  <sheetViews>
    <sheetView workbookViewId="0">
      <selection activeCell="D5" sqref="D5"/>
    </sheetView>
  </sheetViews>
  <sheetFormatPr defaultRowHeight="13.2" x14ac:dyDescent="0.25"/>
  <cols>
    <col min="1" max="1" width="2.5546875" customWidth="1"/>
    <col min="2" max="2" width="12.44140625" customWidth="1"/>
    <col min="3" max="4" width="14.5546875" customWidth="1"/>
    <col min="5" max="5" width="12.44140625" customWidth="1"/>
  </cols>
  <sheetData>
    <row r="2" spans="2:6" ht="15.6" x14ac:dyDescent="0.3">
      <c r="B2" s="5" t="str">
        <f>+FlatLoadShapeEnergy_perMWh!P4</f>
        <v>Levelized Cost Effectiveness Standard-Energy</v>
      </c>
    </row>
    <row r="3" spans="2:6" ht="13.8" x14ac:dyDescent="0.25">
      <c r="B3" s="348" t="s">
        <v>54</v>
      </c>
      <c r="C3" s="348"/>
      <c r="D3" s="35"/>
    </row>
    <row r="4" spans="2:6" x14ac:dyDescent="0.25">
      <c r="B4" s="349" t="str">
        <f>+FlatLoadShapeEnergy_perMWh!C6</f>
        <v xml:space="preserve"> Transmission Line Loss Reduction [4]</v>
      </c>
      <c r="C4" s="350"/>
      <c r="D4" s="150">
        <f>+FlatLoadShapeEnergy_perMWh!E6</f>
        <v>2.7E-2</v>
      </c>
      <c r="E4" s="35"/>
    </row>
    <row r="5" spans="2:6" x14ac:dyDescent="0.25">
      <c r="B5" s="351" t="s">
        <v>48</v>
      </c>
      <c r="C5" s="351"/>
      <c r="D5" s="151">
        <f>Rate_of_Return</f>
        <v>7.1599999999999997E-2</v>
      </c>
      <c r="E5" s="43"/>
    </row>
    <row r="6" spans="2:6" x14ac:dyDescent="0.25">
      <c r="B6" s="7"/>
      <c r="C6" s="29"/>
      <c r="D6" s="43"/>
      <c r="E6" s="1"/>
    </row>
    <row r="7" spans="2:6" x14ac:dyDescent="0.25">
      <c r="C7" s="2"/>
      <c r="D7" s="2"/>
    </row>
    <row r="8" spans="2:6" s="7" customFormat="1" ht="45.75" customHeight="1" x14ac:dyDescent="0.25">
      <c r="B8" s="6" t="s">
        <v>1</v>
      </c>
      <c r="C8" s="6" t="s">
        <v>77</v>
      </c>
      <c r="D8" s="30" t="s">
        <v>78</v>
      </c>
      <c r="E8"/>
      <c r="F8"/>
    </row>
    <row r="9" spans="2:6" x14ac:dyDescent="0.25">
      <c r="B9" s="8">
        <v>1</v>
      </c>
      <c r="C9" s="36">
        <f>+FlatLoadShapeEnergy_perMWh!P7</f>
        <v>35.530558818876962</v>
      </c>
      <c r="D9" s="149">
        <f t="shared" ref="D9:D27" si="0">C9/1000</f>
        <v>3.5530558818876963E-2</v>
      </c>
    </row>
    <row r="10" spans="2:6" x14ac:dyDescent="0.25">
      <c r="B10" s="8">
        <v>2</v>
      </c>
      <c r="C10" s="36">
        <f>+FlatLoadShapeEnergy_perMWh!P8</f>
        <v>35.765536138877657</v>
      </c>
      <c r="D10" s="149">
        <f t="shared" si="0"/>
        <v>3.576553613887766E-2</v>
      </c>
    </row>
    <row r="11" spans="2:6" x14ac:dyDescent="0.25">
      <c r="B11" s="8">
        <v>3</v>
      </c>
      <c r="C11" s="36">
        <f>+FlatLoadShapeEnergy_perMWh!P9</f>
        <v>36.631456488919632</v>
      </c>
      <c r="D11" s="149">
        <f t="shared" si="0"/>
        <v>3.6631456488919634E-2</v>
      </c>
    </row>
    <row r="12" spans="2:6" x14ac:dyDescent="0.25">
      <c r="B12" s="8">
        <v>4</v>
      </c>
      <c r="C12" s="36">
        <f>+FlatLoadShapeEnergy_perMWh!P10</f>
        <v>38.092824875855044</v>
      </c>
      <c r="D12" s="149">
        <f t="shared" si="0"/>
        <v>3.8092824875855046E-2</v>
      </c>
    </row>
    <row r="13" spans="2:6" x14ac:dyDescent="0.25">
      <c r="B13" s="8">
        <v>5</v>
      </c>
      <c r="C13" s="36">
        <f>+FlatLoadShapeEnergy_perMWh!P11</f>
        <v>39.219482944188876</v>
      </c>
      <c r="D13" s="149">
        <f t="shared" si="0"/>
        <v>3.9219482944188873E-2</v>
      </c>
    </row>
    <row r="14" spans="2:6" x14ac:dyDescent="0.25">
      <c r="B14" s="8">
        <v>6</v>
      </c>
      <c r="C14" s="36">
        <f>+FlatLoadShapeEnergy_perMWh!P12</f>
        <v>39.996381182941498</v>
      </c>
      <c r="D14" s="149">
        <f t="shared" si="0"/>
        <v>3.99963811829415E-2</v>
      </c>
    </row>
    <row r="15" spans="2:6" x14ac:dyDescent="0.25">
      <c r="B15" s="8">
        <v>7</v>
      </c>
      <c r="C15" s="36">
        <f>+FlatLoadShapeEnergy_perMWh!P13</f>
        <v>40.487828446808294</v>
      </c>
      <c r="D15" s="149">
        <f t="shared" si="0"/>
        <v>4.0487828446808295E-2</v>
      </c>
    </row>
    <row r="16" spans="2:6" x14ac:dyDescent="0.25">
      <c r="B16" s="8">
        <v>8</v>
      </c>
      <c r="C16" s="36">
        <f>+FlatLoadShapeEnergy_perMWh!P14</f>
        <v>40.878386951691063</v>
      </c>
      <c r="D16" s="149">
        <f t="shared" si="0"/>
        <v>4.0878386951691062E-2</v>
      </c>
    </row>
    <row r="17" spans="2:4" x14ac:dyDescent="0.25">
      <c r="B17" s="8">
        <v>9</v>
      </c>
      <c r="C17" s="36">
        <f>+FlatLoadShapeEnergy_perMWh!P15</f>
        <v>41.24005651462975</v>
      </c>
      <c r="D17" s="149">
        <f t="shared" si="0"/>
        <v>4.1240056514629753E-2</v>
      </c>
    </row>
    <row r="18" spans="2:4" x14ac:dyDescent="0.25">
      <c r="B18" s="8">
        <v>10</v>
      </c>
      <c r="C18" s="36">
        <f>+FlatLoadShapeEnergy_perMWh!P16</f>
        <v>41.676848426425657</v>
      </c>
      <c r="D18" s="149">
        <f t="shared" si="0"/>
        <v>4.1676848426425654E-2</v>
      </c>
    </row>
    <row r="19" spans="2:4" x14ac:dyDescent="0.25">
      <c r="B19" s="8">
        <v>11</v>
      </c>
      <c r="C19" s="36">
        <f>+FlatLoadShapeEnergy_perMWh!P17</f>
        <v>42.080836888253408</v>
      </c>
      <c r="D19" s="149">
        <f t="shared" si="0"/>
        <v>4.2080836888253412E-2</v>
      </c>
    </row>
    <row r="20" spans="2:4" x14ac:dyDescent="0.25">
      <c r="B20" s="8">
        <v>12</v>
      </c>
      <c r="C20" s="36">
        <f>+FlatLoadShapeEnergy_perMWh!P18</f>
        <v>42.56961772661888</v>
      </c>
      <c r="D20" s="149">
        <f t="shared" si="0"/>
        <v>4.256961772661888E-2</v>
      </c>
    </row>
    <row r="21" spans="2:4" x14ac:dyDescent="0.25">
      <c r="B21" s="8">
        <v>13</v>
      </c>
      <c r="C21" s="36">
        <f>+FlatLoadShapeEnergy_perMWh!P19</f>
        <v>43.003381538289517</v>
      </c>
      <c r="D21" s="149">
        <f t="shared" si="0"/>
        <v>4.3003381538289517E-2</v>
      </c>
    </row>
    <row r="22" spans="2:4" x14ac:dyDescent="0.25">
      <c r="B22" s="8">
        <v>14</v>
      </c>
      <c r="C22" s="36">
        <f>+FlatLoadShapeEnergy_perMWh!P20</f>
        <v>43.434668111398672</v>
      </c>
      <c r="D22" s="149">
        <f t="shared" si="0"/>
        <v>4.3434668111398671E-2</v>
      </c>
    </row>
    <row r="23" spans="2:4" x14ac:dyDescent="0.25">
      <c r="B23" s="274">
        <v>15</v>
      </c>
      <c r="C23" s="275">
        <f>+FlatLoadShapeEnergy_perMWh!P21</f>
        <v>43.823684792235859</v>
      </c>
      <c r="D23" s="149">
        <f>C23/1000</f>
        <v>4.3823684792235862E-2</v>
      </c>
    </row>
    <row r="24" spans="2:4" x14ac:dyDescent="0.25">
      <c r="B24" s="8">
        <v>16</v>
      </c>
      <c r="C24" s="36">
        <f>+FlatLoadShapeEnergy_perMWh!P22</f>
        <v>44.225764930757812</v>
      </c>
      <c r="D24" s="149">
        <f t="shared" si="0"/>
        <v>4.4225764930757812E-2</v>
      </c>
    </row>
    <row r="25" spans="2:4" x14ac:dyDescent="0.25">
      <c r="B25" s="8">
        <v>17</v>
      </c>
      <c r="C25" s="36">
        <f>+FlatLoadShapeEnergy_perMWh!P23</f>
        <v>44.599419799490441</v>
      </c>
      <c r="D25" s="149">
        <f t="shared" si="0"/>
        <v>4.459941979949044E-2</v>
      </c>
    </row>
    <row r="26" spans="2:4" x14ac:dyDescent="0.25">
      <c r="B26" s="8">
        <v>18</v>
      </c>
      <c r="C26" s="36">
        <f>+FlatLoadShapeEnergy_perMWh!P24</f>
        <v>45.006533833201956</v>
      </c>
      <c r="D26" s="149">
        <f t="shared" si="0"/>
        <v>4.5006533833201953E-2</v>
      </c>
    </row>
    <row r="27" spans="2:4" x14ac:dyDescent="0.25">
      <c r="B27" s="8">
        <v>19</v>
      </c>
      <c r="C27" s="36">
        <f>+FlatLoadShapeEnergy_perMWh!P25</f>
        <v>45.424088630100897</v>
      </c>
      <c r="D27" s="149">
        <f t="shared" si="0"/>
        <v>4.5424088630100896E-2</v>
      </c>
    </row>
    <row r="28" spans="2:4" x14ac:dyDescent="0.25">
      <c r="B28" s="8">
        <v>20</v>
      </c>
      <c r="C28" s="36">
        <f>+FlatLoadShapeEnergy_perMWh!P26</f>
        <v>45.840870063822138</v>
      </c>
      <c r="D28" s="149">
        <f t="shared" ref="D28:D29" si="1">C28/1000</f>
        <v>4.5840870063822141E-2</v>
      </c>
    </row>
    <row r="29" spans="2:4" x14ac:dyDescent="0.25">
      <c r="B29" s="8">
        <v>21</v>
      </c>
      <c r="C29" s="36">
        <f>+FlatLoadShapeEnergy_perMWh!P27</f>
        <v>46.333941230906667</v>
      </c>
      <c r="D29" s="149">
        <f t="shared" si="1"/>
        <v>4.6333941230906665E-2</v>
      </c>
    </row>
    <row r="39" spans="2:3" x14ac:dyDescent="0.25">
      <c r="C39" s="9"/>
    </row>
    <row r="40" spans="2:3" x14ac:dyDescent="0.25">
      <c r="C40" s="10"/>
    </row>
    <row r="41" spans="2:3" s="13" customFormat="1" x14ac:dyDescent="0.25">
      <c r="B41" s="11"/>
      <c r="C41" s="12"/>
    </row>
  </sheetData>
  <mergeCells count="3">
    <mergeCell ref="B3:C3"/>
    <mergeCell ref="B4:C4"/>
    <mergeCell ref="B5:C5"/>
  </mergeCells>
  <phoneticPr fontId="0" type="noConversion"/>
  <pageMargins left="0.75" right="0.5" top="0.76" bottom="0.79" header="0.5" footer="0.26"/>
  <pageSetup orientation="landscape" r:id="rId1"/>
  <headerFooter alignWithMargins="0">
    <oddFooter>&amp;L&amp;F&amp;C&amp;A&amp;RPSE Advice No. 2018-48 &amp;D
Page &amp;P of &amp;N</oddFooter>
  </headerFooter>
  <customProperties>
    <customPr name="_pios_id" r:id="rId2"/>
  </customPropertie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6" tint="0.39997558519241921"/>
    <pageSetUpPr fitToPage="1"/>
  </sheetPr>
  <dimension ref="B1:U33"/>
  <sheetViews>
    <sheetView topLeftCell="A19" workbookViewId="0">
      <selection activeCell="C30" sqref="C30"/>
    </sheetView>
  </sheetViews>
  <sheetFormatPr defaultColWidth="14.44140625" defaultRowHeight="15" x14ac:dyDescent="0.25"/>
  <cols>
    <col min="1" max="1" width="2.5546875" style="186" customWidth="1"/>
    <col min="2" max="2" width="4" style="186" bestFit="1" customWidth="1"/>
    <col min="3" max="3" width="30.88671875" style="186" customWidth="1"/>
    <col min="4" max="4" width="2.5546875" style="186" customWidth="1"/>
    <col min="5" max="5" width="10.44140625" style="186" customWidth="1"/>
    <col min="6" max="6" width="2.5546875" style="186" customWidth="1"/>
    <col min="7" max="7" width="9.44140625" style="186" customWidth="1"/>
    <col min="8" max="8" width="12.5546875" style="186" customWidth="1"/>
    <col min="9" max="9" width="17.5546875" style="186" customWidth="1"/>
    <col min="10" max="10" width="15.44140625" style="186" customWidth="1"/>
    <col min="11" max="11" width="17" style="186" customWidth="1"/>
    <col min="12" max="12" width="14.44140625" style="186" customWidth="1"/>
    <col min="13" max="13" width="16.44140625" style="186" bestFit="1" customWidth="1"/>
    <col min="14" max="14" width="15.5546875" style="186" customWidth="1"/>
    <col min="15" max="16" width="16.109375" style="186" customWidth="1"/>
    <col min="17" max="16384" width="14.44140625" style="186"/>
  </cols>
  <sheetData>
    <row r="1" spans="2:21" s="180" customFormat="1" x14ac:dyDescent="0.25"/>
    <row r="2" spans="2:21" s="180" customFormat="1" ht="15.6" x14ac:dyDescent="0.3">
      <c r="B2" s="181"/>
      <c r="C2" s="181"/>
      <c r="D2" s="181"/>
      <c r="E2" s="181"/>
      <c r="F2" s="181"/>
      <c r="G2" s="181"/>
      <c r="H2" s="181"/>
      <c r="I2" s="181"/>
      <c r="J2" s="182"/>
      <c r="K2" s="181"/>
      <c r="L2" s="181"/>
      <c r="M2" s="183"/>
      <c r="N2" s="181"/>
      <c r="O2" s="181"/>
      <c r="P2" s="181"/>
      <c r="Q2" s="181"/>
      <c r="R2" s="181"/>
      <c r="S2" s="181"/>
      <c r="T2" s="181"/>
      <c r="U2" s="181"/>
    </row>
    <row r="3" spans="2:21" ht="15.6" x14ac:dyDescent="0.3">
      <c r="B3" s="184"/>
      <c r="C3" s="184"/>
      <c r="D3" s="184"/>
      <c r="E3" s="184"/>
      <c r="F3" s="184"/>
      <c r="G3" s="184"/>
      <c r="H3" s="184"/>
      <c r="I3" s="184"/>
      <c r="J3" s="22"/>
      <c r="K3" s="181"/>
      <c r="L3" s="181"/>
      <c r="M3" s="185"/>
      <c r="N3" s="184"/>
      <c r="O3" s="184"/>
      <c r="P3" s="184"/>
      <c r="Q3" s="184"/>
      <c r="R3" s="184"/>
      <c r="S3" s="184"/>
      <c r="T3" s="184"/>
      <c r="U3" s="184"/>
    </row>
    <row r="4" spans="2:21" ht="66" customHeight="1" x14ac:dyDescent="0.3">
      <c r="B4" s="184"/>
      <c r="C4" s="184"/>
      <c r="D4" s="184"/>
      <c r="E4" s="184"/>
      <c r="F4" s="184"/>
      <c r="G4" s="23" t="s">
        <v>15</v>
      </c>
      <c r="H4" s="24" t="s">
        <v>1</v>
      </c>
      <c r="I4" s="25" t="s">
        <v>30</v>
      </c>
      <c r="J4" s="24" t="s">
        <v>150</v>
      </c>
      <c r="K4" s="25" t="s">
        <v>50</v>
      </c>
      <c r="L4" s="25" t="s">
        <v>51</v>
      </c>
      <c r="M4" s="24" t="s">
        <v>52</v>
      </c>
      <c r="N4" s="24" t="s">
        <v>35</v>
      </c>
      <c r="O4" s="24" t="s">
        <v>36</v>
      </c>
      <c r="P4" s="24" t="s">
        <v>31</v>
      </c>
      <c r="Q4" s="24"/>
      <c r="R4" s="23"/>
      <c r="S4" s="24"/>
      <c r="T4" s="24"/>
      <c r="U4" s="24"/>
    </row>
    <row r="5" spans="2:21" ht="15.6" x14ac:dyDescent="0.3">
      <c r="B5" s="167"/>
      <c r="C5" s="167"/>
      <c r="D5" s="167"/>
      <c r="E5" s="167"/>
      <c r="F5" s="167"/>
      <c r="G5" s="26"/>
      <c r="H5" s="26" t="s">
        <v>20</v>
      </c>
      <c r="I5" s="26" t="s">
        <v>55</v>
      </c>
      <c r="J5" s="26" t="s">
        <v>55</v>
      </c>
      <c r="K5" s="26" t="s">
        <v>55</v>
      </c>
      <c r="L5" s="26" t="s">
        <v>55</v>
      </c>
      <c r="M5" s="26" t="s">
        <v>55</v>
      </c>
      <c r="N5" s="26" t="s">
        <v>55</v>
      </c>
      <c r="O5" s="26" t="s">
        <v>55</v>
      </c>
      <c r="P5" s="26" t="s">
        <v>55</v>
      </c>
      <c r="Q5" s="23"/>
      <c r="R5" s="23"/>
      <c r="S5" s="23"/>
      <c r="T5" s="23"/>
      <c r="U5" s="23"/>
    </row>
    <row r="6" spans="2:21" ht="15.6" x14ac:dyDescent="0.3">
      <c r="B6" s="167"/>
      <c r="C6" s="28" t="s">
        <v>149</v>
      </c>
      <c r="D6" s="28"/>
      <c r="E6" s="168">
        <v>2.7E-2</v>
      </c>
      <c r="F6" s="51"/>
      <c r="G6" s="152" t="s">
        <v>22</v>
      </c>
      <c r="H6" s="152" t="s">
        <v>23</v>
      </c>
      <c r="I6" s="152" t="s">
        <v>24</v>
      </c>
      <c r="J6" s="152" t="s">
        <v>25</v>
      </c>
      <c r="K6" s="152" t="s">
        <v>26</v>
      </c>
      <c r="L6" s="152" t="s">
        <v>32</v>
      </c>
      <c r="M6" s="152" t="s">
        <v>27</v>
      </c>
      <c r="N6" s="152" t="s">
        <v>28</v>
      </c>
      <c r="O6" s="152" t="s">
        <v>39</v>
      </c>
      <c r="P6" s="152" t="s">
        <v>74</v>
      </c>
      <c r="Q6" s="27"/>
      <c r="R6" s="23"/>
      <c r="S6" s="184"/>
      <c r="T6" s="27"/>
      <c r="U6" s="23"/>
    </row>
    <row r="7" spans="2:21" ht="15.6" x14ac:dyDescent="0.3">
      <c r="B7" s="34"/>
      <c r="C7" s="28" t="s">
        <v>48</v>
      </c>
      <c r="D7" s="28"/>
      <c r="E7" s="169">
        <f>Rate_of_Return</f>
        <v>7.1599999999999997E-2</v>
      </c>
      <c r="F7" s="170"/>
      <c r="G7" s="160">
        <f>'Energy Prices'!C6</f>
        <v>2024</v>
      </c>
      <c r="H7" s="155">
        <v>1</v>
      </c>
      <c r="I7" s="171">
        <f>'Energy Prices'!P6</f>
        <v>34.596454546131412</v>
      </c>
      <c r="J7" s="171">
        <f>I7*$E$6</f>
        <v>0.93410427274554808</v>
      </c>
      <c r="K7" s="171">
        <v>0</v>
      </c>
      <c r="L7" s="171">
        <v>0</v>
      </c>
      <c r="M7" s="171">
        <v>0</v>
      </c>
      <c r="N7" s="171">
        <f>(I7+J7+K7+L7+M7)/((1+$E$7)^H7)</f>
        <v>33.156549849642552</v>
      </c>
      <c r="O7" s="171">
        <f>N7</f>
        <v>33.156549849642552</v>
      </c>
      <c r="P7" s="171">
        <f>(-PMT($E$7,H7,(O7)))</f>
        <v>35.530558818876962</v>
      </c>
      <c r="Q7" s="172"/>
      <c r="R7" s="173"/>
      <c r="S7" s="174"/>
      <c r="T7" s="175"/>
      <c r="U7" s="175"/>
    </row>
    <row r="8" spans="2:21" ht="15.6" x14ac:dyDescent="0.3">
      <c r="B8" s="167"/>
      <c r="C8" s="28" t="s">
        <v>49</v>
      </c>
      <c r="D8" s="28"/>
      <c r="E8" s="169">
        <v>2.5000000000000001E-2</v>
      </c>
      <c r="F8" s="170"/>
      <c r="G8" s="38">
        <f>G7+1</f>
        <v>2025</v>
      </c>
      <c r="H8" s="39">
        <v>2</v>
      </c>
      <c r="I8" s="176">
        <f>'Energy Prices'!P7</f>
        <v>35.070436061334384</v>
      </c>
      <c r="J8" s="176">
        <f>I8*$E$6</f>
        <v>0.94690177365602834</v>
      </c>
      <c r="K8" s="176">
        <f>+$K$7</f>
        <v>0</v>
      </c>
      <c r="L8" s="176">
        <v>0</v>
      </c>
      <c r="M8" s="176">
        <v>0</v>
      </c>
      <c r="N8" s="176">
        <f t="shared" ref="N8:N25" si="0">(I8+J8+K8+L8+M8)/((1+$E$7)^H8)</f>
        <v>31.365065556778905</v>
      </c>
      <c r="O8" s="176">
        <f t="shared" ref="O8:O25" si="1">N8+O7</f>
        <v>64.521615406421461</v>
      </c>
      <c r="P8" s="171">
        <f>(-PMT($E$7,H8,(O8)))</f>
        <v>35.765536138877657</v>
      </c>
      <c r="Q8" s="172"/>
      <c r="R8" s="173"/>
      <c r="S8" s="174"/>
      <c r="T8" s="175"/>
      <c r="U8" s="175"/>
    </row>
    <row r="9" spans="2:21" ht="15.6" x14ac:dyDescent="0.3">
      <c r="B9" s="167"/>
      <c r="C9" s="28"/>
      <c r="D9" s="28"/>
      <c r="E9" s="170"/>
      <c r="F9" s="177"/>
      <c r="G9" s="38">
        <f t="shared" ref="G9:G27" si="2">G8+1</f>
        <v>2026</v>
      </c>
      <c r="H9" s="39">
        <v>3</v>
      </c>
      <c r="I9" s="176">
        <f>'Energy Prices'!P8</f>
        <v>37.540151969641975</v>
      </c>
      <c r="J9" s="176">
        <f>I9*$E$6</f>
        <v>1.0135841031803334</v>
      </c>
      <c r="K9" s="176">
        <f t="shared" ref="K9:K27" si="3">+$K$7</f>
        <v>0</v>
      </c>
      <c r="L9" s="176">
        <v>0</v>
      </c>
      <c r="M9" s="176">
        <v>0</v>
      </c>
      <c r="N9" s="176">
        <f t="shared" si="0"/>
        <v>31.330574261393469</v>
      </c>
      <c r="O9" s="176">
        <f t="shared" si="1"/>
        <v>95.852189667814926</v>
      </c>
      <c r="P9" s="171">
        <f t="shared" ref="P9:P27" si="4">(-PMT($E$7,H9,(O9)))</f>
        <v>36.631456488919632</v>
      </c>
      <c r="Q9" s="172"/>
      <c r="R9" s="173"/>
      <c r="S9" s="174"/>
      <c r="T9" s="175"/>
      <c r="U9" s="175"/>
    </row>
    <row r="10" spans="2:21" x14ac:dyDescent="0.25">
      <c r="B10" s="167"/>
      <c r="C10" s="167"/>
      <c r="D10" s="167"/>
      <c r="E10" s="167"/>
      <c r="F10" s="170"/>
      <c r="G10" s="38">
        <f t="shared" si="2"/>
        <v>2027</v>
      </c>
      <c r="H10" s="39">
        <v>4</v>
      </c>
      <c r="I10" s="176">
        <f>'Energy Prices'!P9</f>
        <v>42.001204945392658</v>
      </c>
      <c r="J10" s="176">
        <f t="shared" ref="J10:J25" si="5">I10*$E$6</f>
        <v>1.1340325335256018</v>
      </c>
      <c r="K10" s="176">
        <f t="shared" si="3"/>
        <v>0</v>
      </c>
      <c r="L10" s="176">
        <v>0</v>
      </c>
      <c r="M10" s="176">
        <v>0</v>
      </c>
      <c r="N10" s="176">
        <f t="shared" si="0"/>
        <v>32.711568864525816</v>
      </c>
      <c r="O10" s="176">
        <f t="shared" si="1"/>
        <v>128.56375853234073</v>
      </c>
      <c r="P10" s="171">
        <f t="shared" si="4"/>
        <v>38.092824875855044</v>
      </c>
      <c r="Q10" s="172"/>
      <c r="R10" s="173"/>
      <c r="S10" s="174"/>
      <c r="T10" s="175"/>
      <c r="U10" s="175"/>
    </row>
    <row r="11" spans="2:21" x14ac:dyDescent="0.25">
      <c r="B11" s="167"/>
      <c r="C11" s="167"/>
      <c r="D11" s="167"/>
      <c r="E11" s="167"/>
      <c r="F11" s="170"/>
      <c r="G11" s="38">
        <f t="shared" si="2"/>
        <v>2028</v>
      </c>
      <c r="H11" s="39">
        <v>5</v>
      </c>
      <c r="I11" s="176">
        <f>'Energy Prices'!P10</f>
        <v>43.420310196516546</v>
      </c>
      <c r="J11" s="176">
        <f t="shared" si="5"/>
        <v>1.1723483753059467</v>
      </c>
      <c r="K11" s="176">
        <f t="shared" si="3"/>
        <v>0</v>
      </c>
      <c r="L11" s="176">
        <v>0</v>
      </c>
      <c r="M11" s="176">
        <v>0</v>
      </c>
      <c r="N11" s="176">
        <f t="shared" si="0"/>
        <v>31.557300158899785</v>
      </c>
      <c r="O11" s="176">
        <f t="shared" si="1"/>
        <v>160.12105869124051</v>
      </c>
      <c r="P11" s="171">
        <f t="shared" si="4"/>
        <v>39.219482944188876</v>
      </c>
      <c r="Q11" s="172"/>
      <c r="R11" s="173"/>
      <c r="S11" s="174"/>
      <c r="T11" s="175"/>
      <c r="U11" s="175"/>
    </row>
    <row r="12" spans="2:21" x14ac:dyDescent="0.25">
      <c r="B12" s="184"/>
      <c r="C12" s="184"/>
      <c r="D12" s="184"/>
      <c r="E12" s="184"/>
      <c r="F12" s="167"/>
      <c r="G12" s="38">
        <f t="shared" si="2"/>
        <v>2029</v>
      </c>
      <c r="H12" s="39">
        <v>6</v>
      </c>
      <c r="I12" s="176">
        <f>'Energy Prices'!P11</f>
        <v>43.621537398628909</v>
      </c>
      <c r="J12" s="176">
        <f t="shared" si="5"/>
        <v>1.1777815097629805</v>
      </c>
      <c r="K12" s="176">
        <f t="shared" si="3"/>
        <v>0</v>
      </c>
      <c r="L12" s="176">
        <v>0</v>
      </c>
      <c r="M12" s="176">
        <v>0</v>
      </c>
      <c r="N12" s="176">
        <f>(I12+J12+K12+L12+M12)/((1+$E$7)^H12)</f>
        <v>29.585245796429803</v>
      </c>
      <c r="O12" s="176">
        <f t="shared" si="1"/>
        <v>189.70630448767031</v>
      </c>
      <c r="P12" s="171">
        <f t="shared" si="4"/>
        <v>39.996381182941498</v>
      </c>
      <c r="Q12" s="172"/>
      <c r="R12" s="173"/>
      <c r="S12" s="174"/>
      <c r="T12" s="175"/>
      <c r="U12" s="175"/>
    </row>
    <row r="13" spans="2:21" x14ac:dyDescent="0.25">
      <c r="B13" s="184"/>
      <c r="C13" s="184"/>
      <c r="D13" s="184"/>
      <c r="E13" s="184"/>
      <c r="F13" s="167"/>
      <c r="G13" s="38">
        <f t="shared" si="2"/>
        <v>2030</v>
      </c>
      <c r="H13" s="39">
        <v>7</v>
      </c>
      <c r="I13" s="176">
        <f>'Energy Prices'!P12</f>
        <v>43.106352287817842</v>
      </c>
      <c r="J13" s="176">
        <f t="shared" si="5"/>
        <v>1.1638715117710816</v>
      </c>
      <c r="K13" s="176">
        <f t="shared" si="3"/>
        <v>0</v>
      </c>
      <c r="L13" s="176">
        <v>0</v>
      </c>
      <c r="M13" s="176">
        <v>0</v>
      </c>
      <c r="N13" s="176">
        <f t="shared" si="0"/>
        <v>27.282413248359706</v>
      </c>
      <c r="O13" s="176">
        <f t="shared" si="1"/>
        <v>216.98871773603003</v>
      </c>
      <c r="P13" s="171">
        <f t="shared" si="4"/>
        <v>40.487828446808294</v>
      </c>
      <c r="Q13" s="172"/>
      <c r="R13" s="173"/>
      <c r="S13" s="174"/>
      <c r="T13" s="175"/>
      <c r="U13" s="175"/>
    </row>
    <row r="14" spans="2:21" x14ac:dyDescent="0.25">
      <c r="B14" s="184"/>
      <c r="C14" s="184"/>
      <c r="D14" s="184"/>
      <c r="E14" s="184"/>
      <c r="F14" s="170"/>
      <c r="G14" s="38">
        <f t="shared" si="2"/>
        <v>2031</v>
      </c>
      <c r="H14" s="39">
        <v>8</v>
      </c>
      <c r="I14" s="176">
        <f>'Energy Prices'!P13</f>
        <v>43.347656803115463</v>
      </c>
      <c r="J14" s="176">
        <f t="shared" si="5"/>
        <v>1.1703867336841174</v>
      </c>
      <c r="K14" s="176">
        <f t="shared" si="3"/>
        <v>0</v>
      </c>
      <c r="L14" s="176">
        <v>0</v>
      </c>
      <c r="M14" s="176">
        <v>0</v>
      </c>
      <c r="N14" s="176">
        <f>(I14+J14+K14+L14+M14)/((1+$E$7)^H14)</f>
        <v>25.602031664239224</v>
      </c>
      <c r="O14" s="176">
        <f t="shared" si="1"/>
        <v>242.59074940026926</v>
      </c>
      <c r="P14" s="171">
        <f t="shared" si="4"/>
        <v>40.878386951691063</v>
      </c>
      <c r="Q14" s="172"/>
      <c r="R14" s="173"/>
      <c r="S14" s="174"/>
      <c r="T14" s="175"/>
      <c r="U14" s="175"/>
    </row>
    <row r="15" spans="2:21" x14ac:dyDescent="0.25">
      <c r="B15" s="184"/>
      <c r="C15" s="184"/>
      <c r="D15" s="184"/>
      <c r="E15" s="184"/>
      <c r="F15" s="167"/>
      <c r="G15" s="38">
        <f t="shared" si="2"/>
        <v>2032</v>
      </c>
      <c r="H15" s="39">
        <v>9</v>
      </c>
      <c r="I15" s="176">
        <f>'Energy Prices'!P14</f>
        <v>44.050031525100842</v>
      </c>
      <c r="J15" s="176">
        <f t="shared" si="5"/>
        <v>1.1893508511777227</v>
      </c>
      <c r="K15" s="176">
        <f t="shared" si="3"/>
        <v>0</v>
      </c>
      <c r="L15" s="176">
        <v>0</v>
      </c>
      <c r="M15" s="176">
        <v>0</v>
      </c>
      <c r="N15" s="176">
        <f t="shared" si="0"/>
        <v>24.278526360616702</v>
      </c>
      <c r="O15" s="176">
        <f t="shared" si="1"/>
        <v>266.86927576088596</v>
      </c>
      <c r="P15" s="171">
        <f t="shared" si="4"/>
        <v>41.24005651462975</v>
      </c>
      <c r="Q15" s="172"/>
      <c r="R15" s="173"/>
      <c r="S15" s="174"/>
      <c r="T15" s="175"/>
      <c r="U15" s="175"/>
    </row>
    <row r="16" spans="2:21" x14ac:dyDescent="0.25">
      <c r="B16" s="184"/>
      <c r="C16" s="184"/>
      <c r="D16" s="184"/>
      <c r="E16" s="184"/>
      <c r="F16" s="178"/>
      <c r="G16" s="38">
        <f t="shared" si="2"/>
        <v>2033</v>
      </c>
      <c r="H16" s="39">
        <v>10</v>
      </c>
      <c r="I16" s="176">
        <f>'Energy Prices'!P15</f>
        <v>46.076699024393896</v>
      </c>
      <c r="J16" s="176">
        <f t="shared" si="5"/>
        <v>1.2440708736586352</v>
      </c>
      <c r="K16" s="176">
        <f t="shared" si="3"/>
        <v>0</v>
      </c>
      <c r="L16" s="176">
        <v>0</v>
      </c>
      <c r="M16" s="176">
        <v>0</v>
      </c>
      <c r="N16" s="176">
        <f t="shared" si="0"/>
        <v>23.698712508499906</v>
      </c>
      <c r="O16" s="176">
        <f t="shared" si="1"/>
        <v>290.56798826938586</v>
      </c>
      <c r="P16" s="171">
        <f t="shared" si="4"/>
        <v>41.676848426425657</v>
      </c>
      <c r="Q16" s="172"/>
      <c r="R16" s="173"/>
      <c r="S16" s="174"/>
      <c r="T16" s="175"/>
      <c r="U16" s="175"/>
    </row>
    <row r="17" spans="2:21" x14ac:dyDescent="0.25">
      <c r="B17" s="184"/>
      <c r="C17" s="184"/>
      <c r="D17" s="184"/>
      <c r="E17" s="184"/>
      <c r="F17" s="179"/>
      <c r="G17" s="38">
        <f t="shared" si="2"/>
        <v>2034</v>
      </c>
      <c r="H17" s="39">
        <v>11</v>
      </c>
      <c r="I17" s="176">
        <f>'Energy Prices'!P16</f>
        <v>46.842809324336052</v>
      </c>
      <c r="J17" s="176">
        <f t="shared" si="5"/>
        <v>1.2647558517570734</v>
      </c>
      <c r="K17" s="176">
        <f t="shared" si="3"/>
        <v>0</v>
      </c>
      <c r="L17" s="176">
        <v>0</v>
      </c>
      <c r="M17" s="176">
        <v>0</v>
      </c>
      <c r="N17" s="176">
        <f t="shared" si="0"/>
        <v>22.482966978396636</v>
      </c>
      <c r="O17" s="176">
        <f t="shared" si="1"/>
        <v>313.0509552477825</v>
      </c>
      <c r="P17" s="171">
        <f t="shared" si="4"/>
        <v>42.080836888253408</v>
      </c>
      <c r="Q17" s="172"/>
      <c r="R17" s="173"/>
      <c r="S17" s="174"/>
      <c r="T17" s="175"/>
      <c r="U17" s="175"/>
    </row>
    <row r="18" spans="2:21" x14ac:dyDescent="0.25">
      <c r="B18" s="184"/>
      <c r="C18" s="184"/>
      <c r="D18" s="184"/>
      <c r="E18" s="184"/>
      <c r="F18" s="179"/>
      <c r="G18" s="38">
        <f t="shared" si="2"/>
        <v>2035</v>
      </c>
      <c r="H18" s="39">
        <v>12</v>
      </c>
      <c r="I18" s="176">
        <f>'Energy Prices'!P17</f>
        <v>49.568788266486955</v>
      </c>
      <c r="J18" s="176">
        <f t="shared" si="5"/>
        <v>1.3383572831951478</v>
      </c>
      <c r="K18" s="176">
        <f t="shared" si="3"/>
        <v>0</v>
      </c>
      <c r="L18" s="176">
        <v>0</v>
      </c>
      <c r="M18" s="176">
        <v>0</v>
      </c>
      <c r="N18" s="176">
        <f t="shared" si="0"/>
        <v>22.201702908444599</v>
      </c>
      <c r="O18" s="176">
        <f t="shared" si="1"/>
        <v>335.25265815622708</v>
      </c>
      <c r="P18" s="171">
        <f t="shared" si="4"/>
        <v>42.56961772661888</v>
      </c>
      <c r="Q18" s="172"/>
      <c r="R18" s="173"/>
      <c r="S18" s="174"/>
      <c r="T18" s="175"/>
      <c r="U18" s="175"/>
    </row>
    <row r="19" spans="2:21" x14ac:dyDescent="0.25">
      <c r="B19" s="184"/>
      <c r="C19" s="184"/>
      <c r="D19" s="184"/>
      <c r="E19" s="184"/>
      <c r="F19" s="179"/>
      <c r="G19" s="38">
        <f t="shared" si="2"/>
        <v>2036</v>
      </c>
      <c r="H19" s="39">
        <v>13</v>
      </c>
      <c r="I19" s="176">
        <f>'Energy Prices'!P18</f>
        <v>50.045797038450637</v>
      </c>
      <c r="J19" s="176">
        <f>I19*$E$6</f>
        <v>1.3512365200381671</v>
      </c>
      <c r="K19" s="176">
        <f t="shared" si="3"/>
        <v>0</v>
      </c>
      <c r="L19" s="176">
        <v>0</v>
      </c>
      <c r="M19" s="176">
        <v>0</v>
      </c>
      <c r="N19" s="176">
        <f t="shared" si="0"/>
        <v>20.917649890950742</v>
      </c>
      <c r="O19" s="176">
        <f t="shared" si="1"/>
        <v>356.17030804717785</v>
      </c>
      <c r="P19" s="171">
        <f t="shared" si="4"/>
        <v>43.003381538289517</v>
      </c>
      <c r="Q19" s="172"/>
      <c r="R19" s="173"/>
      <c r="S19" s="174"/>
      <c r="T19" s="175"/>
      <c r="U19" s="175"/>
    </row>
    <row r="20" spans="2:21" x14ac:dyDescent="0.25">
      <c r="B20" s="184"/>
      <c r="C20" s="184"/>
      <c r="D20" s="184"/>
      <c r="E20" s="184"/>
      <c r="F20" s="179"/>
      <c r="G20" s="38">
        <f t="shared" si="2"/>
        <v>2037</v>
      </c>
      <c r="H20" s="39">
        <v>14</v>
      </c>
      <c r="I20" s="176">
        <f>'Energy Prices'!P19</f>
        <v>51.45092858290873</v>
      </c>
      <c r="J20" s="176">
        <f t="shared" si="5"/>
        <v>1.3891750717385356</v>
      </c>
      <c r="K20" s="176">
        <f t="shared" si="3"/>
        <v>0</v>
      </c>
      <c r="L20" s="176">
        <v>0</v>
      </c>
      <c r="M20" s="176">
        <v>0</v>
      </c>
      <c r="N20" s="176">
        <f t="shared" si="0"/>
        <v>20.068078527518864</v>
      </c>
      <c r="O20" s="176">
        <f t="shared" si="1"/>
        <v>376.23838657469673</v>
      </c>
      <c r="P20" s="171">
        <f t="shared" si="4"/>
        <v>43.434668111398672</v>
      </c>
      <c r="Q20" s="172"/>
      <c r="R20" s="173"/>
      <c r="S20" s="174"/>
      <c r="T20" s="175"/>
      <c r="U20" s="175"/>
    </row>
    <row r="21" spans="2:21" x14ac:dyDescent="0.25">
      <c r="B21" s="184"/>
      <c r="C21" s="184"/>
      <c r="D21" s="184"/>
      <c r="E21" s="184"/>
      <c r="F21" s="179"/>
      <c r="G21" s="37">
        <f t="shared" si="2"/>
        <v>2038</v>
      </c>
      <c r="H21" s="37">
        <v>15</v>
      </c>
      <c r="I21" s="176">
        <f>'Energy Prices'!P20</f>
        <v>51.929505413253892</v>
      </c>
      <c r="J21" s="176">
        <f t="shared" si="5"/>
        <v>1.402096646157855</v>
      </c>
      <c r="K21" s="176">
        <f t="shared" si="3"/>
        <v>0</v>
      </c>
      <c r="L21" s="176">
        <v>0</v>
      </c>
      <c r="M21" s="176">
        <v>0</v>
      </c>
      <c r="N21" s="176">
        <f>(I21+J21+K21+L21+M21)/((1+$E$7)^H21)</f>
        <v>18.901403608877384</v>
      </c>
      <c r="O21" s="176">
        <f>N21+O20</f>
        <v>395.13979018357412</v>
      </c>
      <c r="P21" s="171">
        <f t="shared" si="4"/>
        <v>43.823684792235859</v>
      </c>
      <c r="Q21" s="172"/>
      <c r="R21" s="173"/>
      <c r="S21" s="174"/>
      <c r="T21" s="175"/>
      <c r="U21" s="175"/>
    </row>
    <row r="22" spans="2:21" x14ac:dyDescent="0.25">
      <c r="B22" s="184"/>
      <c r="C22" s="184"/>
      <c r="D22" s="184"/>
      <c r="E22" s="184"/>
      <c r="F22" s="179"/>
      <c r="G22" s="38">
        <f t="shared" si="2"/>
        <v>2039</v>
      </c>
      <c r="H22" s="39">
        <v>16</v>
      </c>
      <c r="I22" s="176">
        <f>'Energy Prices'!P21</f>
        <v>53.736573937015542</v>
      </c>
      <c r="J22" s="176">
        <f t="shared" si="5"/>
        <v>1.4508874962994196</v>
      </c>
      <c r="K22" s="176">
        <f t="shared" si="3"/>
        <v>0</v>
      </c>
      <c r="L22" s="176">
        <v>0</v>
      </c>
      <c r="M22" s="176">
        <v>0</v>
      </c>
      <c r="N22" s="176">
        <f t="shared" si="0"/>
        <v>18.252280671478172</v>
      </c>
      <c r="O22" s="176">
        <f t="shared" si="1"/>
        <v>413.39207085505228</v>
      </c>
      <c r="P22" s="171">
        <f t="shared" si="4"/>
        <v>44.225764930757812</v>
      </c>
      <c r="Q22" s="172"/>
      <c r="R22" s="173"/>
      <c r="S22" s="174"/>
      <c r="T22" s="175"/>
      <c r="U22" s="175"/>
    </row>
    <row r="23" spans="2:21" x14ac:dyDescent="0.25">
      <c r="B23" s="184"/>
      <c r="C23" s="184"/>
      <c r="D23" s="184"/>
      <c r="E23" s="184"/>
      <c r="F23" s="179"/>
      <c r="G23" s="38">
        <f t="shared" si="2"/>
        <v>2040</v>
      </c>
      <c r="H23" s="39">
        <v>17</v>
      </c>
      <c r="I23" s="176">
        <f>'Energy Prices'!P22</f>
        <v>54.445913760881787</v>
      </c>
      <c r="J23" s="176">
        <f t="shared" si="5"/>
        <v>1.4700396715438082</v>
      </c>
      <c r="K23" s="176">
        <f t="shared" si="3"/>
        <v>0</v>
      </c>
      <c r="L23" s="176">
        <v>0</v>
      </c>
      <c r="M23" s="176">
        <v>0</v>
      </c>
      <c r="N23" s="176">
        <f t="shared" si="0"/>
        <v>17.257574250529473</v>
      </c>
      <c r="O23" s="176">
        <f t="shared" si="1"/>
        <v>430.64964510558173</v>
      </c>
      <c r="P23" s="171">
        <f t="shared" si="4"/>
        <v>44.599419799490441</v>
      </c>
      <c r="Q23" s="172"/>
      <c r="R23" s="173"/>
      <c r="S23" s="174"/>
      <c r="T23" s="175"/>
      <c r="U23" s="175"/>
    </row>
    <row r="24" spans="2:21" x14ac:dyDescent="0.25">
      <c r="B24" s="184"/>
      <c r="C24" s="184"/>
      <c r="D24" s="184"/>
      <c r="E24" s="184"/>
      <c r="F24" s="179"/>
      <c r="G24" s="38">
        <f t="shared" si="2"/>
        <v>2041</v>
      </c>
      <c r="H24" s="39">
        <v>18</v>
      </c>
      <c r="I24" s="176">
        <f>'Energy Prices'!P23</f>
        <v>57.113433817802267</v>
      </c>
      <c r="J24" s="176">
        <f t="shared" si="5"/>
        <v>1.5420627130806612</v>
      </c>
      <c r="K24" s="176">
        <f t="shared" si="3"/>
        <v>0</v>
      </c>
      <c r="L24" s="176">
        <v>0</v>
      </c>
      <c r="M24" s="176">
        <v>0</v>
      </c>
      <c r="N24" s="176">
        <f t="shared" si="0"/>
        <v>16.893515191473842</v>
      </c>
      <c r="O24" s="176">
        <f t="shared" si="1"/>
        <v>447.54316029705558</v>
      </c>
      <c r="P24" s="171">
        <f t="shared" si="4"/>
        <v>45.006533833201956</v>
      </c>
      <c r="Q24" s="172"/>
      <c r="R24" s="173"/>
      <c r="S24" s="174"/>
      <c r="T24" s="175"/>
      <c r="U24" s="175"/>
    </row>
    <row r="25" spans="2:21" x14ac:dyDescent="0.25">
      <c r="B25" s="184"/>
      <c r="C25" s="184"/>
      <c r="D25" s="184"/>
      <c r="E25" s="184"/>
      <c r="F25" s="179"/>
      <c r="G25" s="38">
        <f t="shared" si="2"/>
        <v>2042</v>
      </c>
      <c r="H25" s="39">
        <v>19</v>
      </c>
      <c r="I25" s="176">
        <f>'Energy Prices'!P24</f>
        <v>59.272512208452937</v>
      </c>
      <c r="J25" s="176">
        <f t="shared" si="5"/>
        <v>1.6003578296282293</v>
      </c>
      <c r="K25" s="176">
        <f t="shared" si="3"/>
        <v>0</v>
      </c>
      <c r="L25" s="176">
        <v>0</v>
      </c>
      <c r="M25" s="176">
        <v>0</v>
      </c>
      <c r="N25" s="176">
        <f t="shared" si="0"/>
        <v>16.360718963040522</v>
      </c>
      <c r="O25" s="176">
        <f t="shared" si="1"/>
        <v>463.90387926009612</v>
      </c>
      <c r="P25" s="171">
        <f t="shared" si="4"/>
        <v>45.424088630100897</v>
      </c>
      <c r="Q25" s="172"/>
      <c r="R25" s="173"/>
      <c r="S25" s="174"/>
      <c r="T25" s="175"/>
      <c r="U25" s="175"/>
    </row>
    <row r="26" spans="2:21" x14ac:dyDescent="0.25">
      <c r="B26" s="184"/>
      <c r="C26" s="184"/>
      <c r="D26" s="184"/>
      <c r="E26" s="184"/>
      <c r="F26" s="179"/>
      <c r="G26" s="38">
        <f t="shared" si="2"/>
        <v>2043</v>
      </c>
      <c r="H26" s="39">
        <v>20</v>
      </c>
      <c r="I26" s="176">
        <f>'Energy Prices'!P25</f>
        <v>61.160414269182276</v>
      </c>
      <c r="J26" s="176">
        <f t="shared" ref="J26" si="6">I26*$E$6</f>
        <v>1.6513311852679213</v>
      </c>
      <c r="K26" s="176">
        <f t="shared" si="3"/>
        <v>0</v>
      </c>
      <c r="L26" s="176">
        <v>0</v>
      </c>
      <c r="M26" s="176">
        <v>0</v>
      </c>
      <c r="N26" s="176">
        <f t="shared" ref="N26" si="7">(I26+J26+K26+L26+M26)/((1+$E$7)^H26)</f>
        <v>15.753852078012141</v>
      </c>
      <c r="O26" s="176">
        <f t="shared" ref="O26" si="8">N26+O25</f>
        <v>479.65773133810825</v>
      </c>
      <c r="P26" s="171">
        <f t="shared" si="4"/>
        <v>45.840870063822138</v>
      </c>
      <c r="Q26" s="172"/>
      <c r="R26" s="173"/>
      <c r="S26" s="174"/>
      <c r="T26" s="175"/>
      <c r="U26" s="175"/>
    </row>
    <row r="27" spans="2:21" x14ac:dyDescent="0.25">
      <c r="C27" s="184"/>
      <c r="D27" s="184"/>
      <c r="E27" s="187"/>
      <c r="F27" s="184"/>
      <c r="G27" s="38">
        <f t="shared" si="2"/>
        <v>2044</v>
      </c>
      <c r="H27" s="37">
        <v>21</v>
      </c>
      <c r="I27" s="176">
        <f>'Energy Prices'!P26</f>
        <v>66.579513008295208</v>
      </c>
      <c r="J27" s="176">
        <f>I27*$E$6</f>
        <v>1.7976468512239705</v>
      </c>
      <c r="K27" s="176">
        <f t="shared" si="3"/>
        <v>0</v>
      </c>
      <c r="L27" s="176">
        <v>0</v>
      </c>
      <c r="M27" s="176">
        <v>0</v>
      </c>
      <c r="N27" s="176">
        <f>(I27+J27+K27+L27+M27)/((1+$E$7)^H27)</f>
        <v>16.003841965003421</v>
      </c>
      <c r="O27" s="176">
        <f>N27+O26</f>
        <v>495.66157330311165</v>
      </c>
      <c r="P27" s="171">
        <f t="shared" si="4"/>
        <v>46.333941230906667</v>
      </c>
      <c r="Q27" s="172"/>
      <c r="R27" s="173"/>
      <c r="S27" s="174"/>
      <c r="T27" s="175"/>
      <c r="U27" s="175"/>
    </row>
    <row r="28" spans="2:21" x14ac:dyDescent="0.25">
      <c r="C28" s="184"/>
      <c r="D28" s="184"/>
      <c r="E28" s="187"/>
      <c r="F28" s="184"/>
      <c r="G28" s="38"/>
      <c r="H28" s="37"/>
      <c r="I28" s="184"/>
      <c r="J28" s="184"/>
      <c r="K28" s="184"/>
      <c r="L28" s="184"/>
      <c r="M28" s="184"/>
      <c r="N28" s="184"/>
      <c r="O28" s="184"/>
      <c r="P28" s="184"/>
      <c r="Q28" s="172"/>
      <c r="R28" s="173"/>
      <c r="S28" s="174"/>
      <c r="T28" s="175"/>
      <c r="U28" s="175"/>
    </row>
    <row r="29" spans="2:21" ht="78.75" customHeight="1" x14ac:dyDescent="0.3">
      <c r="B29" s="28" t="s">
        <v>25</v>
      </c>
      <c r="C29" s="338" t="s">
        <v>170</v>
      </c>
      <c r="D29" s="184"/>
      <c r="E29" s="187"/>
      <c r="F29" s="184"/>
      <c r="H29" s="184"/>
      <c r="I29" s="184"/>
      <c r="J29" s="184"/>
      <c r="K29" s="184"/>
      <c r="L29" s="184"/>
      <c r="M29" s="184"/>
      <c r="N29" s="184"/>
      <c r="O29" s="184"/>
      <c r="P29" s="184"/>
      <c r="Q29" s="172"/>
      <c r="R29" s="173"/>
      <c r="S29" s="174"/>
      <c r="T29" s="175"/>
      <c r="U29" s="175"/>
    </row>
    <row r="30" spans="2:21" ht="15.6" x14ac:dyDescent="0.3">
      <c r="B30" s="28"/>
      <c r="C30" s="339" t="s">
        <v>171</v>
      </c>
      <c r="D30" s="184"/>
      <c r="E30" s="187"/>
      <c r="F30" s="184"/>
      <c r="H30" s="184"/>
      <c r="I30" s="184"/>
      <c r="J30" s="184"/>
      <c r="K30" s="184"/>
      <c r="L30" s="184"/>
      <c r="M30" s="184"/>
      <c r="N30" s="184"/>
      <c r="O30" s="184"/>
      <c r="P30" s="184"/>
      <c r="Q30" s="172"/>
      <c r="R30" s="173"/>
      <c r="S30" s="174"/>
      <c r="T30" s="175"/>
      <c r="U30" s="175"/>
    </row>
    <row r="31" spans="2:21" ht="15.6" x14ac:dyDescent="0.3">
      <c r="B31" s="28"/>
      <c r="C31" s="53"/>
      <c r="D31" s="53"/>
      <c r="F31" s="184"/>
      <c r="Q31" s="184"/>
      <c r="R31" s="184"/>
      <c r="S31" s="184"/>
      <c r="T31" s="184"/>
      <c r="U31" s="184"/>
    </row>
    <row r="32" spans="2:21" ht="15.6" x14ac:dyDescent="0.3">
      <c r="B32" s="22"/>
    </row>
    <row r="33" spans="2:2" ht="15.6" x14ac:dyDescent="0.3">
      <c r="B33" s="28"/>
    </row>
  </sheetData>
  <phoneticPr fontId="14" type="noConversion"/>
  <hyperlinks>
    <hyperlink ref="C30" r:id="rId1" display="http://www.oasis.oati.com/woa/docs/PSEI/PSEIdocs/PSE_Current_OATT_Effective_06.01.2023.pdf"/>
  </hyperlinks>
  <pageMargins left="0.75" right="0.5" top="0.76" bottom="0.79" header="0.5" footer="0.26"/>
  <pageSetup scale="63" orientation="landscape" r:id="rId2"/>
  <headerFooter alignWithMargins="0">
    <oddFooter>&amp;L&amp;F&amp;C&amp;A&amp;RPSE Advice No. 2018-48 &amp;D
Page &amp;P of &amp;N</oddFooter>
  </headerFooter>
  <customProperties>
    <customPr name="_pios_id" r:id="rId3"/>
  </customPropertie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9" tint="0.39997558519241921"/>
    <pageSetUpPr fitToPage="1"/>
  </sheetPr>
  <dimension ref="A1:X31"/>
  <sheetViews>
    <sheetView topLeftCell="A12" workbookViewId="0">
      <selection activeCell="C32" sqref="C32"/>
    </sheetView>
  </sheetViews>
  <sheetFormatPr defaultColWidth="9.109375" defaultRowHeight="15" x14ac:dyDescent="0.25"/>
  <cols>
    <col min="1" max="1" width="2.5546875" style="33" customWidth="1"/>
    <col min="2" max="2" width="25.5546875" style="33" customWidth="1"/>
    <col min="3" max="3" width="17.44140625" style="33" customWidth="1"/>
    <col min="4" max="4" width="15.5546875" style="33" customWidth="1"/>
    <col min="5" max="5" width="2.5546875" style="33" customWidth="1"/>
    <col min="6" max="6" width="9.5546875" style="33" customWidth="1"/>
    <col min="7" max="7" width="16.5546875" style="33" customWidth="1"/>
    <col min="8" max="8" width="16.44140625" style="44" customWidth="1"/>
    <col min="9" max="9" width="18.5546875" style="33" customWidth="1"/>
    <col min="10" max="10" width="19" style="33" customWidth="1"/>
    <col min="11" max="13" width="22.44140625" style="33" customWidth="1"/>
    <col min="14" max="14" width="2.5546875" style="33" customWidth="1"/>
    <col min="15" max="15" width="16.44140625" style="44" customWidth="1"/>
    <col min="16" max="16" width="16.5546875" style="158" customWidth="1"/>
    <col min="17" max="17" width="18.5546875" style="33" customWidth="1"/>
    <col min="18" max="18" width="19" style="33" customWidth="1"/>
    <col min="19" max="21" width="22.44140625" style="33" customWidth="1"/>
    <col min="22" max="22" width="2.5546875" style="33" customWidth="1"/>
    <col min="23" max="24" width="22.44140625" style="33" customWidth="1"/>
    <col min="25" max="16384" width="9.109375" style="33"/>
  </cols>
  <sheetData>
    <row r="1" spans="1:24" x14ac:dyDescent="0.25">
      <c r="B1" s="14"/>
    </row>
    <row r="3" spans="1:24" ht="16.2" thickBot="1" x14ac:dyDescent="0.35">
      <c r="H3" s="154"/>
    </row>
    <row r="4" spans="1:24" ht="62.4" x14ac:dyDescent="0.3">
      <c r="F4" s="15" t="s">
        <v>15</v>
      </c>
      <c r="G4" s="16" t="s">
        <v>1</v>
      </c>
      <c r="H4" s="17" t="s">
        <v>16</v>
      </c>
      <c r="I4" s="16" t="s">
        <v>17</v>
      </c>
      <c r="J4" s="16" t="s">
        <v>18</v>
      </c>
      <c r="K4" s="3" t="s">
        <v>19</v>
      </c>
      <c r="L4" s="3" t="s">
        <v>19</v>
      </c>
      <c r="M4" s="3" t="s">
        <v>19</v>
      </c>
      <c r="O4" s="17" t="s">
        <v>75</v>
      </c>
      <c r="P4" s="17" t="s">
        <v>52</v>
      </c>
      <c r="Q4" s="16" t="s">
        <v>17</v>
      </c>
      <c r="R4" s="16" t="s">
        <v>18</v>
      </c>
      <c r="S4" s="3" t="s">
        <v>19</v>
      </c>
      <c r="T4" s="3" t="s">
        <v>19</v>
      </c>
      <c r="U4" s="3" t="s">
        <v>19</v>
      </c>
      <c r="W4" s="228" t="s">
        <v>19</v>
      </c>
      <c r="X4" s="229" t="s">
        <v>19</v>
      </c>
    </row>
    <row r="5" spans="1:24" ht="15.6" x14ac:dyDescent="0.3">
      <c r="B5" s="50"/>
      <c r="C5" s="50"/>
      <c r="F5" s="18"/>
      <c r="G5" s="18" t="s">
        <v>20</v>
      </c>
      <c r="H5" s="19" t="s">
        <v>34</v>
      </c>
      <c r="I5" s="18" t="s">
        <v>34</v>
      </c>
      <c r="J5" s="18" t="s">
        <v>34</v>
      </c>
      <c r="K5" s="4" t="s">
        <v>34</v>
      </c>
      <c r="L5" s="4" t="s">
        <v>37</v>
      </c>
      <c r="M5" s="4" t="s">
        <v>38</v>
      </c>
      <c r="O5" s="19" t="s">
        <v>34</v>
      </c>
      <c r="P5" s="19" t="s">
        <v>34</v>
      </c>
      <c r="Q5" s="18" t="s">
        <v>34</v>
      </c>
      <c r="R5" s="18" t="s">
        <v>34</v>
      </c>
      <c r="S5" s="4" t="s">
        <v>34</v>
      </c>
      <c r="T5" s="4" t="s">
        <v>37</v>
      </c>
      <c r="U5" s="4" t="s">
        <v>38</v>
      </c>
      <c r="W5" s="230" t="s">
        <v>37</v>
      </c>
      <c r="X5" s="231" t="s">
        <v>38</v>
      </c>
    </row>
    <row r="6" spans="1:24" ht="15.6" x14ac:dyDescent="0.3">
      <c r="A6" s="159"/>
      <c r="B6" s="159"/>
      <c r="C6" s="153" t="s">
        <v>21</v>
      </c>
      <c r="D6" s="307">
        <f>74.7*(1+D9)^(F7-2022)</f>
        <v>78.481687499999992</v>
      </c>
      <c r="E6" s="45"/>
      <c r="F6" s="157" t="s">
        <v>22</v>
      </c>
      <c r="G6" s="157" t="s">
        <v>23</v>
      </c>
      <c r="H6" s="157" t="s">
        <v>24</v>
      </c>
      <c r="I6" s="157" t="s">
        <v>32</v>
      </c>
      <c r="J6" s="157" t="s">
        <v>27</v>
      </c>
      <c r="K6" s="157" t="s">
        <v>28</v>
      </c>
      <c r="L6" s="157" t="s">
        <v>39</v>
      </c>
      <c r="M6" s="157" t="s">
        <v>74</v>
      </c>
      <c r="O6" s="157" t="s">
        <v>25</v>
      </c>
      <c r="P6" s="157" t="s">
        <v>26</v>
      </c>
      <c r="Q6" s="157" t="s">
        <v>32</v>
      </c>
      <c r="R6" s="157" t="s">
        <v>27</v>
      </c>
      <c r="S6" s="157" t="s">
        <v>28</v>
      </c>
      <c r="T6" s="157" t="s">
        <v>39</v>
      </c>
      <c r="U6" s="157" t="s">
        <v>74</v>
      </c>
      <c r="W6" s="232" t="s">
        <v>39</v>
      </c>
      <c r="X6" s="233" t="s">
        <v>74</v>
      </c>
    </row>
    <row r="7" spans="1:24" ht="15.6" x14ac:dyDescent="0.3">
      <c r="A7" s="159"/>
      <c r="B7" s="50"/>
      <c r="C7" s="20" t="s">
        <v>29</v>
      </c>
      <c r="D7" s="46">
        <v>0</v>
      </c>
      <c r="E7" s="47"/>
      <c r="F7" s="160">
        <f>'Capacity Delivered'!C7</f>
        <v>2024</v>
      </c>
      <c r="G7" s="155">
        <v>1</v>
      </c>
      <c r="H7" s="161">
        <f>'Capacity Delivered'!G7</f>
        <v>135.69</v>
      </c>
      <c r="I7" s="32">
        <f>SUM(H7)/((1+$D$8)^G7)</f>
        <v>126.62374020156773</v>
      </c>
      <c r="J7" s="156">
        <f>I7</f>
        <v>126.62374020156773</v>
      </c>
      <c r="K7" s="41">
        <f>(-PMT($D$8,G7,(J7)))</f>
        <v>135.69</v>
      </c>
      <c r="L7" s="156">
        <f>+K7/'Capacity Delivered'!N7*1000</f>
        <v>15.489726027397261</v>
      </c>
      <c r="M7" s="226">
        <f t="shared" ref="M7:M27" si="0">L7/1000</f>
        <v>1.548972602739726E-2</v>
      </c>
      <c r="O7" s="166">
        <f>D6</f>
        <v>78.481687499999992</v>
      </c>
      <c r="P7" s="166">
        <f t="shared" ref="P7:P27" si="1">(H7+O7)*$D$7</f>
        <v>0</v>
      </c>
      <c r="Q7" s="166">
        <f t="shared" ref="Q7:Q27" si="2">SUM(O7:P7)/((1+$D$8)^G7)</f>
        <v>73.237856942889124</v>
      </c>
      <c r="R7" s="166">
        <f>Q7</f>
        <v>73.237856942889124</v>
      </c>
      <c r="S7" s="297">
        <f>(-PMT($D$8,G7,(R7)))</f>
        <v>78.481687500000007</v>
      </c>
      <c r="T7" s="156">
        <f>+S7/'Capacity Delivered'!L7*1000</f>
        <v>8.9590967465753426</v>
      </c>
      <c r="U7" s="226">
        <f t="shared" ref="U7:U20" si="3">T7/1000</f>
        <v>8.9590967465753429E-3</v>
      </c>
      <c r="W7" s="234">
        <f>L7+T7</f>
        <v>24.448822773972601</v>
      </c>
      <c r="X7" s="235">
        <f t="shared" ref="X7:X20" si="4">W7/1000</f>
        <v>2.44488227739726E-2</v>
      </c>
    </row>
    <row r="8" spans="1:24" ht="15.6" x14ac:dyDescent="0.3">
      <c r="A8" s="159"/>
      <c r="B8" s="50"/>
      <c r="C8" s="20" t="s">
        <v>33</v>
      </c>
      <c r="D8" s="46">
        <f>Rate_of_Return</f>
        <v>7.1599999999999997E-2</v>
      </c>
      <c r="E8" s="47"/>
      <c r="F8" s="38">
        <f>F7+1</f>
        <v>2025</v>
      </c>
      <c r="G8" s="39">
        <v>2</v>
      </c>
      <c r="H8" s="161">
        <f>'Capacity Delivered'!G8</f>
        <v>135.69</v>
      </c>
      <c r="I8" s="40">
        <f t="shared" ref="I8:I27" si="5">SUM(H8)/((1+$D$8)^G8)</f>
        <v>118.16325140123899</v>
      </c>
      <c r="J8" s="41">
        <f t="shared" ref="J8:J26" si="6">J7+I8</f>
        <v>244.78699160280672</v>
      </c>
      <c r="K8" s="41">
        <f t="shared" ref="K8:K27" si="7">(-PMT($D$8,G8,(J8)))</f>
        <v>135.68999999999997</v>
      </c>
      <c r="L8" s="156">
        <f>+K8/'Capacity Delivered'!N8*1000</f>
        <v>15.447404371584696</v>
      </c>
      <c r="M8" s="227">
        <f t="shared" si="0"/>
        <v>1.5447404371584697E-2</v>
      </c>
      <c r="O8" s="161">
        <f t="shared" ref="O8:O27" si="8">O7+(O7*$D$9)</f>
        <v>80.443729687499996</v>
      </c>
      <c r="P8" s="161">
        <f t="shared" si="1"/>
        <v>0</v>
      </c>
      <c r="Q8" s="161">
        <f t="shared" si="2"/>
        <v>70.053007994084865</v>
      </c>
      <c r="R8" s="161">
        <f t="shared" ref="R8:R12" si="9">R7+Q8</f>
        <v>143.290864936974</v>
      </c>
      <c r="S8" s="297">
        <f t="shared" ref="S8:S27" si="10">(-PMT($D$8,G8,(R8)))</f>
        <v>79.428801898291169</v>
      </c>
      <c r="T8" s="41">
        <f>+S8/'Capacity Delivered'!L8*1000</f>
        <v>9.0424410175650234</v>
      </c>
      <c r="U8" s="227">
        <f t="shared" si="3"/>
        <v>9.0424410175650241E-3</v>
      </c>
      <c r="W8" s="234">
        <f t="shared" ref="W8:W27" si="11">L8+T8</f>
        <v>24.489845389149721</v>
      </c>
      <c r="X8" s="235">
        <f t="shared" si="4"/>
        <v>2.4489845389149723E-2</v>
      </c>
    </row>
    <row r="9" spans="1:24" ht="15.6" x14ac:dyDescent="0.3">
      <c r="A9" s="159"/>
      <c r="B9" s="50"/>
      <c r="C9" s="20" t="s">
        <v>113</v>
      </c>
      <c r="D9" s="46">
        <v>2.5000000000000001E-2</v>
      </c>
      <c r="E9" s="49"/>
      <c r="F9" s="38">
        <f t="shared" ref="F9:F27" si="12">F8+1</f>
        <v>2026</v>
      </c>
      <c r="G9" s="39">
        <v>3</v>
      </c>
      <c r="H9" s="161">
        <f>'Capacity Delivered'!G9</f>
        <v>135.69</v>
      </c>
      <c r="I9" s="40">
        <f t="shared" si="5"/>
        <v>110.26805841847609</v>
      </c>
      <c r="J9" s="41">
        <f t="shared" si="6"/>
        <v>355.0550500212828</v>
      </c>
      <c r="K9" s="41">
        <f t="shared" si="7"/>
        <v>135.68999999999997</v>
      </c>
      <c r="L9" s="156">
        <f>+K9/'Capacity Delivered'!N9*1000</f>
        <v>15.489726027397257</v>
      </c>
      <c r="M9" s="227">
        <f t="shared" si="0"/>
        <v>1.5489726027397257E-2</v>
      </c>
      <c r="O9" s="161">
        <f t="shared" si="8"/>
        <v>82.454822929687495</v>
      </c>
      <c r="P9" s="161">
        <f t="shared" si="1"/>
        <v>0</v>
      </c>
      <c r="Q9" s="161">
        <f t="shared" si="2"/>
        <v>67.006656582621289</v>
      </c>
      <c r="R9" s="161">
        <f t="shared" si="9"/>
        <v>210.29752151959531</v>
      </c>
      <c r="S9" s="297">
        <f t="shared" si="10"/>
        <v>80.368581416553326</v>
      </c>
      <c r="T9" s="41">
        <f>+S9/'Capacity Delivered'!L9*1000</f>
        <v>9.1744955954969551</v>
      </c>
      <c r="U9" s="227">
        <f t="shared" si="3"/>
        <v>9.1744955954969551E-3</v>
      </c>
      <c r="W9" s="234">
        <f t="shared" si="11"/>
        <v>24.66422162289421</v>
      </c>
      <c r="X9" s="235">
        <f t="shared" si="4"/>
        <v>2.4664221622894212E-2</v>
      </c>
    </row>
    <row r="10" spans="1:24" ht="15.6" x14ac:dyDescent="0.3">
      <c r="B10" s="50"/>
      <c r="C10" s="20"/>
      <c r="D10" s="51"/>
      <c r="E10" s="47"/>
      <c r="F10" s="38">
        <f t="shared" si="12"/>
        <v>2027</v>
      </c>
      <c r="G10" s="39">
        <v>4</v>
      </c>
      <c r="H10" s="161">
        <f>'Capacity Delivered'!G10</f>
        <v>135.69</v>
      </c>
      <c r="I10" s="40">
        <f t="shared" si="5"/>
        <v>102.90039046143718</v>
      </c>
      <c r="J10" s="41">
        <f t="shared" si="6"/>
        <v>457.95544048271995</v>
      </c>
      <c r="K10" s="41">
        <f t="shared" si="7"/>
        <v>135.68999999999997</v>
      </c>
      <c r="L10" s="156">
        <f>+K10/'Capacity Delivered'!N10*1000</f>
        <v>15.489726027397257</v>
      </c>
      <c r="M10" s="227">
        <f t="shared" si="0"/>
        <v>1.5489726027397257E-2</v>
      </c>
      <c r="O10" s="161">
        <f t="shared" si="8"/>
        <v>84.516193502929681</v>
      </c>
      <c r="P10" s="161">
        <f t="shared" si="1"/>
        <v>0</v>
      </c>
      <c r="Q10" s="161">
        <f t="shared" si="2"/>
        <v>64.092779952581949</v>
      </c>
      <c r="R10" s="161">
        <f t="shared" si="9"/>
        <v>274.39030147217727</v>
      </c>
      <c r="S10" s="297">
        <f t="shared" si="10"/>
        <v>81.30052995443036</v>
      </c>
      <c r="T10" s="41">
        <f>+S10/'Capacity Delivered'!L10*1000</f>
        <v>9.2808824148893105</v>
      </c>
      <c r="U10" s="227">
        <f>T10/1000</f>
        <v>9.2808824148893111E-3</v>
      </c>
      <c r="W10" s="234">
        <f t="shared" si="11"/>
        <v>24.770608442286566</v>
      </c>
      <c r="X10" s="235">
        <f t="shared" si="4"/>
        <v>2.4770608442286565E-2</v>
      </c>
    </row>
    <row r="11" spans="1:24" s="44" customFormat="1" ht="15.6" x14ac:dyDescent="0.3">
      <c r="B11" s="159"/>
      <c r="C11" s="153"/>
      <c r="D11" s="322"/>
      <c r="E11" s="246"/>
      <c r="F11" s="37">
        <f t="shared" si="12"/>
        <v>2028</v>
      </c>
      <c r="G11" s="37">
        <v>5</v>
      </c>
      <c r="H11" s="161">
        <f>'Capacity Delivered'!G11</f>
        <v>135.69</v>
      </c>
      <c r="I11" s="247">
        <f t="shared" si="5"/>
        <v>96.0250004306058</v>
      </c>
      <c r="J11" s="248">
        <f t="shared" si="6"/>
        <v>553.98044091332576</v>
      </c>
      <c r="K11" s="248">
        <f t="shared" si="7"/>
        <v>135.68999999999994</v>
      </c>
      <c r="L11" s="156">
        <f>+K11/'Capacity Delivered'!N11*1000</f>
        <v>15.489726027397253</v>
      </c>
      <c r="M11" s="249">
        <f t="shared" si="0"/>
        <v>1.5489726027397253E-2</v>
      </c>
      <c r="N11" s="257"/>
      <c r="O11" s="161">
        <f t="shared" si="8"/>
        <v>86.629098340502921</v>
      </c>
      <c r="P11" s="161">
        <f t="shared" si="1"/>
        <v>0</v>
      </c>
      <c r="Q11" s="161">
        <f t="shared" si="2"/>
        <v>61.305617255875781</v>
      </c>
      <c r="R11" s="161">
        <f t="shared" si="9"/>
        <v>335.69591872805307</v>
      </c>
      <c r="S11" s="297">
        <f t="shared" si="10"/>
        <v>82.224165057365653</v>
      </c>
      <c r="T11" s="248">
        <f>+S11/'Capacity Delivered'!L11*1000</f>
        <v>9.3863202120280427</v>
      </c>
      <c r="U11" s="249">
        <f t="shared" si="3"/>
        <v>9.3863202120280428E-3</v>
      </c>
      <c r="V11" s="257"/>
      <c r="W11" s="250">
        <f>L11+T11</f>
        <v>24.876046239425296</v>
      </c>
      <c r="X11" s="251">
        <f t="shared" si="4"/>
        <v>2.4876046239425294E-2</v>
      </c>
    </row>
    <row r="12" spans="1:24" s="44" customFormat="1" ht="15.6" x14ac:dyDescent="0.3">
      <c r="B12" s="253"/>
      <c r="C12" s="323"/>
      <c r="D12" s="254"/>
      <c r="E12" s="246"/>
      <c r="F12" s="38">
        <f t="shared" si="12"/>
        <v>2029</v>
      </c>
      <c r="G12" s="37">
        <v>6</v>
      </c>
      <c r="H12" s="161">
        <f>'Capacity Delivered'!G12</f>
        <v>135.69</v>
      </c>
      <c r="I12" s="247">
        <f t="shared" si="5"/>
        <v>89.608996295824738</v>
      </c>
      <c r="J12" s="248">
        <f t="shared" si="6"/>
        <v>643.58943720915045</v>
      </c>
      <c r="K12" s="248">
        <f t="shared" si="7"/>
        <v>135.68999999999994</v>
      </c>
      <c r="L12" s="156">
        <f>+K12/'Capacity Delivered'!N12*1000</f>
        <v>15.447404371584692</v>
      </c>
      <c r="M12" s="249">
        <f t="shared" si="0"/>
        <v>1.5447404371584693E-2</v>
      </c>
      <c r="O12" s="161">
        <f t="shared" si="8"/>
        <v>88.794825799015499</v>
      </c>
      <c r="P12" s="161">
        <f t="shared" si="1"/>
        <v>0</v>
      </c>
      <c r="Q12" s="161">
        <f t="shared" si="2"/>
        <v>58.63965816281511</v>
      </c>
      <c r="R12" s="161">
        <f t="shared" si="9"/>
        <v>394.3355768908682</v>
      </c>
      <c r="S12" s="297">
        <f t="shared" si="10"/>
        <v>83.139018968910321</v>
      </c>
      <c r="T12" s="248">
        <f>+S12/'Capacity Delivered'!L12*1000</f>
        <v>9.4648245638559096</v>
      </c>
      <c r="U12" s="249">
        <f t="shared" si="3"/>
        <v>9.46482456385591E-3</v>
      </c>
      <c r="W12" s="250">
        <f t="shared" si="11"/>
        <v>24.912228935440602</v>
      </c>
      <c r="X12" s="251">
        <f t="shared" si="4"/>
        <v>2.4912228935440602E-2</v>
      </c>
    </row>
    <row r="13" spans="1:24" s="44" customFormat="1" ht="15.6" x14ac:dyDescent="0.3">
      <c r="B13" s="253"/>
      <c r="C13" s="323"/>
      <c r="D13" s="254"/>
      <c r="E13" s="246"/>
      <c r="F13" s="38">
        <f t="shared" si="12"/>
        <v>2030</v>
      </c>
      <c r="G13" s="37">
        <v>7</v>
      </c>
      <c r="H13" s="161">
        <f>'Capacity Delivered'!G13</f>
        <v>135.69</v>
      </c>
      <c r="I13" s="247">
        <f t="shared" si="5"/>
        <v>83.621683740037994</v>
      </c>
      <c r="J13" s="248">
        <f>J12+I13</f>
        <v>727.2111209491884</v>
      </c>
      <c r="K13" s="248">
        <f t="shared" si="7"/>
        <v>135.68999999999991</v>
      </c>
      <c r="L13" s="156">
        <f>+K13/'Capacity Delivered'!N13*1000</f>
        <v>15.48972602739725</v>
      </c>
      <c r="M13" s="249">
        <f t="shared" si="0"/>
        <v>1.548972602739725E-2</v>
      </c>
      <c r="O13" s="161">
        <f>O12+(O12*$D$9)</f>
        <v>91.014696443990886</v>
      </c>
      <c r="P13" s="161">
        <f t="shared" si="1"/>
        <v>0</v>
      </c>
      <c r="Q13" s="161">
        <f t="shared" si="2"/>
        <v>56.089631967978235</v>
      </c>
      <c r="R13" s="161">
        <f>R12+Q13</f>
        <v>450.42520885884642</v>
      </c>
      <c r="S13" s="297">
        <f t="shared" si="10"/>
        <v>84.044639623061087</v>
      </c>
      <c r="T13" s="248">
        <f>+S13/'Capacity Delivered'!L13*1000</f>
        <v>9.5941369432718151</v>
      </c>
      <c r="U13" s="249">
        <f t="shared" si="3"/>
        <v>9.5941369432718145E-3</v>
      </c>
      <c r="W13" s="250">
        <f t="shared" si="11"/>
        <v>25.083862970669067</v>
      </c>
      <c r="X13" s="251">
        <f t="shared" si="4"/>
        <v>2.5083862970669068E-2</v>
      </c>
    </row>
    <row r="14" spans="1:24" s="44" customFormat="1" x14ac:dyDescent="0.25">
      <c r="B14" s="253"/>
      <c r="C14" s="255"/>
      <c r="D14" s="255"/>
      <c r="E14" s="246"/>
      <c r="F14" s="38">
        <f t="shared" si="12"/>
        <v>2031</v>
      </c>
      <c r="G14" s="37">
        <v>8</v>
      </c>
      <c r="H14" s="161">
        <f>'Capacity Delivered'!G14</f>
        <v>135.69</v>
      </c>
      <c r="I14" s="247">
        <f t="shared" si="5"/>
        <v>78.034419316944749</v>
      </c>
      <c r="J14" s="248">
        <f t="shared" si="6"/>
        <v>805.24554026613316</v>
      </c>
      <c r="K14" s="248">
        <f t="shared" si="7"/>
        <v>135.68999999999994</v>
      </c>
      <c r="L14" s="156">
        <f>+K14/'Capacity Delivered'!N14*1000</f>
        <v>15.489726027397253</v>
      </c>
      <c r="M14" s="249">
        <f t="shared" si="0"/>
        <v>1.5489726027397253E-2</v>
      </c>
      <c r="O14" s="161">
        <f t="shared" si="8"/>
        <v>93.290063855090665</v>
      </c>
      <c r="P14" s="161">
        <f t="shared" si="1"/>
        <v>0</v>
      </c>
      <c r="Q14" s="161">
        <f t="shared" si="2"/>
        <v>53.650497169818671</v>
      </c>
      <c r="R14" s="161">
        <f t="shared" ref="R14:R20" si="13">R13+Q14</f>
        <v>504.07570602866508</v>
      </c>
      <c r="S14" s="297">
        <f t="shared" si="10"/>
        <v>84.940591572135887</v>
      </c>
      <c r="T14" s="248">
        <f>+S14/'Capacity Delivered'!L14*1000</f>
        <v>9.6964145630292098</v>
      </c>
      <c r="U14" s="249">
        <f t="shared" si="3"/>
        <v>9.6964145630292105E-3</v>
      </c>
      <c r="W14" s="250">
        <f t="shared" si="11"/>
        <v>25.186140590426461</v>
      </c>
      <c r="X14" s="251">
        <f t="shared" si="4"/>
        <v>2.518614059042646E-2</v>
      </c>
    </row>
    <row r="15" spans="1:24" s="44" customFormat="1" x14ac:dyDescent="0.25">
      <c r="B15" s="255"/>
      <c r="C15" s="255"/>
      <c r="D15" s="324"/>
      <c r="E15" s="246"/>
      <c r="F15" s="38">
        <f t="shared" si="12"/>
        <v>2032</v>
      </c>
      <c r="G15" s="37">
        <v>9</v>
      </c>
      <c r="H15" s="161">
        <f>'Capacity Delivered'!G15</f>
        <v>135.69</v>
      </c>
      <c r="I15" s="247">
        <f t="shared" si="5"/>
        <v>72.82047342006787</v>
      </c>
      <c r="J15" s="248">
        <f t="shared" si="6"/>
        <v>878.06601368620102</v>
      </c>
      <c r="K15" s="248">
        <f t="shared" si="7"/>
        <v>135.68999999999988</v>
      </c>
      <c r="L15" s="156">
        <f>+K15/'Capacity Delivered'!N15*1000</f>
        <v>15.489726027397246</v>
      </c>
      <c r="M15" s="249">
        <f t="shared" si="0"/>
        <v>1.5489726027397246E-2</v>
      </c>
      <c r="O15" s="161">
        <f t="shared" si="8"/>
        <v>95.622315451467927</v>
      </c>
      <c r="P15" s="161">
        <f t="shared" si="1"/>
        <v>0</v>
      </c>
      <c r="Q15" s="161">
        <f t="shared" si="2"/>
        <v>51.317431503419307</v>
      </c>
      <c r="R15" s="161">
        <f t="shared" si="13"/>
        <v>555.39313753208444</v>
      </c>
      <c r="S15" s="297">
        <f t="shared" si="10"/>
        <v>85.826456846171396</v>
      </c>
      <c r="T15" s="248">
        <f>+S15/'Capacity Delivered'!L15*1000</f>
        <v>9.797540735864315</v>
      </c>
      <c r="U15" s="249">
        <f t="shared" si="3"/>
        <v>9.7975407358643143E-3</v>
      </c>
      <c r="W15" s="250">
        <f t="shared" si="11"/>
        <v>25.287266763261563</v>
      </c>
      <c r="X15" s="251">
        <f t="shared" si="4"/>
        <v>2.5287266763261564E-2</v>
      </c>
    </row>
    <row r="16" spans="1:24" s="44" customFormat="1" x14ac:dyDescent="0.25">
      <c r="B16" s="255"/>
      <c r="C16" s="256"/>
      <c r="D16" s="256"/>
      <c r="E16" s="246"/>
      <c r="F16" s="37">
        <f t="shared" si="12"/>
        <v>2033</v>
      </c>
      <c r="G16" s="37">
        <v>10</v>
      </c>
      <c r="H16" s="161">
        <f>'Capacity Delivered'!G16</f>
        <v>135.69</v>
      </c>
      <c r="I16" s="247">
        <f t="shared" si="5"/>
        <v>67.954902407678119</v>
      </c>
      <c r="J16" s="248">
        <f t="shared" si="6"/>
        <v>946.02091609387912</v>
      </c>
      <c r="K16" s="248">
        <f t="shared" si="7"/>
        <v>135.68999999999991</v>
      </c>
      <c r="L16" s="156">
        <f>+K16/'Capacity Delivered'!N16*1000</f>
        <v>15.447404371584689</v>
      </c>
      <c r="M16" s="249">
        <f t="shared" si="0"/>
        <v>1.544740437158469E-2</v>
      </c>
      <c r="N16" s="257"/>
      <c r="O16" s="161">
        <f t="shared" si="8"/>
        <v>98.012873337754627</v>
      </c>
      <c r="P16" s="161">
        <f t="shared" si="1"/>
        <v>0</v>
      </c>
      <c r="Q16" s="161">
        <f t="shared" si="2"/>
        <v>49.085822406686063</v>
      </c>
      <c r="R16" s="161">
        <f t="shared" si="13"/>
        <v>604.47895993877046</v>
      </c>
      <c r="S16" s="297">
        <f t="shared" si="10"/>
        <v>86.701835740333919</v>
      </c>
      <c r="T16" s="248">
        <f>+S16/'Capacity Delivered'!L16*1000</f>
        <v>9.870427566067157</v>
      </c>
      <c r="U16" s="249">
        <f t="shared" si="3"/>
        <v>9.8704275660671578E-3</v>
      </c>
      <c r="V16" s="257"/>
      <c r="W16" s="250">
        <f t="shared" si="11"/>
        <v>25.317831937651846</v>
      </c>
      <c r="X16" s="251">
        <f t="shared" si="4"/>
        <v>2.5317831937651848E-2</v>
      </c>
    </row>
    <row r="17" spans="2:24" s="44" customFormat="1" x14ac:dyDescent="0.25">
      <c r="B17" s="255"/>
      <c r="C17" s="256"/>
      <c r="D17" s="256"/>
      <c r="E17" s="246"/>
      <c r="F17" s="38">
        <f t="shared" si="12"/>
        <v>2034</v>
      </c>
      <c r="G17" s="37">
        <v>11</v>
      </c>
      <c r="H17" s="161">
        <f>'Capacity Delivered'!G17</f>
        <v>135.69</v>
      </c>
      <c r="I17" s="247">
        <f t="shared" si="5"/>
        <v>63.414429271816076</v>
      </c>
      <c r="J17" s="248">
        <f t="shared" si="6"/>
        <v>1009.4353453656952</v>
      </c>
      <c r="K17" s="248">
        <f t="shared" si="7"/>
        <v>135.68999999999988</v>
      </c>
      <c r="L17" s="156">
        <f>+K17/'Capacity Delivered'!N17*1000</f>
        <v>15.489726027397246</v>
      </c>
      <c r="M17" s="249">
        <f t="shared" si="0"/>
        <v>1.5489726027397246E-2</v>
      </c>
      <c r="O17" s="161">
        <f t="shared" si="8"/>
        <v>100.46319517119849</v>
      </c>
      <c r="P17" s="161">
        <f t="shared" si="1"/>
        <v>0</v>
      </c>
      <c r="Q17" s="161">
        <f t="shared" si="2"/>
        <v>46.951257901132145</v>
      </c>
      <c r="R17" s="161">
        <f t="shared" si="13"/>
        <v>651.43021783990264</v>
      </c>
      <c r="S17" s="297">
        <f t="shared" si="10"/>
        <v>87.566347527363163</v>
      </c>
      <c r="T17" s="248">
        <f>+S17/'Capacity Delivered'!L17*1000</f>
        <v>9.996158393534607</v>
      </c>
      <c r="U17" s="249">
        <f t="shared" si="3"/>
        <v>9.9961583935346075E-3</v>
      </c>
      <c r="W17" s="250">
        <f t="shared" si="11"/>
        <v>25.485884420931853</v>
      </c>
      <c r="X17" s="251">
        <f t="shared" si="4"/>
        <v>2.5485884420931852E-2</v>
      </c>
    </row>
    <row r="18" spans="2:24" s="44" customFormat="1" x14ac:dyDescent="0.25">
      <c r="B18" s="256"/>
      <c r="C18" s="256"/>
      <c r="D18" s="256"/>
      <c r="E18" s="246"/>
      <c r="F18" s="38">
        <f t="shared" si="12"/>
        <v>2035</v>
      </c>
      <c r="G18" s="37">
        <v>12</v>
      </c>
      <c r="H18" s="161">
        <f>'Capacity Delivered'!G18</f>
        <v>135.69</v>
      </c>
      <c r="I18" s="247">
        <f t="shared" si="5"/>
        <v>59.177332280530109</v>
      </c>
      <c r="J18" s="248">
        <f t="shared" si="6"/>
        <v>1068.6126776462254</v>
      </c>
      <c r="K18" s="248">
        <f t="shared" si="7"/>
        <v>135.68999999999991</v>
      </c>
      <c r="L18" s="156">
        <f>+K18/'Capacity Delivered'!N18*1000</f>
        <v>15.48972602739725</v>
      </c>
      <c r="M18" s="249">
        <f t="shared" si="0"/>
        <v>1.548972602739725E-2</v>
      </c>
      <c r="O18" s="161">
        <f t="shared" si="8"/>
        <v>102.97477505047846</v>
      </c>
      <c r="P18" s="161">
        <f t="shared" si="1"/>
        <v>0</v>
      </c>
      <c r="Q18" s="161">
        <f t="shared" si="2"/>
        <v>44.909517869224011</v>
      </c>
      <c r="R18" s="161">
        <f t="shared" si="13"/>
        <v>696.33973570912667</v>
      </c>
      <c r="S18" s="297">
        <f t="shared" si="10"/>
        <v>88.419631092615546</v>
      </c>
      <c r="T18" s="248">
        <f>+S18/'Capacity Delivered'!L18*1000</f>
        <v>10.093565193220952</v>
      </c>
      <c r="U18" s="249">
        <f t="shared" si="3"/>
        <v>1.0093565193220952E-2</v>
      </c>
      <c r="W18" s="250">
        <f t="shared" si="11"/>
        <v>25.5832912206182</v>
      </c>
      <c r="X18" s="251">
        <f t="shared" si="4"/>
        <v>2.5583291220618202E-2</v>
      </c>
    </row>
    <row r="19" spans="2:24" s="44" customFormat="1" x14ac:dyDescent="0.25">
      <c r="B19" s="256"/>
      <c r="C19" s="256"/>
      <c r="D19" s="256"/>
      <c r="E19" s="179"/>
      <c r="F19" s="38">
        <f t="shared" si="12"/>
        <v>2036</v>
      </c>
      <c r="G19" s="37">
        <v>13</v>
      </c>
      <c r="H19" s="161">
        <f>'Capacity Delivered'!G19</f>
        <v>135.69</v>
      </c>
      <c r="I19" s="247">
        <f t="shared" si="5"/>
        <v>55.223341060591736</v>
      </c>
      <c r="J19" s="248">
        <f t="shared" si="6"/>
        <v>1123.8360187068172</v>
      </c>
      <c r="K19" s="248">
        <f t="shared" si="7"/>
        <v>135.68999999999991</v>
      </c>
      <c r="L19" s="156">
        <f>+K19/'Capacity Delivered'!N19*1000</f>
        <v>15.48972602739725</v>
      </c>
      <c r="M19" s="249">
        <f t="shared" si="0"/>
        <v>1.548972602739725E-2</v>
      </c>
      <c r="O19" s="161">
        <f t="shared" si="8"/>
        <v>105.54914442674041</v>
      </c>
      <c r="P19" s="161">
        <f t="shared" si="1"/>
        <v>0</v>
      </c>
      <c r="Q19" s="161">
        <f t="shared" si="2"/>
        <v>42.956565711043858</v>
      </c>
      <c r="R19" s="161">
        <f t="shared" si="13"/>
        <v>739.29630142017049</v>
      </c>
      <c r="S19" s="297">
        <f t="shared" si="10"/>
        <v>89.26134548982877</v>
      </c>
      <c r="T19" s="248">
        <f>+S19/'Capacity Delivered'!L19*1000</f>
        <v>10.189651311624289</v>
      </c>
      <c r="U19" s="249">
        <f t="shared" si="3"/>
        <v>1.0189651311624288E-2</v>
      </c>
      <c r="W19" s="250">
        <f t="shared" si="11"/>
        <v>25.679377339021539</v>
      </c>
      <c r="X19" s="251">
        <f t="shared" si="4"/>
        <v>2.567937733902154E-2</v>
      </c>
    </row>
    <row r="20" spans="2:24" s="44" customFormat="1" x14ac:dyDescent="0.25">
      <c r="B20" s="256"/>
      <c r="C20" s="256"/>
      <c r="D20" s="256"/>
      <c r="E20" s="179"/>
      <c r="F20" s="38">
        <f t="shared" si="12"/>
        <v>2037</v>
      </c>
      <c r="G20" s="37">
        <v>14</v>
      </c>
      <c r="H20" s="161">
        <f>'Capacity Delivered'!G20</f>
        <v>135.69</v>
      </c>
      <c r="I20" s="247">
        <f t="shared" si="5"/>
        <v>51.533539623545842</v>
      </c>
      <c r="J20" s="248">
        <f t="shared" si="6"/>
        <v>1175.3695583303631</v>
      </c>
      <c r="K20" s="248">
        <f t="shared" si="7"/>
        <v>135.68999999999988</v>
      </c>
      <c r="L20" s="156">
        <f>+K20/'Capacity Delivered'!N20*1000</f>
        <v>15.447404371584687</v>
      </c>
      <c r="M20" s="249">
        <f t="shared" si="0"/>
        <v>1.5447404371584688E-2</v>
      </c>
      <c r="O20" s="161">
        <f t="shared" si="8"/>
        <v>108.18787303740892</v>
      </c>
      <c r="P20" s="161">
        <f t="shared" si="1"/>
        <v>0</v>
      </c>
      <c r="Q20" s="161">
        <f t="shared" si="2"/>
        <v>41.088540363773745</v>
      </c>
      <c r="R20" s="161">
        <f t="shared" si="13"/>
        <v>780.38484178394424</v>
      </c>
      <c r="S20" s="297">
        <f t="shared" si="10"/>
        <v>90.091170416292613</v>
      </c>
      <c r="T20" s="248">
        <f>+S20/'Capacity Delivered'!L20*1000</f>
        <v>10.256280785097065</v>
      </c>
      <c r="U20" s="249">
        <f t="shared" si="3"/>
        <v>1.0256280785097065E-2</v>
      </c>
      <c r="W20" s="250">
        <f t="shared" si="11"/>
        <v>25.70368515668175</v>
      </c>
      <c r="X20" s="251">
        <f t="shared" si="4"/>
        <v>2.5703685156681751E-2</v>
      </c>
    </row>
    <row r="21" spans="2:24" s="257" customFormat="1" x14ac:dyDescent="0.25">
      <c r="B21" s="256"/>
      <c r="C21" s="256"/>
      <c r="D21" s="256"/>
      <c r="E21" s="179"/>
      <c r="F21" s="37">
        <f t="shared" si="12"/>
        <v>2038</v>
      </c>
      <c r="G21" s="37">
        <v>15</v>
      </c>
      <c r="H21" s="161">
        <f>'Capacity Delivered'!G21</f>
        <v>135.69</v>
      </c>
      <c r="I21" s="247">
        <f t="shared" si="5"/>
        <v>48.090275871170057</v>
      </c>
      <c r="J21" s="248">
        <f>J20+I21</f>
        <v>1223.4598342015331</v>
      </c>
      <c r="K21" s="248">
        <f t="shared" si="7"/>
        <v>135.68999999999991</v>
      </c>
      <c r="L21" s="156">
        <f>+K21/'Capacity Delivered'!N21*1000</f>
        <v>15.48972602739725</v>
      </c>
      <c r="M21" s="249">
        <f>L21/1000</f>
        <v>1.548972602739725E-2</v>
      </c>
      <c r="O21" s="161">
        <f t="shared" si="8"/>
        <v>110.89256986334415</v>
      </c>
      <c r="P21" s="161">
        <f t="shared" si="1"/>
        <v>0</v>
      </c>
      <c r="Q21" s="161">
        <f t="shared" si="2"/>
        <v>39.301748668223297</v>
      </c>
      <c r="R21" s="161">
        <f>R20+Q21</f>
        <v>819.68659045216759</v>
      </c>
      <c r="S21" s="297">
        <f t="shared" si="10"/>
        <v>90.908806606669046</v>
      </c>
      <c r="T21" s="248">
        <f>+S21/'Capacity Delivered'!L21*1000</f>
        <v>10.377717649163133</v>
      </c>
      <c r="U21" s="249">
        <f>T21/1000</f>
        <v>1.0377717649163133E-2</v>
      </c>
      <c r="W21" s="250">
        <f t="shared" si="11"/>
        <v>25.867443676560384</v>
      </c>
      <c r="X21" s="251">
        <f>W21/1000</f>
        <v>2.5867443676560384E-2</v>
      </c>
    </row>
    <row r="22" spans="2:24" s="44" customFormat="1" x14ac:dyDescent="0.25">
      <c r="B22" s="256"/>
      <c r="C22" s="256"/>
      <c r="D22" s="256"/>
      <c r="E22" s="179"/>
      <c r="F22" s="38">
        <f t="shared" si="12"/>
        <v>2039</v>
      </c>
      <c r="G22" s="37">
        <v>16</v>
      </c>
      <c r="H22" s="161">
        <f>'Capacity Delivered'!G22</f>
        <v>135.69</v>
      </c>
      <c r="I22" s="247">
        <f t="shared" si="5"/>
        <v>44.877077147415129</v>
      </c>
      <c r="J22" s="248">
        <f t="shared" si="6"/>
        <v>1268.3369113489482</v>
      </c>
      <c r="K22" s="248">
        <f t="shared" si="7"/>
        <v>135.68999999999988</v>
      </c>
      <c r="L22" s="156">
        <f>+K22/'Capacity Delivered'!N22*1000</f>
        <v>15.489726027397246</v>
      </c>
      <c r="M22" s="249">
        <f t="shared" si="0"/>
        <v>1.5489726027397246E-2</v>
      </c>
      <c r="O22" s="161">
        <f t="shared" si="8"/>
        <v>113.66488410992775</v>
      </c>
      <c r="P22" s="161">
        <f t="shared" si="1"/>
        <v>0</v>
      </c>
      <c r="Q22" s="161">
        <f t="shared" si="2"/>
        <v>37.592658067309515</v>
      </c>
      <c r="R22" s="161">
        <f t="shared" ref="R22:R27" si="14">R21+Q22</f>
        <v>857.27924851947705</v>
      </c>
      <c r="S22" s="297">
        <f t="shared" si="10"/>
        <v>91.713976145258073</v>
      </c>
      <c r="T22" s="248">
        <f>+S22/'Capacity Delivered'!L22*1000</f>
        <v>10.469631980052291</v>
      </c>
      <c r="U22" s="249">
        <f t="shared" ref="U22:U27" si="15">T22/1000</f>
        <v>1.0469631980052291E-2</v>
      </c>
      <c r="W22" s="250">
        <f t="shared" si="11"/>
        <v>25.959358007449538</v>
      </c>
      <c r="X22" s="251">
        <f t="shared" ref="X22:X27" si="16">W22/1000</f>
        <v>2.5959358007449539E-2</v>
      </c>
    </row>
    <row r="23" spans="2:24" s="44" customFormat="1" x14ac:dyDescent="0.25">
      <c r="B23" s="256"/>
      <c r="C23" s="256"/>
      <c r="D23" s="256"/>
      <c r="E23" s="179"/>
      <c r="F23" s="38">
        <f t="shared" si="12"/>
        <v>2040</v>
      </c>
      <c r="G23" s="37">
        <v>17</v>
      </c>
      <c r="H23" s="161">
        <f>'Capacity Delivered'!G23</f>
        <v>135.69</v>
      </c>
      <c r="I23" s="247">
        <f t="shared" si="5"/>
        <v>41.878571432824863</v>
      </c>
      <c r="J23" s="248">
        <f t="shared" si="6"/>
        <v>1310.2154827817731</v>
      </c>
      <c r="K23" s="248">
        <f t="shared" si="7"/>
        <v>135.68999999999988</v>
      </c>
      <c r="L23" s="156">
        <f>+K23/'Capacity Delivered'!N23*1000</f>
        <v>15.489726027397246</v>
      </c>
      <c r="M23" s="249">
        <f t="shared" si="0"/>
        <v>1.5489726027397246E-2</v>
      </c>
      <c r="O23" s="161">
        <f t="shared" si="8"/>
        <v>116.50650621267594</v>
      </c>
      <c r="P23" s="161">
        <f t="shared" si="1"/>
        <v>0</v>
      </c>
      <c r="Q23" s="161">
        <f t="shared" si="2"/>
        <v>35.957889622053237</v>
      </c>
      <c r="R23" s="161">
        <f t="shared" si="14"/>
        <v>893.23713814153029</v>
      </c>
      <c r="S23" s="297">
        <f t="shared" si="10"/>
        <v>92.506422697045423</v>
      </c>
      <c r="T23" s="248">
        <f>+S23/'Capacity Delivered'!L23*1000</f>
        <v>10.560093915187833</v>
      </c>
      <c r="U23" s="249">
        <f t="shared" si="15"/>
        <v>1.0560093915187833E-2</v>
      </c>
      <c r="W23" s="250">
        <f t="shared" si="11"/>
        <v>26.049819942585081</v>
      </c>
      <c r="X23" s="251">
        <f t="shared" si="16"/>
        <v>2.6049819942585081E-2</v>
      </c>
    </row>
    <row r="24" spans="2:24" s="44" customFormat="1" x14ac:dyDescent="0.25">
      <c r="B24" s="256"/>
      <c r="C24" s="256"/>
      <c r="D24" s="256"/>
      <c r="E24" s="179"/>
      <c r="F24" s="38">
        <f t="shared" si="12"/>
        <v>2041</v>
      </c>
      <c r="G24" s="37">
        <v>18</v>
      </c>
      <c r="H24" s="161">
        <f>'Capacity Delivered'!G24</f>
        <v>135.69</v>
      </c>
      <c r="I24" s="247">
        <f t="shared" si="5"/>
        <v>39.080413804427828</v>
      </c>
      <c r="J24" s="248">
        <f t="shared" si="6"/>
        <v>1349.2958965862008</v>
      </c>
      <c r="K24" s="248">
        <f t="shared" si="7"/>
        <v>135.68999999999986</v>
      </c>
      <c r="L24" s="156">
        <f>+K24/'Capacity Delivered'!N24*1000</f>
        <v>15.447404371584684</v>
      </c>
      <c r="M24" s="249">
        <f t="shared" si="0"/>
        <v>1.5447404371584683E-2</v>
      </c>
      <c r="O24" s="161">
        <f t="shared" si="8"/>
        <v>119.41916886799284</v>
      </c>
      <c r="P24" s="161">
        <f t="shared" si="1"/>
        <v>0</v>
      </c>
      <c r="Q24" s="161">
        <f t="shared" si="2"/>
        <v>34.394211331284581</v>
      </c>
      <c r="R24" s="161">
        <f t="shared" si="14"/>
        <v>927.63134947281492</v>
      </c>
      <c r="S24" s="297">
        <f t="shared" si="10"/>
        <v>93.285911658388287</v>
      </c>
      <c r="T24" s="248">
        <f>+S24/'Capacity Delivered'!L24*1000</f>
        <v>10.619980835426716</v>
      </c>
      <c r="U24" s="249">
        <f t="shared" si="15"/>
        <v>1.0619980835426717E-2</v>
      </c>
      <c r="W24" s="250">
        <f t="shared" si="11"/>
        <v>26.067385207011398</v>
      </c>
      <c r="X24" s="251">
        <f t="shared" si="16"/>
        <v>2.60673852070114E-2</v>
      </c>
    </row>
    <row r="25" spans="2:24" s="44" customFormat="1" x14ac:dyDescent="0.25">
      <c r="B25" s="256"/>
      <c r="C25" s="256"/>
      <c r="D25" s="256"/>
      <c r="E25" s="179"/>
      <c r="F25" s="38">
        <f t="shared" si="12"/>
        <v>2042</v>
      </c>
      <c r="G25" s="37">
        <v>19</v>
      </c>
      <c r="H25" s="161">
        <f>'Capacity Delivered'!G25</f>
        <v>135.69</v>
      </c>
      <c r="I25" s="247">
        <f t="shared" si="5"/>
        <v>36.469217809283151</v>
      </c>
      <c r="J25" s="248">
        <f t="shared" si="6"/>
        <v>1385.765114395484</v>
      </c>
      <c r="K25" s="248">
        <f t="shared" si="7"/>
        <v>135.68999999999986</v>
      </c>
      <c r="L25" s="156">
        <f>+K25/'Capacity Delivered'!N25*1000</f>
        <v>15.489726027397243</v>
      </c>
      <c r="M25" s="249">
        <f t="shared" si="0"/>
        <v>1.5489726027397243E-2</v>
      </c>
      <c r="O25" s="161">
        <f t="shared" si="8"/>
        <v>122.40464808969266</v>
      </c>
      <c r="P25" s="161">
        <f t="shared" si="1"/>
        <v>0</v>
      </c>
      <c r="Q25" s="161">
        <f t="shared" si="2"/>
        <v>32.898531741850221</v>
      </c>
      <c r="R25" s="161">
        <f t="shared" si="14"/>
        <v>960.52988121466512</v>
      </c>
      <c r="S25" s="297">
        <f t="shared" si="10"/>
        <v>94.052230228694896</v>
      </c>
      <c r="T25" s="248">
        <f>+S25/'Capacity Delivered'!L25*1000</f>
        <v>10.736555962179782</v>
      </c>
      <c r="U25" s="249">
        <f t="shared" si="15"/>
        <v>1.0736555962179782E-2</v>
      </c>
      <c r="W25" s="250">
        <f t="shared" si="11"/>
        <v>26.226281989577025</v>
      </c>
      <c r="X25" s="251">
        <f t="shared" si="16"/>
        <v>2.6226281989577025E-2</v>
      </c>
    </row>
    <row r="26" spans="2:24" x14ac:dyDescent="0.25">
      <c r="B26" s="162"/>
      <c r="C26" s="162"/>
      <c r="D26" s="162"/>
      <c r="E26" s="52"/>
      <c r="F26" s="38">
        <f t="shared" si="12"/>
        <v>2043</v>
      </c>
      <c r="G26" s="39">
        <v>20</v>
      </c>
      <c r="H26" s="161">
        <f>'Capacity Delivered'!G26</f>
        <v>135.69</v>
      </c>
      <c r="I26" s="40">
        <f t="shared" si="5"/>
        <v>34.032491423369862</v>
      </c>
      <c r="J26" s="41">
        <f t="shared" si="6"/>
        <v>1419.797605818854</v>
      </c>
      <c r="K26" s="41">
        <f t="shared" si="7"/>
        <v>135.68999999999986</v>
      </c>
      <c r="L26" s="156">
        <f>+K26/'Capacity Delivered'!N26*1000</f>
        <v>15.489726027397243</v>
      </c>
      <c r="M26" s="227">
        <f t="shared" si="0"/>
        <v>1.5489726027397243E-2</v>
      </c>
      <c r="O26" s="161">
        <f t="shared" si="8"/>
        <v>125.46476429193497</v>
      </c>
      <c r="P26" s="161">
        <f t="shared" si="1"/>
        <v>0</v>
      </c>
      <c r="Q26" s="161">
        <f t="shared" si="2"/>
        <v>31.467893836689502</v>
      </c>
      <c r="R26" s="161">
        <f t="shared" si="14"/>
        <v>991.99777505135467</v>
      </c>
      <c r="S26" s="297">
        <f t="shared" si="10"/>
        <v>94.805187404923515</v>
      </c>
      <c r="T26" s="41">
        <f>+S26/'Capacity Delivered'!L26*1000</f>
        <v>10.822509977730995</v>
      </c>
      <c r="U26" s="227">
        <f t="shared" si="15"/>
        <v>1.0822509977730994E-2</v>
      </c>
      <c r="W26" s="234">
        <f t="shared" si="11"/>
        <v>26.312236005128238</v>
      </c>
      <c r="X26" s="235">
        <f t="shared" si="16"/>
        <v>2.6312236005128237E-2</v>
      </c>
    </row>
    <row r="27" spans="2:24" s="44" customFormat="1" ht="15.6" thickBot="1" x14ac:dyDescent="0.3">
      <c r="F27" s="38">
        <f t="shared" si="12"/>
        <v>2044</v>
      </c>
      <c r="G27" s="37">
        <v>21</v>
      </c>
      <c r="H27" s="161">
        <f>'Capacity Delivered'!G27</f>
        <v>135.69</v>
      </c>
      <c r="I27" s="40">
        <f t="shared" si="5"/>
        <v>31.758577289445558</v>
      </c>
      <c r="J27" s="41">
        <f t="shared" ref="J27" si="17">J26+I27</f>
        <v>1451.5561831082996</v>
      </c>
      <c r="K27" s="41">
        <f t="shared" si="7"/>
        <v>135.68999999999986</v>
      </c>
      <c r="L27" s="156">
        <f>+K27/'Capacity Delivered'!N27*1000</f>
        <v>15.489726027397243</v>
      </c>
      <c r="M27" s="227">
        <f t="shared" si="0"/>
        <v>1.5489726027397243E-2</v>
      </c>
      <c r="O27" s="161">
        <f t="shared" si="8"/>
        <v>128.60138339923336</v>
      </c>
      <c r="P27" s="161">
        <f t="shared" si="1"/>
        <v>0</v>
      </c>
      <c r="Q27" s="161">
        <f t="shared" si="2"/>
        <v>30.099469188696098</v>
      </c>
      <c r="R27" s="161">
        <f t="shared" si="14"/>
        <v>1022.0972442400507</v>
      </c>
      <c r="S27" s="297">
        <f t="shared" si="10"/>
        <v>95.544613901165746</v>
      </c>
      <c r="T27" s="41">
        <f>+S27/'Capacity Delivered'!L27*1000</f>
        <v>10.906919395110245</v>
      </c>
      <c r="U27" s="227">
        <f t="shared" si="15"/>
        <v>1.0906919395110246E-2</v>
      </c>
      <c r="W27" s="236">
        <f t="shared" si="11"/>
        <v>26.39664542250749</v>
      </c>
      <c r="X27" s="237">
        <f t="shared" si="16"/>
        <v>2.6396645422507491E-2</v>
      </c>
    </row>
    <row r="28" spans="2:24" s="44" customFormat="1" x14ac:dyDescent="0.25">
      <c r="C28" s="21"/>
      <c r="F28" s="38"/>
      <c r="G28" s="37"/>
      <c r="H28" s="164"/>
      <c r="I28" s="55"/>
      <c r="J28" s="56"/>
      <c r="K28" s="48"/>
      <c r="L28" s="48"/>
      <c r="M28" s="48"/>
      <c r="O28" s="165"/>
      <c r="P28" s="54"/>
      <c r="Q28" s="55"/>
      <c r="R28" s="56"/>
      <c r="S28" s="48"/>
      <c r="T28" s="48"/>
      <c r="U28" s="48"/>
      <c r="W28" s="48"/>
      <c r="X28" s="48"/>
    </row>
    <row r="29" spans="2:24" x14ac:dyDescent="0.25">
      <c r="B29" s="31"/>
      <c r="C29" s="21"/>
      <c r="D29" s="44"/>
      <c r="E29" s="44"/>
      <c r="F29" s="31"/>
      <c r="G29" s="37"/>
      <c r="H29" s="164"/>
      <c r="I29" s="31"/>
      <c r="J29" s="31"/>
      <c r="K29" s="31"/>
      <c r="L29" s="31"/>
      <c r="M29" s="31"/>
      <c r="O29" s="165"/>
      <c r="P29" s="54"/>
      <c r="Q29" s="31"/>
      <c r="R29" s="31"/>
      <c r="S29" s="31"/>
      <c r="T29" s="31"/>
      <c r="U29" s="31"/>
      <c r="W29" s="31"/>
      <c r="X29" s="31"/>
    </row>
    <row r="30" spans="2:24" x14ac:dyDescent="0.25">
      <c r="B30" s="31" t="s">
        <v>174</v>
      </c>
      <c r="C30" s="21"/>
      <c r="D30" s="44"/>
      <c r="E30" s="44"/>
      <c r="F30" s="31"/>
      <c r="G30" s="37"/>
      <c r="H30" s="164"/>
      <c r="I30" s="31"/>
      <c r="J30" s="31"/>
      <c r="K30" s="31"/>
      <c r="L30" s="31"/>
      <c r="M30" s="31"/>
      <c r="O30" s="165"/>
      <c r="P30" s="54"/>
      <c r="Q30" s="31"/>
      <c r="R30" s="31"/>
      <c r="S30" s="31"/>
      <c r="T30" s="31"/>
      <c r="U30" s="31"/>
      <c r="W30" s="31"/>
      <c r="X30" s="31"/>
    </row>
    <row r="31" spans="2:24" x14ac:dyDescent="0.25">
      <c r="B31" s="339" t="s">
        <v>178</v>
      </c>
    </row>
  </sheetData>
  <phoneticPr fontId="14" type="noConversion"/>
  <hyperlinks>
    <hyperlink ref="B31" r:id="rId1"/>
  </hyperlinks>
  <pageMargins left="0.75" right="0.5" top="0.76" bottom="0.79" header="0.5" footer="0.26"/>
  <pageSetup scale="64" orientation="landscape" r:id="rId2"/>
  <headerFooter alignWithMargins="0">
    <oddFooter>&amp;L&amp;F&amp;C&amp;A&amp;RPSE Advice No. 2018-48 &amp;D
Page &amp;P of &amp;N</oddFooter>
  </headerFooter>
  <customProperties>
    <customPr name="_pios_id" r:id="rId3"/>
  </customProperties>
  <drawing r:id="rId4"/>
  <legacyDrawing r:id="rId5"/>
  <controls>
    <mc:AlternateContent xmlns:mc="http://schemas.openxmlformats.org/markup-compatibility/2006">
      <mc:Choice Requires="x14">
        <control shapeId="5124" r:id="rId6" name="Control 4">
          <controlPr defaultSize="0" r:id="rId7">
            <anchor moveWithCells="1">
              <from>
                <xdr:col>6</xdr:col>
                <xdr:colOff>571500</xdr:colOff>
                <xdr:row>2</xdr:row>
                <xdr:rowOff>45720</xdr:rowOff>
              </from>
              <to>
                <xdr:col>7</xdr:col>
                <xdr:colOff>198120</xdr:colOff>
                <xdr:row>3</xdr:row>
                <xdr:rowOff>152400</xdr:rowOff>
              </to>
            </anchor>
          </controlPr>
        </control>
      </mc:Choice>
      <mc:Fallback>
        <control shapeId="5124" r:id="rId6" name="Control 4"/>
      </mc:Fallback>
    </mc:AlternateContent>
    <mc:AlternateContent xmlns:mc="http://schemas.openxmlformats.org/markup-compatibility/2006">
      <mc:Choice Requires="x14">
        <control shapeId="5123" r:id="rId8" name="Control 3">
          <controlPr defaultSize="0" r:id="rId9">
            <anchor moveWithCells="1">
              <from>
                <xdr:col>6</xdr:col>
                <xdr:colOff>571500</xdr:colOff>
                <xdr:row>2</xdr:row>
                <xdr:rowOff>45720</xdr:rowOff>
              </from>
              <to>
                <xdr:col>7</xdr:col>
                <xdr:colOff>175260</xdr:colOff>
                <xdr:row>3</xdr:row>
                <xdr:rowOff>68580</xdr:rowOff>
              </to>
            </anchor>
          </controlPr>
        </control>
      </mc:Choice>
      <mc:Fallback>
        <control shapeId="5123" r:id="rId8" name="Control 3"/>
      </mc:Fallback>
    </mc:AlternateContent>
    <mc:AlternateContent xmlns:mc="http://schemas.openxmlformats.org/markup-compatibility/2006">
      <mc:Choice Requires="x14">
        <control shapeId="5122" r:id="rId10" name="Control 2">
          <controlPr defaultSize="0" r:id="rId11">
            <anchor moveWithCells="1">
              <from>
                <xdr:col>6</xdr:col>
                <xdr:colOff>571500</xdr:colOff>
                <xdr:row>2</xdr:row>
                <xdr:rowOff>45720</xdr:rowOff>
              </from>
              <to>
                <xdr:col>7</xdr:col>
                <xdr:colOff>175260</xdr:colOff>
                <xdr:row>3</xdr:row>
                <xdr:rowOff>68580</xdr:rowOff>
              </to>
            </anchor>
          </controlPr>
        </control>
      </mc:Choice>
      <mc:Fallback>
        <control shapeId="5122" r:id="rId10" name="Control 2"/>
      </mc:Fallback>
    </mc:AlternateContent>
    <mc:AlternateContent xmlns:mc="http://schemas.openxmlformats.org/markup-compatibility/2006">
      <mc:Choice Requires="x14">
        <control shapeId="5121" r:id="rId12" name="Control 1">
          <controlPr defaultSize="0" r:id="rId13">
            <anchor moveWithCells="1">
              <from>
                <xdr:col>6</xdr:col>
                <xdr:colOff>571500</xdr:colOff>
                <xdr:row>2</xdr:row>
                <xdr:rowOff>45720</xdr:rowOff>
              </from>
              <to>
                <xdr:col>6</xdr:col>
                <xdr:colOff>792480</xdr:colOff>
                <xdr:row>3</xdr:row>
                <xdr:rowOff>68580</xdr:rowOff>
              </to>
            </anchor>
          </controlPr>
        </control>
      </mc:Choice>
      <mc:Fallback>
        <control shapeId="5121" r:id="rId12" name="Control 1"/>
      </mc:Fallback>
    </mc:AlternateContent>
  </control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9" tint="0.39997558519241921"/>
    <pageSetUpPr fitToPage="1"/>
  </sheetPr>
  <dimension ref="A1:X31"/>
  <sheetViews>
    <sheetView topLeftCell="A23" workbookViewId="0">
      <selection activeCell="C31" sqref="C31"/>
    </sheetView>
  </sheetViews>
  <sheetFormatPr defaultColWidth="9.109375" defaultRowHeight="15" x14ac:dyDescent="0.25"/>
  <cols>
    <col min="1" max="1" width="2.5546875" style="33" customWidth="1"/>
    <col min="2" max="2" width="25.5546875" style="33" customWidth="1"/>
    <col min="3" max="3" width="17.44140625" style="33" customWidth="1"/>
    <col min="4" max="4" width="15.5546875" style="33" customWidth="1"/>
    <col min="5" max="5" width="2.5546875" style="33" customWidth="1"/>
    <col min="6" max="6" width="9.5546875" style="33" customWidth="1"/>
    <col min="7" max="7" width="16.5546875" style="33" customWidth="1"/>
    <col min="8" max="8" width="16.44140625" style="44" customWidth="1"/>
    <col min="9" max="9" width="18.5546875" style="33" customWidth="1"/>
    <col min="10" max="10" width="19" style="33" customWidth="1"/>
    <col min="11" max="13" width="22.44140625" style="33" customWidth="1"/>
    <col min="14" max="14" width="2.5546875" style="33" customWidth="1"/>
    <col min="15" max="15" width="16.44140625" style="44" customWidth="1"/>
    <col min="16" max="16" width="16.5546875" style="158" customWidth="1"/>
    <col min="17" max="17" width="18.5546875" style="33" customWidth="1"/>
    <col min="18" max="18" width="19" style="33" customWidth="1"/>
    <col min="19" max="21" width="22.44140625" style="33" customWidth="1"/>
    <col min="22" max="22" width="2.5546875" style="33" customWidth="1"/>
    <col min="23" max="24" width="22.44140625" style="33" customWidth="1"/>
    <col min="25" max="16384" width="9.109375" style="33"/>
  </cols>
  <sheetData>
    <row r="1" spans="1:24" x14ac:dyDescent="0.25">
      <c r="B1" s="14"/>
    </row>
    <row r="3" spans="1:24" ht="16.2" thickBot="1" x14ac:dyDescent="0.35">
      <c r="H3" s="154"/>
    </row>
    <row r="4" spans="1:24" ht="62.4" x14ac:dyDescent="0.3">
      <c r="F4" s="15" t="s">
        <v>15</v>
      </c>
      <c r="G4" s="16" t="s">
        <v>1</v>
      </c>
      <c r="H4" s="17" t="s">
        <v>16</v>
      </c>
      <c r="I4" s="16" t="s">
        <v>17</v>
      </c>
      <c r="J4" s="16" t="s">
        <v>18</v>
      </c>
      <c r="K4" s="3" t="s">
        <v>19</v>
      </c>
      <c r="L4" s="3" t="s">
        <v>19</v>
      </c>
      <c r="M4" s="3" t="s">
        <v>19</v>
      </c>
      <c r="O4" s="17" t="s">
        <v>75</v>
      </c>
      <c r="P4" s="17" t="s">
        <v>52</v>
      </c>
      <c r="Q4" s="16" t="s">
        <v>17</v>
      </c>
      <c r="R4" s="16" t="s">
        <v>18</v>
      </c>
      <c r="S4" s="3" t="s">
        <v>19</v>
      </c>
      <c r="T4" s="3" t="s">
        <v>19</v>
      </c>
      <c r="U4" s="3" t="s">
        <v>19</v>
      </c>
      <c r="W4" s="228" t="s">
        <v>19</v>
      </c>
      <c r="X4" s="229" t="s">
        <v>19</v>
      </c>
    </row>
    <row r="5" spans="1:24" ht="15.6" x14ac:dyDescent="0.3">
      <c r="B5" s="50"/>
      <c r="C5" s="50"/>
      <c r="F5" s="18"/>
      <c r="G5" s="18" t="s">
        <v>20</v>
      </c>
      <c r="H5" s="19" t="s">
        <v>34</v>
      </c>
      <c r="I5" s="18" t="s">
        <v>34</v>
      </c>
      <c r="J5" s="18" t="s">
        <v>34</v>
      </c>
      <c r="K5" s="4" t="s">
        <v>34</v>
      </c>
      <c r="L5" s="4" t="s">
        <v>37</v>
      </c>
      <c r="M5" s="4" t="s">
        <v>38</v>
      </c>
      <c r="O5" s="19" t="s">
        <v>34</v>
      </c>
      <c r="P5" s="19" t="s">
        <v>34</v>
      </c>
      <c r="Q5" s="18" t="s">
        <v>34</v>
      </c>
      <c r="R5" s="18" t="s">
        <v>34</v>
      </c>
      <c r="S5" s="4" t="s">
        <v>34</v>
      </c>
      <c r="T5" s="4" t="s">
        <v>37</v>
      </c>
      <c r="U5" s="4" t="s">
        <v>38</v>
      </c>
      <c r="W5" s="230" t="s">
        <v>37</v>
      </c>
      <c r="X5" s="231" t="s">
        <v>38</v>
      </c>
    </row>
    <row r="6" spans="1:24" s="44" customFormat="1" ht="15.6" x14ac:dyDescent="0.3">
      <c r="A6" s="159"/>
      <c r="B6" s="159"/>
      <c r="C6" s="153" t="s">
        <v>21</v>
      </c>
      <c r="D6" s="307">
        <f>74.7*(1+D9)^(F7-2022)</f>
        <v>78.481687499999992</v>
      </c>
      <c r="E6" s="45"/>
      <c r="F6" s="157" t="s">
        <v>22</v>
      </c>
      <c r="G6" s="157" t="s">
        <v>23</v>
      </c>
      <c r="H6" s="157" t="s">
        <v>24</v>
      </c>
      <c r="I6" s="157" t="s">
        <v>32</v>
      </c>
      <c r="J6" s="157" t="s">
        <v>27</v>
      </c>
      <c r="K6" s="157" t="s">
        <v>28</v>
      </c>
      <c r="L6" s="157" t="s">
        <v>39</v>
      </c>
      <c r="M6" s="157" t="s">
        <v>74</v>
      </c>
      <c r="O6" s="157" t="s">
        <v>25</v>
      </c>
      <c r="P6" s="157" t="s">
        <v>26</v>
      </c>
      <c r="Q6" s="157" t="s">
        <v>32</v>
      </c>
      <c r="R6" s="157" t="s">
        <v>27</v>
      </c>
      <c r="S6" s="157" t="s">
        <v>28</v>
      </c>
      <c r="T6" s="157" t="s">
        <v>39</v>
      </c>
      <c r="U6" s="157" t="s">
        <v>74</v>
      </c>
      <c r="W6" s="232" t="s">
        <v>39</v>
      </c>
      <c r="X6" s="233" t="s">
        <v>74</v>
      </c>
    </row>
    <row r="7" spans="1:24" s="44" customFormat="1" ht="15.6" x14ac:dyDescent="0.3">
      <c r="A7" s="159"/>
      <c r="B7" s="159"/>
      <c r="C7" s="153" t="s">
        <v>29</v>
      </c>
      <c r="D7" s="46">
        <v>0</v>
      </c>
      <c r="E7" s="246"/>
      <c r="F7" s="160">
        <f>'Baseload Avoided Capacity Calcs'!F7</f>
        <v>2024</v>
      </c>
      <c r="G7" s="258">
        <v>1</v>
      </c>
      <c r="H7" s="161">
        <f>'Capacity Delivered'!H7</f>
        <v>17.639700000000001</v>
      </c>
      <c r="I7" s="254">
        <f t="shared" ref="I7:I27" si="0">SUM(H7)/((1+$D$8)^G7)</f>
        <v>16.461086226203808</v>
      </c>
      <c r="J7" s="259">
        <f>I7</f>
        <v>16.461086226203808</v>
      </c>
      <c r="K7" s="259">
        <f>(-PMT($D$8,G7,(J7)))</f>
        <v>17.639700000000001</v>
      </c>
      <c r="L7" s="259">
        <f>+K7/'Capacity Delivered'!P7*1000</f>
        <v>5.4423361717882273</v>
      </c>
      <c r="M7" s="260">
        <f t="shared" ref="M7:M27" si="1">L7/1000</f>
        <v>5.4423361717882276E-3</v>
      </c>
      <c r="O7" s="166">
        <f>D6</f>
        <v>78.481687499999992</v>
      </c>
      <c r="P7" s="166">
        <f t="shared" ref="P7:P27" si="2">(H7+O7)*$D$7</f>
        <v>0</v>
      </c>
      <c r="Q7" s="166">
        <f t="shared" ref="Q7:Q27" si="3">SUM(O7:P7)/((1+$D$8)^G7)</f>
        <v>73.237856942889124</v>
      </c>
      <c r="R7" s="166">
        <f>Q7</f>
        <v>73.237856942889124</v>
      </c>
      <c r="S7" s="297">
        <f>(-PMT($D$8,G7,(R7)))</f>
        <v>78.481687500000007</v>
      </c>
      <c r="T7" s="259">
        <f>+S7/'Capacity Delivered'!L7*1000</f>
        <v>8.9590967465753426</v>
      </c>
      <c r="U7" s="260">
        <f t="shared" ref="U7:U20" si="4">T7/1000</f>
        <v>8.9590967465753429E-3</v>
      </c>
      <c r="W7" s="250">
        <f>L7+T7</f>
        <v>14.40143291836357</v>
      </c>
      <c r="X7" s="251">
        <f t="shared" ref="X7:X20" si="5">W7/1000</f>
        <v>1.440143291836357E-2</v>
      </c>
    </row>
    <row r="8" spans="1:24" s="44" customFormat="1" ht="15.6" x14ac:dyDescent="0.3">
      <c r="A8" s="159"/>
      <c r="B8" s="159"/>
      <c r="C8" s="153" t="s">
        <v>33</v>
      </c>
      <c r="D8" s="46">
        <f>Rate_of_Return</f>
        <v>7.1599999999999997E-2</v>
      </c>
      <c r="E8" s="246"/>
      <c r="F8" s="160">
        <f>'Baseload Avoided Capacity Calcs'!F8</f>
        <v>2025</v>
      </c>
      <c r="G8" s="37">
        <v>2</v>
      </c>
      <c r="H8" s="161">
        <f>'Capacity Delivered'!H8</f>
        <v>17.639700000000001</v>
      </c>
      <c r="I8" s="247">
        <f t="shared" si="0"/>
        <v>15.36122268216107</v>
      </c>
      <c r="J8" s="248">
        <f t="shared" ref="J8:J27" si="6">J7+I8</f>
        <v>31.822308908364878</v>
      </c>
      <c r="K8" s="248">
        <f>(-PMT($D$8,G8,(J8)))</f>
        <v>17.639699999999998</v>
      </c>
      <c r="L8" s="259">
        <f>+K8/'Capacity Delivered'!P8*1000</f>
        <v>5.4274664008270559</v>
      </c>
      <c r="M8" s="249">
        <f t="shared" si="1"/>
        <v>5.4274664008270562E-3</v>
      </c>
      <c r="O8" s="161">
        <f t="shared" ref="O8:O27" si="7">O7+(O7*$D$9)</f>
        <v>80.443729687499996</v>
      </c>
      <c r="P8" s="161">
        <f t="shared" si="2"/>
        <v>0</v>
      </c>
      <c r="Q8" s="161">
        <f t="shared" si="3"/>
        <v>70.053007994084865</v>
      </c>
      <c r="R8" s="161">
        <f t="shared" ref="R8:R12" si="8">R7+Q8</f>
        <v>143.290864936974</v>
      </c>
      <c r="S8" s="297">
        <f t="shared" ref="S8:S27" si="9">(-PMT($D$8,G8,(R8)))</f>
        <v>79.428801898291169</v>
      </c>
      <c r="T8" s="248">
        <f>+S8/'Capacity Delivered'!L8*1000</f>
        <v>9.0424410175650234</v>
      </c>
      <c r="U8" s="249">
        <f t="shared" si="4"/>
        <v>9.0424410175650241E-3</v>
      </c>
      <c r="W8" s="250">
        <f t="shared" ref="W8:W27" si="10">L8+T8</f>
        <v>14.469907418392079</v>
      </c>
      <c r="X8" s="251">
        <f t="shared" si="5"/>
        <v>1.4469907418392079E-2</v>
      </c>
    </row>
    <row r="9" spans="1:24" s="44" customFormat="1" ht="15.6" x14ac:dyDescent="0.3">
      <c r="A9" s="159"/>
      <c r="B9" s="159"/>
      <c r="C9" s="153" t="s">
        <v>113</v>
      </c>
      <c r="D9" s="46">
        <v>2.5000000000000001E-2</v>
      </c>
      <c r="E9" s="252"/>
      <c r="F9" s="160">
        <f>'Baseload Avoided Capacity Calcs'!F9</f>
        <v>2026</v>
      </c>
      <c r="G9" s="37">
        <v>3</v>
      </c>
      <c r="H9" s="161">
        <f>'Capacity Delivered'!H9</f>
        <v>17.639700000000001</v>
      </c>
      <c r="I9" s="247">
        <f t="shared" si="0"/>
        <v>14.334847594401893</v>
      </c>
      <c r="J9" s="248">
        <f t="shared" si="6"/>
        <v>46.157156502766767</v>
      </c>
      <c r="K9" s="248">
        <f>(-PMT($D$8,G9,(J9)))</f>
        <v>17.639699999999998</v>
      </c>
      <c r="L9" s="259">
        <f>+K9/'Capacity Delivered'!P9*1000</f>
        <v>5.4423361717882255</v>
      </c>
      <c r="M9" s="249">
        <f t="shared" si="1"/>
        <v>5.4423361717882259E-3</v>
      </c>
      <c r="O9" s="161">
        <f t="shared" si="7"/>
        <v>82.454822929687495</v>
      </c>
      <c r="P9" s="161">
        <f t="shared" si="2"/>
        <v>0</v>
      </c>
      <c r="Q9" s="161">
        <f t="shared" si="3"/>
        <v>67.006656582621289</v>
      </c>
      <c r="R9" s="161">
        <f t="shared" si="8"/>
        <v>210.29752151959531</v>
      </c>
      <c r="S9" s="297">
        <f t="shared" si="9"/>
        <v>80.368581416553326</v>
      </c>
      <c r="T9" s="248">
        <f>+S9/'Capacity Delivered'!L9*1000</f>
        <v>9.1744955954969551</v>
      </c>
      <c r="U9" s="249">
        <f t="shared" si="4"/>
        <v>9.1744955954969551E-3</v>
      </c>
      <c r="W9" s="250">
        <f t="shared" si="10"/>
        <v>14.616831767285181</v>
      </c>
      <c r="X9" s="251">
        <f t="shared" si="5"/>
        <v>1.461683176728518E-2</v>
      </c>
    </row>
    <row r="10" spans="1:24" s="44" customFormat="1" ht="15.6" x14ac:dyDescent="0.3">
      <c r="B10" s="159"/>
      <c r="C10" s="153"/>
      <c r="D10" s="51"/>
      <c r="E10" s="246"/>
      <c r="F10" s="160">
        <f>'Baseload Avoided Capacity Calcs'!F10</f>
        <v>2027</v>
      </c>
      <c r="G10" s="37">
        <v>4</v>
      </c>
      <c r="H10" s="161">
        <f>'Capacity Delivered'!H10</f>
        <v>17.639700000000001</v>
      </c>
      <c r="I10" s="247">
        <f t="shared" si="0"/>
        <v>13.377050759986835</v>
      </c>
      <c r="J10" s="248">
        <f t="shared" si="6"/>
        <v>59.534207262753604</v>
      </c>
      <c r="K10" s="248">
        <f t="shared" ref="K10:K26" si="11">(-PMT($D$8,G10,(J10)))</f>
        <v>17.639699999999998</v>
      </c>
      <c r="L10" s="259">
        <f>+K10/'Capacity Delivered'!P10*1000</f>
        <v>5.4423361717882255</v>
      </c>
      <c r="M10" s="249">
        <f t="shared" si="1"/>
        <v>5.4423361717882259E-3</v>
      </c>
      <c r="O10" s="161">
        <f t="shared" si="7"/>
        <v>84.516193502929681</v>
      </c>
      <c r="P10" s="161">
        <f t="shared" si="2"/>
        <v>0</v>
      </c>
      <c r="Q10" s="161">
        <f t="shared" si="3"/>
        <v>64.092779952581949</v>
      </c>
      <c r="R10" s="161">
        <f t="shared" si="8"/>
        <v>274.39030147217727</v>
      </c>
      <c r="S10" s="297">
        <f t="shared" si="9"/>
        <v>81.30052995443036</v>
      </c>
      <c r="T10" s="248">
        <f>+S10/'Capacity Delivered'!L10*1000</f>
        <v>9.2808824148893105</v>
      </c>
      <c r="U10" s="249">
        <f t="shared" si="4"/>
        <v>9.2808824148893111E-3</v>
      </c>
      <c r="W10" s="250">
        <f t="shared" si="10"/>
        <v>14.723218586677536</v>
      </c>
      <c r="X10" s="251">
        <f t="shared" si="5"/>
        <v>1.4723218586677536E-2</v>
      </c>
    </row>
    <row r="11" spans="1:24" s="44" customFormat="1" ht="15.6" x14ac:dyDescent="0.3">
      <c r="B11" s="159"/>
      <c r="C11" s="153"/>
      <c r="D11" s="322"/>
      <c r="E11" s="246"/>
      <c r="F11" s="160">
        <f>'Baseload Avoided Capacity Calcs'!F11</f>
        <v>2028</v>
      </c>
      <c r="G11" s="37">
        <v>5</v>
      </c>
      <c r="H11" s="161">
        <f>'Capacity Delivered'!H11</f>
        <v>17.639700000000001</v>
      </c>
      <c r="I11" s="247">
        <f t="shared" si="0"/>
        <v>12.483250055978754</v>
      </c>
      <c r="J11" s="248">
        <f t="shared" si="6"/>
        <v>72.017457318732355</v>
      </c>
      <c r="K11" s="248">
        <f t="shared" si="11"/>
        <v>17.639699999999994</v>
      </c>
      <c r="L11" s="259">
        <f>+K11/'Capacity Delivered'!P11*1000</f>
        <v>5.4423361717882246</v>
      </c>
      <c r="M11" s="249">
        <f t="shared" si="1"/>
        <v>5.442336171788225E-3</v>
      </c>
      <c r="O11" s="161">
        <f t="shared" si="7"/>
        <v>86.629098340502921</v>
      </c>
      <c r="P11" s="161">
        <f t="shared" si="2"/>
        <v>0</v>
      </c>
      <c r="Q11" s="161">
        <f t="shared" si="3"/>
        <v>61.305617255875781</v>
      </c>
      <c r="R11" s="161">
        <f t="shared" si="8"/>
        <v>335.69591872805307</v>
      </c>
      <c r="S11" s="297">
        <f t="shared" si="9"/>
        <v>82.224165057365653</v>
      </c>
      <c r="T11" s="248">
        <f>+S11/'Capacity Delivered'!L11*1000</f>
        <v>9.3863202120280427</v>
      </c>
      <c r="U11" s="249">
        <f t="shared" si="4"/>
        <v>9.3863202120280428E-3</v>
      </c>
      <c r="W11" s="250">
        <f t="shared" si="10"/>
        <v>14.828656383816266</v>
      </c>
      <c r="X11" s="251">
        <f t="shared" si="5"/>
        <v>1.4828656383816266E-2</v>
      </c>
    </row>
    <row r="12" spans="1:24" s="44" customFormat="1" ht="15.6" x14ac:dyDescent="0.3">
      <c r="B12" s="253"/>
      <c r="C12" s="323"/>
      <c r="D12" s="254"/>
      <c r="E12" s="246"/>
      <c r="F12" s="160">
        <f>'Baseload Avoided Capacity Calcs'!F12</f>
        <v>2029</v>
      </c>
      <c r="G12" s="37">
        <v>6</v>
      </c>
      <c r="H12" s="161">
        <f>'Capacity Delivered'!H12</f>
        <v>17.639700000000001</v>
      </c>
      <c r="I12" s="247">
        <f t="shared" si="0"/>
        <v>11.649169518457215</v>
      </c>
      <c r="J12" s="248">
        <f t="shared" si="6"/>
        <v>83.666626837189568</v>
      </c>
      <c r="K12" s="248">
        <f t="shared" si="11"/>
        <v>17.639699999999994</v>
      </c>
      <c r="L12" s="259">
        <f>+K12/'Capacity Delivered'!P12*1000</f>
        <v>5.427466400827055</v>
      </c>
      <c r="M12" s="249">
        <f t="shared" si="1"/>
        <v>5.4274664008270553E-3</v>
      </c>
      <c r="O12" s="161">
        <f t="shared" si="7"/>
        <v>88.794825799015499</v>
      </c>
      <c r="P12" s="161">
        <f t="shared" si="2"/>
        <v>0</v>
      </c>
      <c r="Q12" s="161">
        <f t="shared" si="3"/>
        <v>58.63965816281511</v>
      </c>
      <c r="R12" s="161">
        <f t="shared" si="8"/>
        <v>394.3355768908682</v>
      </c>
      <c r="S12" s="297">
        <f t="shared" si="9"/>
        <v>83.139018968910321</v>
      </c>
      <c r="T12" s="248">
        <f>+S12/'Capacity Delivered'!L12*1000</f>
        <v>9.4648245638559096</v>
      </c>
      <c r="U12" s="249">
        <f t="shared" si="4"/>
        <v>9.46482456385591E-3</v>
      </c>
      <c r="W12" s="250">
        <f t="shared" si="10"/>
        <v>14.892290964682964</v>
      </c>
      <c r="X12" s="251">
        <f t="shared" si="5"/>
        <v>1.4892290964682964E-2</v>
      </c>
    </row>
    <row r="13" spans="1:24" s="44" customFormat="1" ht="15.6" x14ac:dyDescent="0.3">
      <c r="B13" s="253"/>
      <c r="C13" s="323"/>
      <c r="D13" s="254"/>
      <c r="E13" s="246"/>
      <c r="F13" s="160">
        <f>'Baseload Avoided Capacity Calcs'!F13</f>
        <v>2030</v>
      </c>
      <c r="G13" s="37">
        <v>7</v>
      </c>
      <c r="H13" s="161">
        <f>'Capacity Delivered'!H13</f>
        <v>17.639700000000001</v>
      </c>
      <c r="I13" s="247">
        <f t="shared" si="0"/>
        <v>10.87081888620494</v>
      </c>
      <c r="J13" s="248">
        <f>J12+I13</f>
        <v>94.537445723394512</v>
      </c>
      <c r="K13" s="248">
        <f t="shared" si="11"/>
        <v>17.639699999999994</v>
      </c>
      <c r="L13" s="259">
        <f>+K13/'Capacity Delivered'!P13*1000</f>
        <v>5.4423361717882246</v>
      </c>
      <c r="M13" s="249">
        <f t="shared" si="1"/>
        <v>5.442336171788225E-3</v>
      </c>
      <c r="O13" s="161">
        <f>O12+(O12*$D$9)</f>
        <v>91.014696443990886</v>
      </c>
      <c r="P13" s="161">
        <f t="shared" si="2"/>
        <v>0</v>
      </c>
      <c r="Q13" s="161">
        <f t="shared" si="3"/>
        <v>56.089631967978235</v>
      </c>
      <c r="R13" s="161">
        <f>R12+Q13</f>
        <v>450.42520885884642</v>
      </c>
      <c r="S13" s="297">
        <f t="shared" si="9"/>
        <v>84.044639623061087</v>
      </c>
      <c r="T13" s="248">
        <f>+S13/'Capacity Delivered'!L13*1000</f>
        <v>9.5941369432718151</v>
      </c>
      <c r="U13" s="249">
        <f t="shared" si="4"/>
        <v>9.5941369432718145E-3</v>
      </c>
      <c r="W13" s="250">
        <f t="shared" si="10"/>
        <v>15.036473115060041</v>
      </c>
      <c r="X13" s="251">
        <f t="shared" si="5"/>
        <v>1.5036473115060041E-2</v>
      </c>
    </row>
    <row r="14" spans="1:24" s="44" customFormat="1" x14ac:dyDescent="0.25">
      <c r="B14" s="253"/>
      <c r="C14" s="255"/>
      <c r="D14" s="255"/>
      <c r="E14" s="246"/>
      <c r="F14" s="160">
        <f>'Baseload Avoided Capacity Calcs'!F14</f>
        <v>2031</v>
      </c>
      <c r="G14" s="37">
        <v>8</v>
      </c>
      <c r="H14" s="161">
        <f>'Capacity Delivered'!H14</f>
        <v>17.639700000000001</v>
      </c>
      <c r="I14" s="247">
        <f t="shared" si="0"/>
        <v>10.144474511202818</v>
      </c>
      <c r="J14" s="248">
        <f t="shared" si="6"/>
        <v>104.68192023459733</v>
      </c>
      <c r="K14" s="248">
        <f t="shared" si="11"/>
        <v>17.639699999999994</v>
      </c>
      <c r="L14" s="259">
        <f>+K14/'Capacity Delivered'!P14*1000</f>
        <v>5.4423361717882246</v>
      </c>
      <c r="M14" s="249">
        <f t="shared" si="1"/>
        <v>5.442336171788225E-3</v>
      </c>
      <c r="O14" s="161">
        <f t="shared" si="7"/>
        <v>93.290063855090665</v>
      </c>
      <c r="P14" s="161">
        <f t="shared" si="2"/>
        <v>0</v>
      </c>
      <c r="Q14" s="161">
        <f t="shared" si="3"/>
        <v>53.650497169818671</v>
      </c>
      <c r="R14" s="161">
        <f t="shared" ref="R14:R20" si="12">R13+Q14</f>
        <v>504.07570602866508</v>
      </c>
      <c r="S14" s="297">
        <f t="shared" si="9"/>
        <v>84.940591572135887</v>
      </c>
      <c r="T14" s="248">
        <f>+S14/'Capacity Delivered'!L14*1000</f>
        <v>9.6964145630292098</v>
      </c>
      <c r="U14" s="249">
        <f t="shared" si="4"/>
        <v>9.6964145630292105E-3</v>
      </c>
      <c r="W14" s="250">
        <f t="shared" si="10"/>
        <v>15.138750734817435</v>
      </c>
      <c r="X14" s="251">
        <f t="shared" si="5"/>
        <v>1.5138750734817435E-2</v>
      </c>
    </row>
    <row r="15" spans="1:24" s="44" customFormat="1" x14ac:dyDescent="0.25">
      <c r="B15" s="255"/>
      <c r="C15" s="256"/>
      <c r="D15" s="256"/>
      <c r="E15" s="246"/>
      <c r="F15" s="160">
        <f>'Baseload Avoided Capacity Calcs'!F15</f>
        <v>2032</v>
      </c>
      <c r="G15" s="37">
        <v>9</v>
      </c>
      <c r="H15" s="161">
        <f>'Capacity Delivered'!H15</f>
        <v>17.639700000000001</v>
      </c>
      <c r="I15" s="247">
        <f t="shared" si="0"/>
        <v>9.466661544608824</v>
      </c>
      <c r="J15" s="248">
        <f t="shared" si="6"/>
        <v>114.14858177920615</v>
      </c>
      <c r="K15" s="248">
        <f t="shared" si="11"/>
        <v>17.639699999999991</v>
      </c>
      <c r="L15" s="259">
        <f>+K15/'Capacity Delivered'!P15*1000</f>
        <v>5.4423361717882237</v>
      </c>
      <c r="M15" s="249">
        <f t="shared" si="1"/>
        <v>5.4423361717882233E-3</v>
      </c>
      <c r="O15" s="161">
        <f t="shared" si="7"/>
        <v>95.622315451467927</v>
      </c>
      <c r="P15" s="161">
        <f t="shared" si="2"/>
        <v>0</v>
      </c>
      <c r="Q15" s="161">
        <f t="shared" si="3"/>
        <v>51.317431503419307</v>
      </c>
      <c r="R15" s="161">
        <f t="shared" si="12"/>
        <v>555.39313753208444</v>
      </c>
      <c r="S15" s="297">
        <f t="shared" si="9"/>
        <v>85.826456846171396</v>
      </c>
      <c r="T15" s="248">
        <f>+S15/'Capacity Delivered'!L15*1000</f>
        <v>9.797540735864315</v>
      </c>
      <c r="U15" s="249">
        <f t="shared" si="4"/>
        <v>9.7975407358643143E-3</v>
      </c>
      <c r="W15" s="250">
        <f t="shared" si="10"/>
        <v>15.239876907652539</v>
      </c>
      <c r="X15" s="251">
        <f t="shared" si="5"/>
        <v>1.5239876907652539E-2</v>
      </c>
    </row>
    <row r="16" spans="1:24" s="44" customFormat="1" x14ac:dyDescent="0.25">
      <c r="B16" s="255"/>
      <c r="C16" s="256"/>
      <c r="D16" s="256"/>
      <c r="E16" s="246"/>
      <c r="F16" s="160">
        <f>'Baseload Avoided Capacity Calcs'!F16</f>
        <v>2033</v>
      </c>
      <c r="G16" s="37">
        <v>10</v>
      </c>
      <c r="H16" s="161">
        <f>'Capacity Delivered'!H16</f>
        <v>17.639700000000001</v>
      </c>
      <c r="I16" s="247">
        <f t="shared" si="0"/>
        <v>8.8341373129981555</v>
      </c>
      <c r="J16" s="248">
        <f t="shared" si="6"/>
        <v>122.98271909220431</v>
      </c>
      <c r="K16" s="248">
        <f t="shared" si="11"/>
        <v>17.639699999999994</v>
      </c>
      <c r="L16" s="259">
        <f>+K16/'Capacity Delivered'!P16*1000</f>
        <v>5.427466400827055</v>
      </c>
      <c r="M16" s="249">
        <f t="shared" si="1"/>
        <v>5.4274664008270553E-3</v>
      </c>
      <c r="N16" s="257"/>
      <c r="O16" s="161">
        <f t="shared" si="7"/>
        <v>98.012873337754627</v>
      </c>
      <c r="P16" s="161">
        <f t="shared" si="2"/>
        <v>0</v>
      </c>
      <c r="Q16" s="161">
        <f t="shared" si="3"/>
        <v>49.085822406686063</v>
      </c>
      <c r="R16" s="161">
        <f t="shared" si="12"/>
        <v>604.47895993877046</v>
      </c>
      <c r="S16" s="297">
        <f t="shared" si="9"/>
        <v>86.701835740333919</v>
      </c>
      <c r="T16" s="248">
        <f>+S16/'Capacity Delivered'!L16*1000</f>
        <v>9.870427566067157</v>
      </c>
      <c r="U16" s="249">
        <f t="shared" si="4"/>
        <v>9.8704275660671578E-3</v>
      </c>
      <c r="V16" s="257"/>
      <c r="W16" s="250">
        <f t="shared" si="10"/>
        <v>15.297893966894211</v>
      </c>
      <c r="X16" s="251">
        <f t="shared" si="5"/>
        <v>1.529789396689421E-2</v>
      </c>
    </row>
    <row r="17" spans="2:24" s="44" customFormat="1" x14ac:dyDescent="0.25">
      <c r="B17" s="255"/>
      <c r="C17" s="256"/>
      <c r="D17" s="256"/>
      <c r="E17" s="246"/>
      <c r="F17" s="160">
        <f>'Baseload Avoided Capacity Calcs'!F17</f>
        <v>2034</v>
      </c>
      <c r="G17" s="37">
        <v>11</v>
      </c>
      <c r="H17" s="161">
        <f>'Capacity Delivered'!H17</f>
        <v>17.639700000000001</v>
      </c>
      <c r="I17" s="247">
        <f t="shared" si="0"/>
        <v>8.2438758053360903</v>
      </c>
      <c r="J17" s="248">
        <f t="shared" si="6"/>
        <v>131.22659489754039</v>
      </c>
      <c r="K17" s="248">
        <f t="shared" si="11"/>
        <v>17.639699999999987</v>
      </c>
      <c r="L17" s="259">
        <f>+K17/'Capacity Delivered'!P17*1000</f>
        <v>5.4423361717882237</v>
      </c>
      <c r="M17" s="249">
        <f t="shared" si="1"/>
        <v>5.4423361717882233E-3</v>
      </c>
      <c r="O17" s="161">
        <f t="shared" si="7"/>
        <v>100.46319517119849</v>
      </c>
      <c r="P17" s="161">
        <f t="shared" si="2"/>
        <v>0</v>
      </c>
      <c r="Q17" s="161">
        <f t="shared" si="3"/>
        <v>46.951257901132145</v>
      </c>
      <c r="R17" s="161">
        <f t="shared" si="12"/>
        <v>651.43021783990264</v>
      </c>
      <c r="S17" s="297">
        <f t="shared" si="9"/>
        <v>87.566347527363163</v>
      </c>
      <c r="T17" s="248">
        <f>+S17/'Capacity Delivered'!L17*1000</f>
        <v>9.996158393534607</v>
      </c>
      <c r="U17" s="249">
        <f t="shared" si="4"/>
        <v>9.9961583935346075E-3</v>
      </c>
      <c r="W17" s="250">
        <f t="shared" si="10"/>
        <v>15.438494565322831</v>
      </c>
      <c r="X17" s="251">
        <f t="shared" si="5"/>
        <v>1.5438494565322831E-2</v>
      </c>
    </row>
    <row r="18" spans="2:24" s="44" customFormat="1" x14ac:dyDescent="0.25">
      <c r="B18" s="256"/>
      <c r="C18" s="256"/>
      <c r="D18" s="256"/>
      <c r="E18" s="246"/>
      <c r="F18" s="160">
        <f>'Baseload Avoided Capacity Calcs'!F18</f>
        <v>2035</v>
      </c>
      <c r="G18" s="37">
        <v>12</v>
      </c>
      <c r="H18" s="161">
        <f>'Capacity Delivered'!H18</f>
        <v>17.639700000000001</v>
      </c>
      <c r="I18" s="247">
        <f t="shared" si="0"/>
        <v>7.6930531964689148</v>
      </c>
      <c r="J18" s="248">
        <f t="shared" si="6"/>
        <v>138.91964809400932</v>
      </c>
      <c r="K18" s="248">
        <f t="shared" si="11"/>
        <v>17.639699999999991</v>
      </c>
      <c r="L18" s="259">
        <f>+K18/'Capacity Delivered'!P18*1000</f>
        <v>5.4423361717882237</v>
      </c>
      <c r="M18" s="249">
        <f t="shared" si="1"/>
        <v>5.4423361717882233E-3</v>
      </c>
      <c r="O18" s="161">
        <f t="shared" si="7"/>
        <v>102.97477505047846</v>
      </c>
      <c r="P18" s="161">
        <f t="shared" si="2"/>
        <v>0</v>
      </c>
      <c r="Q18" s="161">
        <f t="shared" si="3"/>
        <v>44.909517869224011</v>
      </c>
      <c r="R18" s="161">
        <f t="shared" si="12"/>
        <v>696.33973570912667</v>
      </c>
      <c r="S18" s="297">
        <f t="shared" si="9"/>
        <v>88.419631092615546</v>
      </c>
      <c r="T18" s="248">
        <f>+S18/'Capacity Delivered'!L18*1000</f>
        <v>10.093565193220952</v>
      </c>
      <c r="U18" s="249">
        <f t="shared" si="4"/>
        <v>1.0093565193220952E-2</v>
      </c>
      <c r="W18" s="250">
        <f t="shared" si="10"/>
        <v>15.535901365009176</v>
      </c>
      <c r="X18" s="251">
        <f t="shared" si="5"/>
        <v>1.5535901365009175E-2</v>
      </c>
    </row>
    <row r="19" spans="2:24" s="44" customFormat="1" x14ac:dyDescent="0.25">
      <c r="B19" s="256"/>
      <c r="C19" s="256"/>
      <c r="D19" s="256"/>
      <c r="E19" s="179"/>
      <c r="F19" s="160">
        <f>'Baseload Avoided Capacity Calcs'!F19</f>
        <v>2036</v>
      </c>
      <c r="G19" s="37">
        <v>13</v>
      </c>
      <c r="H19" s="161">
        <f>'Capacity Delivered'!H19</f>
        <v>17.639700000000001</v>
      </c>
      <c r="I19" s="247">
        <f t="shared" si="0"/>
        <v>7.179034337876927</v>
      </c>
      <c r="J19" s="248">
        <f t="shared" si="6"/>
        <v>146.09868243188623</v>
      </c>
      <c r="K19" s="248">
        <f t="shared" si="11"/>
        <v>17.639699999999991</v>
      </c>
      <c r="L19" s="259">
        <f>+K19/'Capacity Delivered'!P19*1000</f>
        <v>5.4423361717882237</v>
      </c>
      <c r="M19" s="249">
        <f t="shared" si="1"/>
        <v>5.4423361717882233E-3</v>
      </c>
      <c r="O19" s="161">
        <f t="shared" si="7"/>
        <v>105.54914442674041</v>
      </c>
      <c r="P19" s="161">
        <f t="shared" si="2"/>
        <v>0</v>
      </c>
      <c r="Q19" s="161">
        <f t="shared" si="3"/>
        <v>42.956565711043858</v>
      </c>
      <c r="R19" s="161">
        <f t="shared" si="12"/>
        <v>739.29630142017049</v>
      </c>
      <c r="S19" s="297">
        <f t="shared" si="9"/>
        <v>89.26134548982877</v>
      </c>
      <c r="T19" s="248">
        <f>+S19/'Capacity Delivered'!L19*1000</f>
        <v>10.189651311624289</v>
      </c>
      <c r="U19" s="249">
        <f t="shared" si="4"/>
        <v>1.0189651311624288E-2</v>
      </c>
      <c r="W19" s="250">
        <f t="shared" si="10"/>
        <v>15.631987483412512</v>
      </c>
      <c r="X19" s="251">
        <f t="shared" si="5"/>
        <v>1.5631987483412511E-2</v>
      </c>
    </row>
    <row r="20" spans="2:24" s="44" customFormat="1" x14ac:dyDescent="0.25">
      <c r="B20" s="256"/>
      <c r="C20" s="256"/>
      <c r="D20" s="256"/>
      <c r="E20" s="179"/>
      <c r="F20" s="160">
        <f>'Baseload Avoided Capacity Calcs'!F20</f>
        <v>2037</v>
      </c>
      <c r="G20" s="37">
        <v>14</v>
      </c>
      <c r="H20" s="161">
        <f>'Capacity Delivered'!H20</f>
        <v>17.639700000000001</v>
      </c>
      <c r="I20" s="247">
        <f t="shared" si="0"/>
        <v>6.6993601510609606</v>
      </c>
      <c r="J20" s="248">
        <f t="shared" si="6"/>
        <v>152.7980425829472</v>
      </c>
      <c r="K20" s="248">
        <f t="shared" si="11"/>
        <v>17.639699999999987</v>
      </c>
      <c r="L20" s="259">
        <f>+K20/'Capacity Delivered'!P20*1000</f>
        <v>5.4274664008270523</v>
      </c>
      <c r="M20" s="249">
        <f t="shared" si="1"/>
        <v>5.4274664008270527E-3</v>
      </c>
      <c r="O20" s="161">
        <f t="shared" si="7"/>
        <v>108.18787303740892</v>
      </c>
      <c r="P20" s="161">
        <f t="shared" si="2"/>
        <v>0</v>
      </c>
      <c r="Q20" s="161">
        <f t="shared" si="3"/>
        <v>41.088540363773745</v>
      </c>
      <c r="R20" s="161">
        <f t="shared" si="12"/>
        <v>780.38484178394424</v>
      </c>
      <c r="S20" s="297">
        <f t="shared" si="9"/>
        <v>90.091170416292613</v>
      </c>
      <c r="T20" s="248">
        <f>+S20/'Capacity Delivered'!L20*1000</f>
        <v>10.256280785097065</v>
      </c>
      <c r="U20" s="249">
        <f t="shared" si="4"/>
        <v>1.0256280785097065E-2</v>
      </c>
      <c r="W20" s="250">
        <f t="shared" si="10"/>
        <v>15.683747185924117</v>
      </c>
      <c r="X20" s="251">
        <f t="shared" si="5"/>
        <v>1.5683747185924118E-2</v>
      </c>
    </row>
    <row r="21" spans="2:24" s="257" customFormat="1" x14ac:dyDescent="0.25">
      <c r="B21" s="256"/>
      <c r="C21" s="256"/>
      <c r="D21" s="256"/>
      <c r="E21" s="179"/>
      <c r="F21" s="160">
        <f>'Baseload Avoided Capacity Calcs'!F21</f>
        <v>2038</v>
      </c>
      <c r="G21" s="37">
        <v>15</v>
      </c>
      <c r="H21" s="161">
        <f>'Capacity Delivered'!H21</f>
        <v>17.639700000000001</v>
      </c>
      <c r="I21" s="247">
        <f t="shared" si="0"/>
        <v>6.2517358632521081</v>
      </c>
      <c r="J21" s="248">
        <f>J20+I21</f>
        <v>159.0497784461993</v>
      </c>
      <c r="K21" s="248">
        <f t="shared" si="11"/>
        <v>17.639699999999987</v>
      </c>
      <c r="L21" s="259">
        <f>+K21/'Capacity Delivered'!P21*1000</f>
        <v>5.4423361717882237</v>
      </c>
      <c r="M21" s="249">
        <f>L21/1000</f>
        <v>5.4423361717882233E-3</v>
      </c>
      <c r="O21" s="161">
        <f t="shared" si="7"/>
        <v>110.89256986334415</v>
      </c>
      <c r="P21" s="161">
        <f t="shared" si="2"/>
        <v>0</v>
      </c>
      <c r="Q21" s="161">
        <f t="shared" si="3"/>
        <v>39.301748668223297</v>
      </c>
      <c r="R21" s="161">
        <f>R20+Q21</f>
        <v>819.68659045216759</v>
      </c>
      <c r="S21" s="297">
        <f t="shared" si="9"/>
        <v>90.908806606669046</v>
      </c>
      <c r="T21" s="248">
        <f>+S21/'Capacity Delivered'!L21*1000</f>
        <v>10.377717649163133</v>
      </c>
      <c r="U21" s="249">
        <f>T21/1000</f>
        <v>1.0377717649163133E-2</v>
      </c>
      <c r="W21" s="250">
        <f>L21+T21</f>
        <v>15.820053820951356</v>
      </c>
      <c r="X21" s="251">
        <f>W21/1000</f>
        <v>1.5820053820951356E-2</v>
      </c>
    </row>
    <row r="22" spans="2:24" s="44" customFormat="1" x14ac:dyDescent="0.25">
      <c r="B22" s="256"/>
      <c r="C22" s="256"/>
      <c r="D22" s="256"/>
      <c r="E22" s="179"/>
      <c r="F22" s="160">
        <f>'Baseload Avoided Capacity Calcs'!F22</f>
        <v>2039</v>
      </c>
      <c r="G22" s="37">
        <v>16</v>
      </c>
      <c r="H22" s="161">
        <f>'Capacity Delivered'!H22</f>
        <v>17.639700000000001</v>
      </c>
      <c r="I22" s="247">
        <f t="shared" si="0"/>
        <v>5.8340200291639679</v>
      </c>
      <c r="J22" s="248">
        <f t="shared" si="6"/>
        <v>164.88379847536328</v>
      </c>
      <c r="K22" s="248">
        <f t="shared" si="11"/>
        <v>17.639699999999984</v>
      </c>
      <c r="L22" s="259">
        <f>+K22/'Capacity Delivered'!P22*1000</f>
        <v>5.4423361717882219</v>
      </c>
      <c r="M22" s="249">
        <f t="shared" si="1"/>
        <v>5.4423361717882215E-3</v>
      </c>
      <c r="O22" s="161">
        <f t="shared" si="7"/>
        <v>113.66488410992775</v>
      </c>
      <c r="P22" s="161">
        <f t="shared" si="2"/>
        <v>0</v>
      </c>
      <c r="Q22" s="161">
        <f t="shared" si="3"/>
        <v>37.592658067309515</v>
      </c>
      <c r="R22" s="161">
        <f t="shared" ref="R22:R27" si="13">R21+Q22</f>
        <v>857.27924851947705</v>
      </c>
      <c r="S22" s="297">
        <f t="shared" si="9"/>
        <v>91.713976145258073</v>
      </c>
      <c r="T22" s="248">
        <f>+S22/'Capacity Delivered'!L22*1000</f>
        <v>10.469631980052291</v>
      </c>
      <c r="U22" s="249">
        <f t="shared" ref="U22:U27" si="14">T22/1000</f>
        <v>1.0469631980052291E-2</v>
      </c>
      <c r="W22" s="250">
        <f t="shared" si="10"/>
        <v>15.911968151840513</v>
      </c>
      <c r="X22" s="251">
        <f t="shared" ref="X22:X27" si="15">W22/1000</f>
        <v>1.5911968151840514E-2</v>
      </c>
    </row>
    <row r="23" spans="2:24" s="44" customFormat="1" x14ac:dyDescent="0.25">
      <c r="B23" s="256"/>
      <c r="C23" s="256"/>
      <c r="D23" s="256"/>
      <c r="E23" s="179"/>
      <c r="F23" s="160">
        <f>'Baseload Avoided Capacity Calcs'!F23</f>
        <v>2040</v>
      </c>
      <c r="G23" s="37">
        <v>17</v>
      </c>
      <c r="H23" s="161">
        <f>'Capacity Delivered'!H23</f>
        <v>17.639700000000001</v>
      </c>
      <c r="I23" s="247">
        <f t="shared" si="0"/>
        <v>5.4442142862672327</v>
      </c>
      <c r="J23" s="248">
        <f t="shared" si="6"/>
        <v>170.3280127616305</v>
      </c>
      <c r="K23" s="248">
        <f t="shared" si="11"/>
        <v>17.639699999999984</v>
      </c>
      <c r="L23" s="259">
        <f>+K23/'Capacity Delivered'!P23*1000</f>
        <v>5.4423361717882219</v>
      </c>
      <c r="M23" s="249">
        <f t="shared" si="1"/>
        <v>5.4423361717882215E-3</v>
      </c>
      <c r="O23" s="161">
        <f t="shared" si="7"/>
        <v>116.50650621267594</v>
      </c>
      <c r="P23" s="161">
        <f t="shared" si="2"/>
        <v>0</v>
      </c>
      <c r="Q23" s="161">
        <f t="shared" si="3"/>
        <v>35.957889622053237</v>
      </c>
      <c r="R23" s="161">
        <f t="shared" si="13"/>
        <v>893.23713814153029</v>
      </c>
      <c r="S23" s="297">
        <f t="shared" si="9"/>
        <v>92.506422697045423</v>
      </c>
      <c r="T23" s="248">
        <f>+S23/'Capacity Delivered'!L23*1000</f>
        <v>10.560093915187833</v>
      </c>
      <c r="U23" s="249">
        <f t="shared" si="14"/>
        <v>1.0560093915187833E-2</v>
      </c>
      <c r="W23" s="250">
        <f t="shared" si="10"/>
        <v>16.002430086976055</v>
      </c>
      <c r="X23" s="251">
        <f t="shared" si="15"/>
        <v>1.6002430086976056E-2</v>
      </c>
    </row>
    <row r="24" spans="2:24" x14ac:dyDescent="0.25">
      <c r="B24" s="162"/>
      <c r="C24" s="162"/>
      <c r="D24" s="162"/>
      <c r="E24" s="52"/>
      <c r="F24" s="160">
        <f>'Baseload Avoided Capacity Calcs'!F24</f>
        <v>2041</v>
      </c>
      <c r="G24" s="39">
        <v>18</v>
      </c>
      <c r="H24" s="161">
        <f>'Capacity Delivered'!H24</f>
        <v>17.639700000000001</v>
      </c>
      <c r="I24" s="40">
        <f t="shared" si="0"/>
        <v>5.0804537945756181</v>
      </c>
      <c r="J24" s="41">
        <f t="shared" si="6"/>
        <v>175.40846655620612</v>
      </c>
      <c r="K24" s="248">
        <f t="shared" si="11"/>
        <v>17.639699999999984</v>
      </c>
      <c r="L24" s="259">
        <f>+K24/'Capacity Delivered'!P24*1000</f>
        <v>5.4274664008270515</v>
      </c>
      <c r="M24" s="227">
        <f t="shared" si="1"/>
        <v>5.4274664008270518E-3</v>
      </c>
      <c r="O24" s="161">
        <f t="shared" si="7"/>
        <v>119.41916886799284</v>
      </c>
      <c r="P24" s="161">
        <f t="shared" si="2"/>
        <v>0</v>
      </c>
      <c r="Q24" s="161">
        <f t="shared" si="3"/>
        <v>34.394211331284581</v>
      </c>
      <c r="R24" s="161">
        <f t="shared" si="13"/>
        <v>927.63134947281492</v>
      </c>
      <c r="S24" s="297">
        <f t="shared" si="9"/>
        <v>93.285911658388287</v>
      </c>
      <c r="T24" s="41">
        <f>+S24/'Capacity Delivered'!L24*1000</f>
        <v>10.619980835426716</v>
      </c>
      <c r="U24" s="227">
        <f t="shared" si="14"/>
        <v>1.0619980835426717E-2</v>
      </c>
      <c r="W24" s="234">
        <f t="shared" si="10"/>
        <v>16.047447236253767</v>
      </c>
      <c r="X24" s="235">
        <f t="shared" si="15"/>
        <v>1.6047447236253766E-2</v>
      </c>
    </row>
    <row r="25" spans="2:24" x14ac:dyDescent="0.25">
      <c r="B25" s="162"/>
      <c r="C25" s="162"/>
      <c r="D25" s="162"/>
      <c r="E25" s="52"/>
      <c r="F25" s="160">
        <f>'Baseload Avoided Capacity Calcs'!F25</f>
        <v>2042</v>
      </c>
      <c r="G25" s="39">
        <v>19</v>
      </c>
      <c r="H25" s="161">
        <f>'Capacity Delivered'!H25</f>
        <v>17.639700000000001</v>
      </c>
      <c r="I25" s="40">
        <f t="shared" si="0"/>
        <v>4.7409983152068094</v>
      </c>
      <c r="J25" s="41">
        <f t="shared" si="6"/>
        <v>180.14946487141293</v>
      </c>
      <c r="K25" s="248">
        <f t="shared" si="11"/>
        <v>17.63969999999998</v>
      </c>
      <c r="L25" s="259">
        <f>+K25/'Capacity Delivered'!P25*1000</f>
        <v>5.442336171788221</v>
      </c>
      <c r="M25" s="227">
        <f t="shared" si="1"/>
        <v>5.4423361717882207E-3</v>
      </c>
      <c r="O25" s="161">
        <f t="shared" si="7"/>
        <v>122.40464808969266</v>
      </c>
      <c r="P25" s="161">
        <f t="shared" si="2"/>
        <v>0</v>
      </c>
      <c r="Q25" s="161">
        <f t="shared" si="3"/>
        <v>32.898531741850221</v>
      </c>
      <c r="R25" s="161">
        <f t="shared" si="13"/>
        <v>960.52988121466512</v>
      </c>
      <c r="S25" s="297">
        <f t="shared" si="9"/>
        <v>94.052230228694896</v>
      </c>
      <c r="T25" s="41">
        <f>+S25/'Capacity Delivered'!L25*1000</f>
        <v>10.736555962179782</v>
      </c>
      <c r="U25" s="227">
        <f t="shared" si="14"/>
        <v>1.0736555962179782E-2</v>
      </c>
      <c r="W25" s="234">
        <f t="shared" si="10"/>
        <v>16.178892133968002</v>
      </c>
      <c r="X25" s="235">
        <f t="shared" si="15"/>
        <v>1.6178892133968004E-2</v>
      </c>
    </row>
    <row r="26" spans="2:24" x14ac:dyDescent="0.25">
      <c r="B26" s="162"/>
      <c r="C26" s="162"/>
      <c r="D26" s="162"/>
      <c r="E26" s="52"/>
      <c r="F26" s="160">
        <f>'Baseload Avoided Capacity Calcs'!F26</f>
        <v>2043</v>
      </c>
      <c r="G26" s="39">
        <v>20</v>
      </c>
      <c r="H26" s="161">
        <f>'Capacity Delivered'!H26</f>
        <v>17.639700000000001</v>
      </c>
      <c r="I26" s="40">
        <f t="shared" si="0"/>
        <v>4.4242238850380824</v>
      </c>
      <c r="J26" s="41">
        <f t="shared" si="6"/>
        <v>184.57368875645102</v>
      </c>
      <c r="K26" s="248">
        <f t="shared" si="11"/>
        <v>17.63969999999998</v>
      </c>
      <c r="L26" s="259">
        <f>+K26/'Capacity Delivered'!P26*1000</f>
        <v>5.442336171788221</v>
      </c>
      <c r="M26" s="227">
        <f t="shared" si="1"/>
        <v>5.4423361717882207E-3</v>
      </c>
      <c r="O26" s="161">
        <f t="shared" si="7"/>
        <v>125.46476429193497</v>
      </c>
      <c r="P26" s="161">
        <f t="shared" si="2"/>
        <v>0</v>
      </c>
      <c r="Q26" s="161">
        <f t="shared" si="3"/>
        <v>31.467893836689502</v>
      </c>
      <c r="R26" s="161">
        <f t="shared" si="13"/>
        <v>991.99777505135467</v>
      </c>
      <c r="S26" s="297">
        <f t="shared" si="9"/>
        <v>94.805187404923515</v>
      </c>
      <c r="T26" s="41">
        <f>+S26/'Capacity Delivered'!L26*1000</f>
        <v>10.822509977730995</v>
      </c>
      <c r="U26" s="227">
        <f t="shared" si="14"/>
        <v>1.0822509977730994E-2</v>
      </c>
      <c r="W26" s="234">
        <f t="shared" si="10"/>
        <v>16.264846149519215</v>
      </c>
      <c r="X26" s="235">
        <f t="shared" si="15"/>
        <v>1.6264846149519216E-2</v>
      </c>
    </row>
    <row r="27" spans="2:24" s="44" customFormat="1" ht="15.6" thickBot="1" x14ac:dyDescent="0.3">
      <c r="F27" s="160">
        <f>'Baseload Avoided Capacity Calcs'!F27</f>
        <v>2044</v>
      </c>
      <c r="G27" s="37">
        <v>21</v>
      </c>
      <c r="H27" s="161">
        <f>'Capacity Delivered'!H27</f>
        <v>17.639700000000001</v>
      </c>
      <c r="I27" s="40">
        <f t="shared" si="0"/>
        <v>4.1286150476279229</v>
      </c>
      <c r="J27" s="41">
        <f t="shared" si="6"/>
        <v>188.70230380407895</v>
      </c>
      <c r="K27" s="248">
        <f>(-PMT($D$8,G27,(J27)))</f>
        <v>17.639699999999984</v>
      </c>
      <c r="L27" s="259">
        <f>+K27/'Capacity Delivered'!P27*1000</f>
        <v>5.4423361717882219</v>
      </c>
      <c r="M27" s="227">
        <f t="shared" si="1"/>
        <v>5.4423361717882215E-3</v>
      </c>
      <c r="O27" s="161">
        <f t="shared" si="7"/>
        <v>128.60138339923336</v>
      </c>
      <c r="P27" s="161">
        <f t="shared" si="2"/>
        <v>0</v>
      </c>
      <c r="Q27" s="161">
        <f t="shared" si="3"/>
        <v>30.099469188696098</v>
      </c>
      <c r="R27" s="161">
        <f t="shared" si="13"/>
        <v>1022.0972442400507</v>
      </c>
      <c r="S27" s="297">
        <f t="shared" si="9"/>
        <v>95.544613901165746</v>
      </c>
      <c r="T27" s="41">
        <f>+S27/'Capacity Delivered'!L27*1000</f>
        <v>10.906919395110245</v>
      </c>
      <c r="U27" s="227">
        <f t="shared" si="14"/>
        <v>1.0906919395110246E-2</v>
      </c>
      <c r="W27" s="236">
        <f t="shared" si="10"/>
        <v>16.349255566898467</v>
      </c>
      <c r="X27" s="237">
        <f t="shared" si="15"/>
        <v>1.6349255566898466E-2</v>
      </c>
    </row>
    <row r="28" spans="2:24" s="44" customFormat="1" x14ac:dyDescent="0.25">
      <c r="C28" s="21"/>
      <c r="F28" s="38"/>
      <c r="G28" s="37"/>
      <c r="H28" s="164"/>
      <c r="I28" s="55"/>
      <c r="J28" s="56"/>
      <c r="K28" s="48"/>
      <c r="L28" s="48"/>
      <c r="M28" s="48"/>
      <c r="O28" s="165"/>
      <c r="P28" s="54"/>
      <c r="Q28" s="55"/>
      <c r="R28" s="56"/>
      <c r="S28" s="48"/>
      <c r="T28" s="48"/>
      <c r="U28" s="48"/>
      <c r="W28" s="48"/>
      <c r="X28" s="48"/>
    </row>
    <row r="29" spans="2:24" x14ac:dyDescent="0.25">
      <c r="B29" s="31"/>
      <c r="C29" s="21"/>
      <c r="D29" s="44"/>
      <c r="E29" s="44"/>
      <c r="F29" s="31"/>
      <c r="G29" s="37"/>
      <c r="H29" s="164"/>
      <c r="I29" s="31"/>
      <c r="J29" s="31"/>
      <c r="K29" s="31"/>
      <c r="L29" s="31"/>
      <c r="M29" s="31"/>
      <c r="O29" s="165"/>
      <c r="P29" s="54"/>
      <c r="Q29" s="31"/>
      <c r="R29" s="31"/>
      <c r="S29" s="31"/>
      <c r="T29" s="31"/>
      <c r="U29" s="31"/>
      <c r="W29" s="31"/>
      <c r="X29" s="31"/>
    </row>
    <row r="30" spans="2:24" x14ac:dyDescent="0.25">
      <c r="B30" s="31" t="s">
        <v>174</v>
      </c>
      <c r="C30" s="21"/>
      <c r="D30" s="44"/>
      <c r="E30" s="44"/>
      <c r="F30" s="31"/>
      <c r="G30" s="37"/>
      <c r="H30" s="164"/>
      <c r="I30" s="31"/>
      <c r="J30" s="31"/>
      <c r="K30" s="31"/>
      <c r="L30" s="31"/>
      <c r="M30" s="31"/>
      <c r="O30" s="165"/>
      <c r="P30" s="54"/>
      <c r="Q30" s="31"/>
      <c r="R30" s="31"/>
      <c r="S30" s="31"/>
      <c r="T30" s="31"/>
      <c r="U30" s="31"/>
      <c r="W30" s="31"/>
      <c r="X30" s="31"/>
    </row>
    <row r="31" spans="2:24" x14ac:dyDescent="0.25">
      <c r="B31" s="339" t="s">
        <v>178</v>
      </c>
    </row>
  </sheetData>
  <hyperlinks>
    <hyperlink ref="B31" r:id="rId1"/>
  </hyperlinks>
  <pageMargins left="0.75" right="0.5" top="0.76" bottom="0.79" header="0.5" footer="0.26"/>
  <pageSetup scale="64" orientation="landscape" r:id="rId2"/>
  <headerFooter alignWithMargins="0">
    <oddFooter>&amp;L&amp;F&amp;C&amp;A&amp;RPSE Advice No. 2018-48 &amp;D
Page &amp;P of &amp;N</oddFooter>
  </headerFooter>
  <drawing r:id="rId3"/>
  <legacyDrawing r:id="rId4"/>
  <controls>
    <mc:AlternateContent xmlns:mc="http://schemas.openxmlformats.org/markup-compatibility/2006">
      <mc:Choice Requires="x14">
        <control shapeId="27649" r:id="rId5" name="Control 1">
          <controlPr defaultSize="0" r:id="rId6">
            <anchor moveWithCells="1">
              <from>
                <xdr:col>6</xdr:col>
                <xdr:colOff>571500</xdr:colOff>
                <xdr:row>2</xdr:row>
                <xdr:rowOff>68580</xdr:rowOff>
              </from>
              <to>
                <xdr:col>6</xdr:col>
                <xdr:colOff>792480</xdr:colOff>
                <xdr:row>3</xdr:row>
                <xdr:rowOff>91440</xdr:rowOff>
              </to>
            </anchor>
          </controlPr>
        </control>
      </mc:Choice>
      <mc:Fallback>
        <control shapeId="27649" r:id="rId5" name="Control 1"/>
      </mc:Fallback>
    </mc:AlternateContent>
    <mc:AlternateContent xmlns:mc="http://schemas.openxmlformats.org/markup-compatibility/2006">
      <mc:Choice Requires="x14">
        <control shapeId="27650" r:id="rId7" name="Control 2">
          <controlPr defaultSize="0" r:id="rId8">
            <anchor moveWithCells="1">
              <from>
                <xdr:col>6</xdr:col>
                <xdr:colOff>571500</xdr:colOff>
                <xdr:row>2</xdr:row>
                <xdr:rowOff>68580</xdr:rowOff>
              </from>
              <to>
                <xdr:col>7</xdr:col>
                <xdr:colOff>175260</xdr:colOff>
                <xdr:row>3</xdr:row>
                <xdr:rowOff>91440</xdr:rowOff>
              </to>
            </anchor>
          </controlPr>
        </control>
      </mc:Choice>
      <mc:Fallback>
        <control shapeId="27650" r:id="rId7" name="Control 2"/>
      </mc:Fallback>
    </mc:AlternateContent>
    <mc:AlternateContent xmlns:mc="http://schemas.openxmlformats.org/markup-compatibility/2006">
      <mc:Choice Requires="x14">
        <control shapeId="27651" r:id="rId9" name="Control 3">
          <controlPr defaultSize="0" r:id="rId10">
            <anchor moveWithCells="1">
              <from>
                <xdr:col>6</xdr:col>
                <xdr:colOff>571500</xdr:colOff>
                <xdr:row>2</xdr:row>
                <xdr:rowOff>68580</xdr:rowOff>
              </from>
              <to>
                <xdr:col>7</xdr:col>
                <xdr:colOff>175260</xdr:colOff>
                <xdr:row>3</xdr:row>
                <xdr:rowOff>91440</xdr:rowOff>
              </to>
            </anchor>
          </controlPr>
        </control>
      </mc:Choice>
      <mc:Fallback>
        <control shapeId="27651" r:id="rId9" name="Control 3"/>
      </mc:Fallback>
    </mc:AlternateContent>
    <mc:AlternateContent xmlns:mc="http://schemas.openxmlformats.org/markup-compatibility/2006">
      <mc:Choice Requires="x14">
        <control shapeId="27652" r:id="rId11" name="Control 4">
          <controlPr defaultSize="0" r:id="rId12">
            <anchor moveWithCells="1">
              <from>
                <xdr:col>6</xdr:col>
                <xdr:colOff>571500</xdr:colOff>
                <xdr:row>2</xdr:row>
                <xdr:rowOff>68580</xdr:rowOff>
              </from>
              <to>
                <xdr:col>7</xdr:col>
                <xdr:colOff>198120</xdr:colOff>
                <xdr:row>3</xdr:row>
                <xdr:rowOff>175260</xdr:rowOff>
              </to>
            </anchor>
          </controlPr>
        </control>
      </mc:Choice>
      <mc:Fallback>
        <control shapeId="27652" r:id="rId11" name="Control 4"/>
      </mc:Fallback>
    </mc:AlternateContent>
  </control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9" tint="0.39997558519241921"/>
    <pageSetUpPr fitToPage="1"/>
  </sheetPr>
  <dimension ref="A1:X32"/>
  <sheetViews>
    <sheetView topLeftCell="A13" workbookViewId="0">
      <selection activeCell="D21" sqref="D21"/>
    </sheetView>
  </sheetViews>
  <sheetFormatPr defaultColWidth="9.109375" defaultRowHeight="15" x14ac:dyDescent="0.25"/>
  <cols>
    <col min="1" max="1" width="2.5546875" style="33" customWidth="1"/>
    <col min="2" max="2" width="25.5546875" style="33" customWidth="1"/>
    <col min="3" max="3" width="17.44140625" style="33" customWidth="1"/>
    <col min="4" max="4" width="15.5546875" style="33" customWidth="1"/>
    <col min="5" max="5" width="2.5546875" style="33" customWidth="1"/>
    <col min="6" max="6" width="9.5546875" style="33" customWidth="1"/>
    <col min="7" max="7" width="16.5546875" style="33" customWidth="1"/>
    <col min="8" max="8" width="16.44140625" style="44" customWidth="1"/>
    <col min="9" max="9" width="18.5546875" style="33" customWidth="1"/>
    <col min="10" max="10" width="19" style="33" customWidth="1"/>
    <col min="11" max="13" width="22.44140625" style="33" customWidth="1"/>
    <col min="14" max="14" width="2.5546875" style="33" customWidth="1"/>
    <col min="15" max="15" width="16.44140625" style="44" customWidth="1"/>
    <col min="16" max="16" width="16.5546875" style="158" customWidth="1"/>
    <col min="17" max="17" width="18.5546875" style="33" customWidth="1"/>
    <col min="18" max="18" width="19" style="33" customWidth="1"/>
    <col min="19" max="21" width="22.44140625" style="33" customWidth="1"/>
    <col min="22" max="22" width="2.5546875" style="33" customWidth="1"/>
    <col min="23" max="24" width="22.44140625" style="33" customWidth="1"/>
    <col min="25" max="16384" width="9.109375" style="33"/>
  </cols>
  <sheetData>
    <row r="1" spans="1:24" x14ac:dyDescent="0.25">
      <c r="B1" s="14"/>
    </row>
    <row r="3" spans="1:24" ht="16.2" thickBot="1" x14ac:dyDescent="0.35">
      <c r="H3" s="154"/>
    </row>
    <row r="4" spans="1:24" ht="62.4" x14ac:dyDescent="0.3">
      <c r="F4" s="15" t="s">
        <v>15</v>
      </c>
      <c r="G4" s="16" t="s">
        <v>1</v>
      </c>
      <c r="H4" s="17" t="s">
        <v>16</v>
      </c>
      <c r="I4" s="16" t="s">
        <v>17</v>
      </c>
      <c r="J4" s="16" t="s">
        <v>18</v>
      </c>
      <c r="K4" s="3" t="s">
        <v>19</v>
      </c>
      <c r="L4" s="3" t="s">
        <v>19</v>
      </c>
      <c r="M4" s="3" t="s">
        <v>19</v>
      </c>
      <c r="O4" s="17" t="s">
        <v>75</v>
      </c>
      <c r="P4" s="17" t="s">
        <v>52</v>
      </c>
      <c r="Q4" s="16" t="s">
        <v>17</v>
      </c>
      <c r="R4" s="16" t="s">
        <v>18</v>
      </c>
      <c r="S4" s="3" t="s">
        <v>19</v>
      </c>
      <c r="T4" s="3" t="s">
        <v>19</v>
      </c>
      <c r="U4" s="3" t="s">
        <v>19</v>
      </c>
      <c r="W4" s="228" t="s">
        <v>19</v>
      </c>
      <c r="X4" s="229" t="s">
        <v>19</v>
      </c>
    </row>
    <row r="5" spans="1:24" ht="15.6" x14ac:dyDescent="0.3">
      <c r="B5" s="50"/>
      <c r="C5" s="50"/>
      <c r="F5" s="18"/>
      <c r="G5" s="18" t="s">
        <v>20</v>
      </c>
      <c r="H5" s="19" t="s">
        <v>34</v>
      </c>
      <c r="I5" s="18" t="s">
        <v>34</v>
      </c>
      <c r="J5" s="18" t="s">
        <v>34</v>
      </c>
      <c r="K5" s="4" t="s">
        <v>34</v>
      </c>
      <c r="L5" s="4" t="s">
        <v>37</v>
      </c>
      <c r="M5" s="4" t="s">
        <v>38</v>
      </c>
      <c r="O5" s="19" t="s">
        <v>34</v>
      </c>
      <c r="P5" s="19" t="s">
        <v>34</v>
      </c>
      <c r="Q5" s="18" t="s">
        <v>34</v>
      </c>
      <c r="R5" s="18" t="s">
        <v>34</v>
      </c>
      <c r="S5" s="4" t="s">
        <v>34</v>
      </c>
      <c r="T5" s="4" t="s">
        <v>37</v>
      </c>
      <c r="U5" s="4" t="s">
        <v>38</v>
      </c>
      <c r="W5" s="230" t="s">
        <v>37</v>
      </c>
      <c r="X5" s="231" t="s">
        <v>38</v>
      </c>
    </row>
    <row r="6" spans="1:24" ht="15.6" x14ac:dyDescent="0.3">
      <c r="A6" s="159"/>
      <c r="B6" s="159"/>
      <c r="C6" s="153" t="s">
        <v>21</v>
      </c>
      <c r="D6" s="307">
        <f>74.7*(1+D9)^(F7-2022)</f>
        <v>78.481687499999992</v>
      </c>
      <c r="E6" s="45"/>
      <c r="F6" s="157" t="s">
        <v>22</v>
      </c>
      <c r="G6" s="157" t="s">
        <v>23</v>
      </c>
      <c r="H6" s="157" t="s">
        <v>24</v>
      </c>
      <c r="I6" s="157" t="s">
        <v>32</v>
      </c>
      <c r="J6" s="157" t="s">
        <v>27</v>
      </c>
      <c r="K6" s="157" t="s">
        <v>28</v>
      </c>
      <c r="L6" s="157" t="s">
        <v>39</v>
      </c>
      <c r="M6" s="157" t="s">
        <v>74</v>
      </c>
      <c r="O6" s="157" t="s">
        <v>25</v>
      </c>
      <c r="P6" s="157" t="s">
        <v>26</v>
      </c>
      <c r="Q6" s="157" t="s">
        <v>32</v>
      </c>
      <c r="R6" s="157" t="s">
        <v>27</v>
      </c>
      <c r="S6" s="157" t="s">
        <v>28</v>
      </c>
      <c r="T6" s="157" t="s">
        <v>39</v>
      </c>
      <c r="U6" s="157" t="s">
        <v>74</v>
      </c>
      <c r="W6" s="232" t="s">
        <v>39</v>
      </c>
      <c r="X6" s="233" t="s">
        <v>74</v>
      </c>
    </row>
    <row r="7" spans="1:24" ht="15.6" x14ac:dyDescent="0.3">
      <c r="A7" s="159"/>
      <c r="B7" s="50"/>
      <c r="C7" s="20" t="s">
        <v>29</v>
      </c>
      <c r="D7" s="46">
        <v>0</v>
      </c>
      <c r="E7" s="47"/>
      <c r="F7" s="160">
        <f>'Baseload Avoided Capacity Calcs'!F7</f>
        <v>2024</v>
      </c>
      <c r="G7" s="155">
        <v>1</v>
      </c>
      <c r="H7" s="161">
        <f>'Capacity Delivered'!I7</f>
        <v>5.4276</v>
      </c>
      <c r="I7" s="32">
        <f t="shared" ref="I7:I27" si="0">SUM(H7)/((1+$D$8)^G7)</f>
        <v>5.064949608062709</v>
      </c>
      <c r="J7" s="156">
        <f>I7</f>
        <v>5.064949608062709</v>
      </c>
      <c r="K7" s="248">
        <f>(-PMT($D$8,G7,(J7)))</f>
        <v>5.4275999999999991</v>
      </c>
      <c r="L7" s="156">
        <f>+K7/'Capacity Delivered'!R7*1000</f>
        <v>2.4783561643835612</v>
      </c>
      <c r="M7" s="226">
        <f t="shared" ref="M7:M27" si="1">L7/1000</f>
        <v>2.4783561643835612E-3</v>
      </c>
      <c r="O7" s="166">
        <f>D6</f>
        <v>78.481687499999992</v>
      </c>
      <c r="P7" s="166">
        <f t="shared" ref="P7:P27" si="2">(H7+O7)*$D$7</f>
        <v>0</v>
      </c>
      <c r="Q7" s="166">
        <f t="shared" ref="Q7:Q27" si="3">SUM(O7:P7)/((1+$D$8)^G7)</f>
        <v>73.237856942889124</v>
      </c>
      <c r="R7" s="166">
        <f>Q7</f>
        <v>73.237856942889124</v>
      </c>
      <c r="S7" s="297">
        <f>(-PMT($D$8,G7,(R7)))</f>
        <v>78.481687500000007</v>
      </c>
      <c r="T7" s="156">
        <f>+S7/'Capacity Delivered'!L7*1000</f>
        <v>8.9590967465753426</v>
      </c>
      <c r="U7" s="226">
        <f t="shared" ref="U7:U20" si="4">T7/1000</f>
        <v>8.9590967465753429E-3</v>
      </c>
      <c r="W7" s="234">
        <f>L7+T7</f>
        <v>11.437452910958903</v>
      </c>
      <c r="X7" s="235">
        <f t="shared" ref="X7:X20" si="5">W7/1000</f>
        <v>1.1437452910958903E-2</v>
      </c>
    </row>
    <row r="8" spans="1:24" s="44" customFormat="1" ht="15.6" x14ac:dyDescent="0.3">
      <c r="A8" s="159"/>
      <c r="B8" s="159"/>
      <c r="C8" s="153" t="s">
        <v>33</v>
      </c>
      <c r="D8" s="46">
        <f>Rate_of_Return</f>
        <v>7.1599999999999997E-2</v>
      </c>
      <c r="E8" s="246"/>
      <c r="F8" s="38">
        <f>F7+1</f>
        <v>2025</v>
      </c>
      <c r="G8" s="37">
        <v>2</v>
      </c>
      <c r="H8" s="161">
        <f>'Capacity Delivered'!I8</f>
        <v>5.4276</v>
      </c>
      <c r="I8" s="247">
        <f t="shared" si="0"/>
        <v>4.72653005604956</v>
      </c>
      <c r="J8" s="248">
        <f t="shared" ref="J8:J27" si="6">J7+I8</f>
        <v>9.7914796641122699</v>
      </c>
      <c r="K8" s="248">
        <f t="shared" ref="K8:K27" si="7">(-PMT($D$8,G8,(J8)))</f>
        <v>5.4275999999999991</v>
      </c>
      <c r="L8" s="156">
        <f>+K8/'Capacity Delivered'!R8*1000</f>
        <v>2.4715846994535515</v>
      </c>
      <c r="M8" s="249">
        <f t="shared" si="1"/>
        <v>2.4715846994535517E-3</v>
      </c>
      <c r="O8" s="161">
        <f t="shared" ref="O8:O27" si="8">O7+(O7*$D$9)</f>
        <v>80.443729687499996</v>
      </c>
      <c r="P8" s="161">
        <f t="shared" si="2"/>
        <v>0</v>
      </c>
      <c r="Q8" s="161">
        <f t="shared" si="3"/>
        <v>70.053007994084865</v>
      </c>
      <c r="R8" s="161">
        <f t="shared" ref="R8:R12" si="9">R7+Q8</f>
        <v>143.290864936974</v>
      </c>
      <c r="S8" s="297">
        <f t="shared" ref="S8:S27" si="10">(-PMT($D$8,G8,(R8)))</f>
        <v>79.428801898291169</v>
      </c>
      <c r="T8" s="248">
        <f>+S8/'Capacity Delivered'!L8*1000</f>
        <v>9.0424410175650234</v>
      </c>
      <c r="U8" s="249">
        <f t="shared" si="4"/>
        <v>9.0424410175650241E-3</v>
      </c>
      <c r="W8" s="250">
        <f t="shared" ref="W8:W27" si="11">L8+T8</f>
        <v>11.514025717018574</v>
      </c>
      <c r="X8" s="251">
        <f t="shared" si="5"/>
        <v>1.1514025717018574E-2</v>
      </c>
    </row>
    <row r="9" spans="1:24" s="44" customFormat="1" ht="15.6" x14ac:dyDescent="0.3">
      <c r="A9" s="159"/>
      <c r="B9" s="159"/>
      <c r="C9" s="153" t="s">
        <v>113</v>
      </c>
      <c r="D9" s="46">
        <v>2.5000000000000001E-2</v>
      </c>
      <c r="E9" s="252"/>
      <c r="F9" s="38">
        <f t="shared" ref="F9:F27" si="12">F8+1</f>
        <v>2026</v>
      </c>
      <c r="G9" s="37">
        <v>3</v>
      </c>
      <c r="H9" s="161">
        <f>'Capacity Delivered'!I9</f>
        <v>5.4276</v>
      </c>
      <c r="I9" s="247">
        <f t="shared" si="0"/>
        <v>4.4107223367390436</v>
      </c>
      <c r="J9" s="248">
        <f t="shared" si="6"/>
        <v>14.202202000851313</v>
      </c>
      <c r="K9" s="248">
        <f t="shared" si="7"/>
        <v>5.4275999999999991</v>
      </c>
      <c r="L9" s="156">
        <f>+K9/'Capacity Delivered'!R9*1000</f>
        <v>2.4783561643835612</v>
      </c>
      <c r="M9" s="249">
        <f t="shared" si="1"/>
        <v>2.4783561643835612E-3</v>
      </c>
      <c r="O9" s="161">
        <f t="shared" si="8"/>
        <v>82.454822929687495</v>
      </c>
      <c r="P9" s="161">
        <f t="shared" si="2"/>
        <v>0</v>
      </c>
      <c r="Q9" s="161">
        <f t="shared" si="3"/>
        <v>67.006656582621289</v>
      </c>
      <c r="R9" s="161">
        <f t="shared" si="9"/>
        <v>210.29752151959531</v>
      </c>
      <c r="S9" s="297">
        <f t="shared" si="10"/>
        <v>80.368581416553326</v>
      </c>
      <c r="T9" s="248">
        <f>+S9/'Capacity Delivered'!L9*1000</f>
        <v>9.1744955954969551</v>
      </c>
      <c r="U9" s="249">
        <f t="shared" si="4"/>
        <v>9.1744955954969551E-3</v>
      </c>
      <c r="W9" s="250">
        <f t="shared" si="11"/>
        <v>11.652851759880516</v>
      </c>
      <c r="X9" s="251">
        <f t="shared" si="5"/>
        <v>1.1652851759880517E-2</v>
      </c>
    </row>
    <row r="10" spans="1:24" s="44" customFormat="1" ht="15.6" x14ac:dyDescent="0.3">
      <c r="B10" s="159"/>
      <c r="C10" s="153"/>
      <c r="D10" s="51"/>
      <c r="E10" s="246"/>
      <c r="F10" s="38">
        <f t="shared" si="12"/>
        <v>2027</v>
      </c>
      <c r="G10" s="37">
        <v>4</v>
      </c>
      <c r="H10" s="161">
        <f>'Capacity Delivered'!I10</f>
        <v>5.4276</v>
      </c>
      <c r="I10" s="247">
        <f t="shared" si="0"/>
        <v>4.116015618457487</v>
      </c>
      <c r="J10" s="248">
        <f t="shared" si="6"/>
        <v>18.3182176193088</v>
      </c>
      <c r="K10" s="248">
        <f t="shared" si="7"/>
        <v>5.4275999999999991</v>
      </c>
      <c r="L10" s="156">
        <f>+K10/'Capacity Delivered'!R10*1000</f>
        <v>2.4783561643835612</v>
      </c>
      <c r="M10" s="249">
        <f t="shared" si="1"/>
        <v>2.4783561643835612E-3</v>
      </c>
      <c r="O10" s="161">
        <f t="shared" si="8"/>
        <v>84.516193502929681</v>
      </c>
      <c r="P10" s="161">
        <f t="shared" si="2"/>
        <v>0</v>
      </c>
      <c r="Q10" s="161">
        <f t="shared" si="3"/>
        <v>64.092779952581949</v>
      </c>
      <c r="R10" s="161">
        <f t="shared" si="9"/>
        <v>274.39030147217727</v>
      </c>
      <c r="S10" s="297">
        <f t="shared" si="10"/>
        <v>81.30052995443036</v>
      </c>
      <c r="T10" s="248">
        <f>+S10/'Capacity Delivered'!L10*1000</f>
        <v>9.2808824148893105</v>
      </c>
      <c r="U10" s="249">
        <f t="shared" si="4"/>
        <v>9.2808824148893111E-3</v>
      </c>
      <c r="W10" s="250">
        <f t="shared" si="11"/>
        <v>11.759238579272871</v>
      </c>
      <c r="X10" s="251">
        <f t="shared" si="5"/>
        <v>1.1759238579272871E-2</v>
      </c>
    </row>
    <row r="11" spans="1:24" s="44" customFormat="1" ht="15.6" x14ac:dyDescent="0.3">
      <c r="B11" s="159"/>
      <c r="C11" s="153"/>
      <c r="D11" s="322"/>
      <c r="E11" s="246"/>
      <c r="F11" s="38">
        <f t="shared" si="12"/>
        <v>2028</v>
      </c>
      <c r="G11" s="37">
        <v>5</v>
      </c>
      <c r="H11" s="161">
        <f>'Capacity Delivered'!I11</f>
        <v>5.4276</v>
      </c>
      <c r="I11" s="247">
        <f t="shared" si="0"/>
        <v>3.841000017224232</v>
      </c>
      <c r="J11" s="248">
        <f t="shared" si="6"/>
        <v>22.159217636533032</v>
      </c>
      <c r="K11" s="248">
        <f t="shared" si="7"/>
        <v>5.4275999999999982</v>
      </c>
      <c r="L11" s="156">
        <f>+K11/'Capacity Delivered'!R11*1000</f>
        <v>2.4783561643835608</v>
      </c>
      <c r="M11" s="249">
        <f t="shared" si="1"/>
        <v>2.4783561643835607E-3</v>
      </c>
      <c r="O11" s="161">
        <f t="shared" si="8"/>
        <v>86.629098340502921</v>
      </c>
      <c r="P11" s="161">
        <f t="shared" si="2"/>
        <v>0</v>
      </c>
      <c r="Q11" s="161">
        <f t="shared" si="3"/>
        <v>61.305617255875781</v>
      </c>
      <c r="R11" s="161">
        <f t="shared" si="9"/>
        <v>335.69591872805307</v>
      </c>
      <c r="S11" s="297">
        <f t="shared" si="10"/>
        <v>82.224165057365653</v>
      </c>
      <c r="T11" s="248">
        <f>+S11/'Capacity Delivered'!L11*1000</f>
        <v>9.3863202120280427</v>
      </c>
      <c r="U11" s="249">
        <f t="shared" si="4"/>
        <v>9.3863202120280428E-3</v>
      </c>
      <c r="W11" s="250">
        <f t="shared" si="11"/>
        <v>11.864676376411603</v>
      </c>
      <c r="X11" s="251">
        <f t="shared" si="5"/>
        <v>1.1864676376411603E-2</v>
      </c>
    </row>
    <row r="12" spans="1:24" s="44" customFormat="1" ht="15.6" x14ac:dyDescent="0.3">
      <c r="B12" s="159"/>
      <c r="C12" s="153"/>
      <c r="D12" s="322"/>
      <c r="E12" s="246"/>
      <c r="F12" s="38">
        <f t="shared" si="12"/>
        <v>2029</v>
      </c>
      <c r="G12" s="37">
        <v>6</v>
      </c>
      <c r="H12" s="161">
        <f>'Capacity Delivered'!I12</f>
        <v>5.4276</v>
      </c>
      <c r="I12" s="247">
        <f t="shared" si="0"/>
        <v>3.5843598518329891</v>
      </c>
      <c r="J12" s="248">
        <f t="shared" si="6"/>
        <v>25.743577488366022</v>
      </c>
      <c r="K12" s="248">
        <f t="shared" si="7"/>
        <v>5.4275999999999982</v>
      </c>
      <c r="L12" s="156">
        <f>+K12/'Capacity Delivered'!R12*1000</f>
        <v>2.4715846994535511</v>
      </c>
      <c r="M12" s="249">
        <f t="shared" si="1"/>
        <v>2.4715846994535513E-3</v>
      </c>
      <c r="O12" s="161">
        <f t="shared" si="8"/>
        <v>88.794825799015499</v>
      </c>
      <c r="P12" s="161">
        <f t="shared" si="2"/>
        <v>0</v>
      </c>
      <c r="Q12" s="161">
        <f t="shared" si="3"/>
        <v>58.63965816281511</v>
      </c>
      <c r="R12" s="161">
        <f t="shared" si="9"/>
        <v>394.3355768908682</v>
      </c>
      <c r="S12" s="297">
        <f t="shared" si="10"/>
        <v>83.139018968910321</v>
      </c>
      <c r="T12" s="248">
        <f>+S12/'Capacity Delivered'!L12*1000</f>
        <v>9.4648245638559096</v>
      </c>
      <c r="U12" s="249">
        <f t="shared" si="4"/>
        <v>9.46482456385591E-3</v>
      </c>
      <c r="W12" s="250">
        <f t="shared" si="11"/>
        <v>11.936409263309461</v>
      </c>
      <c r="X12" s="251">
        <f t="shared" si="5"/>
        <v>1.1936409263309461E-2</v>
      </c>
    </row>
    <row r="13" spans="1:24" s="44" customFormat="1" ht="15.6" x14ac:dyDescent="0.3">
      <c r="B13" s="159"/>
      <c r="C13" s="153"/>
      <c r="D13" s="322"/>
      <c r="E13" s="246"/>
      <c r="F13" s="38">
        <f t="shared" si="12"/>
        <v>2030</v>
      </c>
      <c r="G13" s="37">
        <v>7</v>
      </c>
      <c r="H13" s="161">
        <f>'Capacity Delivered'!I13</f>
        <v>5.4276</v>
      </c>
      <c r="I13" s="247">
        <f t="shared" si="0"/>
        <v>3.34486734960152</v>
      </c>
      <c r="J13" s="248">
        <f>J12+I13</f>
        <v>29.088444837967543</v>
      </c>
      <c r="K13" s="248">
        <f t="shared" si="7"/>
        <v>5.4275999999999982</v>
      </c>
      <c r="L13" s="156">
        <f>+K13/'Capacity Delivered'!R13*1000</f>
        <v>2.4783561643835608</v>
      </c>
      <c r="M13" s="249">
        <f t="shared" si="1"/>
        <v>2.4783561643835607E-3</v>
      </c>
      <c r="O13" s="161">
        <f>O12+(O12*$D$9)</f>
        <v>91.014696443990886</v>
      </c>
      <c r="P13" s="161">
        <f t="shared" si="2"/>
        <v>0</v>
      </c>
      <c r="Q13" s="161">
        <f t="shared" si="3"/>
        <v>56.089631967978235</v>
      </c>
      <c r="R13" s="161">
        <f>R12+Q13</f>
        <v>450.42520885884642</v>
      </c>
      <c r="S13" s="297">
        <f t="shared" si="10"/>
        <v>84.044639623061087</v>
      </c>
      <c r="T13" s="248">
        <f>+S13/'Capacity Delivered'!L13*1000</f>
        <v>9.5941369432718151</v>
      </c>
      <c r="U13" s="249">
        <f t="shared" si="4"/>
        <v>9.5941369432718145E-3</v>
      </c>
      <c r="W13" s="250">
        <f t="shared" si="11"/>
        <v>12.072493107655376</v>
      </c>
      <c r="X13" s="251">
        <f t="shared" si="5"/>
        <v>1.2072493107655376E-2</v>
      </c>
    </row>
    <row r="14" spans="1:24" s="44" customFormat="1" ht="15.6" x14ac:dyDescent="0.3">
      <c r="B14" s="159"/>
      <c r="C14" s="153"/>
      <c r="D14" s="322"/>
      <c r="E14" s="246"/>
      <c r="F14" s="38">
        <f t="shared" si="12"/>
        <v>2031</v>
      </c>
      <c r="G14" s="37">
        <v>8</v>
      </c>
      <c r="H14" s="161">
        <f>'Capacity Delivered'!I14</f>
        <v>5.4276</v>
      </c>
      <c r="I14" s="247">
        <f t="shared" si="0"/>
        <v>3.1213767726777899</v>
      </c>
      <c r="J14" s="248">
        <f t="shared" si="6"/>
        <v>32.209821610645335</v>
      </c>
      <c r="K14" s="248">
        <f t="shared" si="7"/>
        <v>5.4275999999999982</v>
      </c>
      <c r="L14" s="156">
        <f>+K14/'Capacity Delivered'!R14*1000</f>
        <v>2.4783561643835608</v>
      </c>
      <c r="M14" s="249">
        <f t="shared" si="1"/>
        <v>2.4783561643835607E-3</v>
      </c>
      <c r="O14" s="161">
        <f t="shared" si="8"/>
        <v>93.290063855090665</v>
      </c>
      <c r="P14" s="161">
        <f t="shared" si="2"/>
        <v>0</v>
      </c>
      <c r="Q14" s="161">
        <f t="shared" si="3"/>
        <v>53.650497169818671</v>
      </c>
      <c r="R14" s="161">
        <f t="shared" ref="R14:R20" si="13">R13+Q14</f>
        <v>504.07570602866508</v>
      </c>
      <c r="S14" s="297">
        <f t="shared" si="10"/>
        <v>84.940591572135887</v>
      </c>
      <c r="T14" s="248">
        <f>+S14/'Capacity Delivered'!L14*1000</f>
        <v>9.6964145630292098</v>
      </c>
      <c r="U14" s="249">
        <f t="shared" si="4"/>
        <v>9.6964145630292105E-3</v>
      </c>
      <c r="W14" s="250">
        <f t="shared" si="11"/>
        <v>12.174770727412771</v>
      </c>
      <c r="X14" s="251">
        <f t="shared" si="5"/>
        <v>1.217477072741277E-2</v>
      </c>
    </row>
    <row r="15" spans="1:24" s="44" customFormat="1" ht="15.6" x14ac:dyDescent="0.3">
      <c r="B15" s="159"/>
      <c r="C15" s="153"/>
      <c r="D15" s="322"/>
      <c r="E15" s="246"/>
      <c r="F15" s="38">
        <f t="shared" si="12"/>
        <v>2032</v>
      </c>
      <c r="G15" s="37">
        <v>9</v>
      </c>
      <c r="H15" s="161">
        <f>'Capacity Delivered'!I15</f>
        <v>5.4276</v>
      </c>
      <c r="I15" s="247">
        <f t="shared" si="0"/>
        <v>2.9128189368027151</v>
      </c>
      <c r="J15" s="248">
        <f t="shared" si="6"/>
        <v>35.12264054744805</v>
      </c>
      <c r="K15" s="248">
        <f t="shared" si="7"/>
        <v>5.4275999999999973</v>
      </c>
      <c r="L15" s="156">
        <f>+K15/'Capacity Delivered'!R15*1000</f>
        <v>2.4783561643835603</v>
      </c>
      <c r="M15" s="249">
        <f t="shared" si="1"/>
        <v>2.4783561643835603E-3</v>
      </c>
      <c r="O15" s="161">
        <f t="shared" si="8"/>
        <v>95.622315451467927</v>
      </c>
      <c r="P15" s="161">
        <f t="shared" si="2"/>
        <v>0</v>
      </c>
      <c r="Q15" s="161">
        <f t="shared" si="3"/>
        <v>51.317431503419307</v>
      </c>
      <c r="R15" s="161">
        <f t="shared" si="13"/>
        <v>555.39313753208444</v>
      </c>
      <c r="S15" s="297">
        <f t="shared" si="10"/>
        <v>85.826456846171396</v>
      </c>
      <c r="T15" s="248">
        <f>+S15/'Capacity Delivered'!L15*1000</f>
        <v>9.797540735864315</v>
      </c>
      <c r="U15" s="249">
        <f t="shared" si="4"/>
        <v>9.7975407358643143E-3</v>
      </c>
      <c r="W15" s="250">
        <f t="shared" si="11"/>
        <v>12.275896900247876</v>
      </c>
      <c r="X15" s="251">
        <f t="shared" si="5"/>
        <v>1.2275896900247876E-2</v>
      </c>
    </row>
    <row r="16" spans="1:24" s="44" customFormat="1" x14ac:dyDescent="0.25">
      <c r="B16" s="255"/>
      <c r="C16" s="256"/>
      <c r="D16" s="255"/>
      <c r="E16" s="246"/>
      <c r="F16" s="37">
        <f t="shared" si="12"/>
        <v>2033</v>
      </c>
      <c r="G16" s="37">
        <v>10</v>
      </c>
      <c r="H16" s="161">
        <f>'Capacity Delivered'!I16</f>
        <v>5.4276</v>
      </c>
      <c r="I16" s="247">
        <f t="shared" si="0"/>
        <v>2.7181960963071248</v>
      </c>
      <c r="J16" s="248">
        <f t="shared" si="6"/>
        <v>37.840836643755175</v>
      </c>
      <c r="K16" s="248">
        <f t="shared" si="7"/>
        <v>5.4275999999999982</v>
      </c>
      <c r="L16" s="156">
        <f>+K16/'Capacity Delivered'!R16*1000</f>
        <v>2.4715846994535511</v>
      </c>
      <c r="M16" s="249">
        <f t="shared" si="1"/>
        <v>2.4715846994535513E-3</v>
      </c>
      <c r="N16" s="257"/>
      <c r="O16" s="161">
        <f t="shared" si="8"/>
        <v>98.012873337754627</v>
      </c>
      <c r="P16" s="161">
        <f t="shared" si="2"/>
        <v>0</v>
      </c>
      <c r="Q16" s="161">
        <f>SUM(O16:P16)/((1+$D$8)^G16)</f>
        <v>49.085822406686063</v>
      </c>
      <c r="R16" s="161">
        <f>R15+Q16</f>
        <v>604.47895993877046</v>
      </c>
      <c r="S16" s="297">
        <f t="shared" si="10"/>
        <v>86.701835740333919</v>
      </c>
      <c r="T16" s="248">
        <f>+S16/'Capacity Delivered'!L16*1000</f>
        <v>9.870427566067157</v>
      </c>
      <c r="U16" s="249">
        <f t="shared" si="4"/>
        <v>9.8704275660671578E-3</v>
      </c>
      <c r="V16" s="257"/>
      <c r="W16" s="250">
        <f>L16+T16</f>
        <v>12.342012265520708</v>
      </c>
      <c r="X16" s="251">
        <f t="shared" si="5"/>
        <v>1.2342012265520707E-2</v>
      </c>
    </row>
    <row r="17" spans="2:24" s="44" customFormat="1" x14ac:dyDescent="0.25">
      <c r="B17" s="255"/>
      <c r="C17" s="256"/>
      <c r="D17" s="256"/>
      <c r="E17" s="246"/>
      <c r="F17" s="38">
        <f t="shared" si="12"/>
        <v>2034</v>
      </c>
      <c r="G17" s="37">
        <v>11</v>
      </c>
      <c r="H17" s="161">
        <f>'Capacity Delivered'!I17</f>
        <v>5.4276</v>
      </c>
      <c r="I17" s="247">
        <f t="shared" si="0"/>
        <v>2.536577170872643</v>
      </c>
      <c r="J17" s="248">
        <f t="shared" si="6"/>
        <v>40.377413814627815</v>
      </c>
      <c r="K17" s="248">
        <f t="shared" si="7"/>
        <v>5.4275999999999964</v>
      </c>
      <c r="L17" s="156">
        <f>+K17/'Capacity Delivered'!R17*1000</f>
        <v>2.4783561643835599</v>
      </c>
      <c r="M17" s="249">
        <f t="shared" si="1"/>
        <v>2.4783561643835599E-3</v>
      </c>
      <c r="O17" s="161">
        <f t="shared" si="8"/>
        <v>100.46319517119849</v>
      </c>
      <c r="P17" s="161">
        <f t="shared" si="2"/>
        <v>0</v>
      </c>
      <c r="Q17" s="161">
        <f t="shared" si="3"/>
        <v>46.951257901132145</v>
      </c>
      <c r="R17" s="161">
        <f t="shared" si="13"/>
        <v>651.43021783990264</v>
      </c>
      <c r="S17" s="297">
        <f t="shared" si="10"/>
        <v>87.566347527363163</v>
      </c>
      <c r="T17" s="248">
        <f>+S17/'Capacity Delivered'!L17*1000</f>
        <v>9.996158393534607</v>
      </c>
      <c r="U17" s="249">
        <f t="shared" si="4"/>
        <v>9.9961583935346075E-3</v>
      </c>
      <c r="W17" s="250">
        <f t="shared" si="11"/>
        <v>12.474514557918166</v>
      </c>
      <c r="X17" s="251">
        <f t="shared" si="5"/>
        <v>1.2474514557918166E-2</v>
      </c>
    </row>
    <row r="18" spans="2:24" s="44" customFormat="1" x14ac:dyDescent="0.25">
      <c r="B18" s="256"/>
      <c r="C18" s="256"/>
      <c r="D18" s="256"/>
      <c r="E18" s="246"/>
      <c r="F18" s="38">
        <f t="shared" si="12"/>
        <v>2035</v>
      </c>
      <c r="G18" s="37">
        <v>12</v>
      </c>
      <c r="H18" s="161">
        <f>'Capacity Delivered'!I18</f>
        <v>5.4276</v>
      </c>
      <c r="I18" s="247">
        <f t="shared" si="0"/>
        <v>2.3670932912212046</v>
      </c>
      <c r="J18" s="248">
        <f t="shared" si="6"/>
        <v>42.744507105849017</v>
      </c>
      <c r="K18" s="248">
        <f t="shared" si="7"/>
        <v>5.4275999999999973</v>
      </c>
      <c r="L18" s="156">
        <f>+K18/'Capacity Delivered'!R18*1000</f>
        <v>2.4783561643835603</v>
      </c>
      <c r="M18" s="249">
        <f t="shared" si="1"/>
        <v>2.4783561643835603E-3</v>
      </c>
      <c r="O18" s="161">
        <f t="shared" si="8"/>
        <v>102.97477505047846</v>
      </c>
      <c r="P18" s="161">
        <f t="shared" si="2"/>
        <v>0</v>
      </c>
      <c r="Q18" s="161">
        <f t="shared" si="3"/>
        <v>44.909517869224011</v>
      </c>
      <c r="R18" s="161">
        <f t="shared" si="13"/>
        <v>696.33973570912667</v>
      </c>
      <c r="S18" s="297">
        <f t="shared" si="10"/>
        <v>88.419631092615546</v>
      </c>
      <c r="T18" s="248">
        <f>+S18/'Capacity Delivered'!L18*1000</f>
        <v>10.093565193220952</v>
      </c>
      <c r="U18" s="249">
        <f t="shared" si="4"/>
        <v>1.0093565193220952E-2</v>
      </c>
      <c r="W18" s="250">
        <f t="shared" si="11"/>
        <v>12.571921357604513</v>
      </c>
      <c r="X18" s="251">
        <f t="shared" si="5"/>
        <v>1.2571921357604514E-2</v>
      </c>
    </row>
    <row r="19" spans="2:24" s="44" customFormat="1" x14ac:dyDescent="0.25">
      <c r="B19" s="256"/>
      <c r="C19" s="256"/>
      <c r="D19" s="256"/>
      <c r="E19" s="179"/>
      <c r="F19" s="38">
        <f t="shared" si="12"/>
        <v>2036</v>
      </c>
      <c r="G19" s="37">
        <v>13</v>
      </c>
      <c r="H19" s="161">
        <f>'Capacity Delivered'!I19</f>
        <v>5.4276</v>
      </c>
      <c r="I19" s="247">
        <f t="shared" si="0"/>
        <v>2.2089336424236694</v>
      </c>
      <c r="J19" s="248">
        <f t="shared" si="6"/>
        <v>44.953440748272683</v>
      </c>
      <c r="K19" s="248">
        <f t="shared" si="7"/>
        <v>5.4275999999999964</v>
      </c>
      <c r="L19" s="156">
        <f>+K19/'Capacity Delivered'!R19*1000</f>
        <v>2.4783561643835599</v>
      </c>
      <c r="M19" s="249">
        <f t="shared" si="1"/>
        <v>2.4783561643835599E-3</v>
      </c>
      <c r="O19" s="161">
        <f t="shared" si="8"/>
        <v>105.54914442674041</v>
      </c>
      <c r="P19" s="161">
        <f t="shared" si="2"/>
        <v>0</v>
      </c>
      <c r="Q19" s="161">
        <f t="shared" si="3"/>
        <v>42.956565711043858</v>
      </c>
      <c r="R19" s="161">
        <f t="shared" si="13"/>
        <v>739.29630142017049</v>
      </c>
      <c r="S19" s="297">
        <f t="shared" si="10"/>
        <v>89.26134548982877</v>
      </c>
      <c r="T19" s="248">
        <f>+S19/'Capacity Delivered'!L19*1000</f>
        <v>10.189651311624289</v>
      </c>
      <c r="U19" s="249">
        <f t="shared" si="4"/>
        <v>1.0189651311624288E-2</v>
      </c>
      <c r="W19" s="250">
        <f t="shared" si="11"/>
        <v>12.668007476007848</v>
      </c>
      <c r="X19" s="251">
        <f t="shared" si="5"/>
        <v>1.2668007476007848E-2</v>
      </c>
    </row>
    <row r="20" spans="2:24" s="44" customFormat="1" x14ac:dyDescent="0.25">
      <c r="B20" s="256"/>
      <c r="C20" s="256"/>
      <c r="D20" s="256"/>
      <c r="E20" s="179"/>
      <c r="F20" s="38">
        <f t="shared" si="12"/>
        <v>2037</v>
      </c>
      <c r="G20" s="37">
        <v>14</v>
      </c>
      <c r="H20" s="161">
        <f>'Capacity Delivered'!I20</f>
        <v>5.4276</v>
      </c>
      <c r="I20" s="247">
        <f t="shared" si="0"/>
        <v>2.0613415849418337</v>
      </c>
      <c r="J20" s="248">
        <f t="shared" si="6"/>
        <v>47.014782333214519</v>
      </c>
      <c r="K20" s="248">
        <f t="shared" si="7"/>
        <v>5.4275999999999955</v>
      </c>
      <c r="L20" s="156">
        <f>+K20/'Capacity Delivered'!R20*1000</f>
        <v>2.4715846994535497</v>
      </c>
      <c r="M20" s="249">
        <f t="shared" si="1"/>
        <v>2.47158469945355E-3</v>
      </c>
      <c r="O20" s="161">
        <f t="shared" si="8"/>
        <v>108.18787303740892</v>
      </c>
      <c r="P20" s="161">
        <f t="shared" si="2"/>
        <v>0</v>
      </c>
      <c r="Q20" s="161">
        <f t="shared" si="3"/>
        <v>41.088540363773745</v>
      </c>
      <c r="R20" s="161">
        <f t="shared" si="13"/>
        <v>780.38484178394424</v>
      </c>
      <c r="S20" s="297">
        <f t="shared" si="10"/>
        <v>90.091170416292613</v>
      </c>
      <c r="T20" s="248">
        <f>+S20/'Capacity Delivered'!L20*1000</f>
        <v>10.256280785097065</v>
      </c>
      <c r="U20" s="249">
        <f t="shared" si="4"/>
        <v>1.0256280785097065E-2</v>
      </c>
      <c r="W20" s="250">
        <f t="shared" si="11"/>
        <v>12.727865484550614</v>
      </c>
      <c r="X20" s="251">
        <f t="shared" si="5"/>
        <v>1.2727865484550615E-2</v>
      </c>
    </row>
    <row r="21" spans="2:24" s="257" customFormat="1" x14ac:dyDescent="0.25">
      <c r="B21" s="256"/>
      <c r="C21" s="256"/>
      <c r="D21" s="256"/>
      <c r="E21" s="179"/>
      <c r="F21" s="37">
        <f t="shared" si="12"/>
        <v>2038</v>
      </c>
      <c r="G21" s="37">
        <v>15</v>
      </c>
      <c r="H21" s="161">
        <f>'Capacity Delivered'!I21</f>
        <v>5.4276</v>
      </c>
      <c r="I21" s="247">
        <f t="shared" si="0"/>
        <v>1.9236110348468023</v>
      </c>
      <c r="J21" s="248">
        <f>J20+I21</f>
        <v>48.93839336806132</v>
      </c>
      <c r="K21" s="248">
        <f t="shared" si="7"/>
        <v>5.4275999999999955</v>
      </c>
      <c r="L21" s="156">
        <f>+K21/'Capacity Delivered'!R21*1000</f>
        <v>2.4783561643835594</v>
      </c>
      <c r="M21" s="249">
        <f>L21/1000</f>
        <v>2.4783561643835594E-3</v>
      </c>
      <c r="O21" s="161">
        <f t="shared" si="8"/>
        <v>110.89256986334415</v>
      </c>
      <c r="P21" s="161">
        <f t="shared" si="2"/>
        <v>0</v>
      </c>
      <c r="Q21" s="161">
        <f t="shared" si="3"/>
        <v>39.301748668223297</v>
      </c>
      <c r="R21" s="161">
        <f>R20+Q21</f>
        <v>819.68659045216759</v>
      </c>
      <c r="S21" s="297">
        <f t="shared" si="10"/>
        <v>90.908806606669046</v>
      </c>
      <c r="T21" s="248">
        <f>+S21/'Capacity Delivered'!L21*1000</f>
        <v>10.377717649163133</v>
      </c>
      <c r="U21" s="249">
        <f>T21/1000</f>
        <v>1.0377717649163133E-2</v>
      </c>
      <c r="W21" s="250">
        <f t="shared" si="11"/>
        <v>12.856073813546692</v>
      </c>
      <c r="X21" s="251">
        <f>W21/1000</f>
        <v>1.2856073813546691E-2</v>
      </c>
    </row>
    <row r="22" spans="2:24" s="44" customFormat="1" x14ac:dyDescent="0.25">
      <c r="B22" s="256"/>
      <c r="C22" s="256"/>
      <c r="D22" s="256"/>
      <c r="E22" s="179"/>
      <c r="F22" s="38">
        <f t="shared" si="12"/>
        <v>2039</v>
      </c>
      <c r="G22" s="37">
        <v>16</v>
      </c>
      <c r="H22" s="161">
        <f>'Capacity Delivered'!I22</f>
        <v>5.4276</v>
      </c>
      <c r="I22" s="247">
        <f t="shared" si="0"/>
        <v>1.7950830858966051</v>
      </c>
      <c r="J22" s="248">
        <f t="shared" si="6"/>
        <v>50.733476453957927</v>
      </c>
      <c r="K22" s="248">
        <f t="shared" si="7"/>
        <v>5.4275999999999955</v>
      </c>
      <c r="L22" s="156">
        <f>+K22/'Capacity Delivered'!R22*1000</f>
        <v>2.4783561643835594</v>
      </c>
      <c r="M22" s="249">
        <f t="shared" si="1"/>
        <v>2.4783561643835594E-3</v>
      </c>
      <c r="O22" s="161">
        <f t="shared" si="8"/>
        <v>113.66488410992775</v>
      </c>
      <c r="P22" s="161">
        <f t="shared" si="2"/>
        <v>0</v>
      </c>
      <c r="Q22" s="161">
        <f t="shared" si="3"/>
        <v>37.592658067309515</v>
      </c>
      <c r="R22" s="161">
        <f t="shared" ref="R22:R27" si="14">R21+Q22</f>
        <v>857.27924851947705</v>
      </c>
      <c r="S22" s="297">
        <f t="shared" si="10"/>
        <v>91.713976145258073</v>
      </c>
      <c r="T22" s="248">
        <f>+S22/'Capacity Delivered'!L22*1000</f>
        <v>10.469631980052291</v>
      </c>
      <c r="U22" s="249">
        <f t="shared" ref="U22:U27" si="15">T22/1000</f>
        <v>1.0469631980052291E-2</v>
      </c>
      <c r="W22" s="250">
        <f t="shared" si="11"/>
        <v>12.94798814443585</v>
      </c>
      <c r="X22" s="251">
        <f t="shared" ref="X22:X27" si="16">W22/1000</f>
        <v>1.2947988144435851E-2</v>
      </c>
    </row>
    <row r="23" spans="2:24" s="44" customFormat="1" x14ac:dyDescent="0.25">
      <c r="B23" s="256"/>
      <c r="C23" s="256"/>
      <c r="D23" s="256"/>
      <c r="E23" s="179"/>
      <c r="F23" s="38">
        <f t="shared" si="12"/>
        <v>2040</v>
      </c>
      <c r="G23" s="37">
        <v>17</v>
      </c>
      <c r="H23" s="161">
        <f>'Capacity Delivered'!I23</f>
        <v>5.4276</v>
      </c>
      <c r="I23" s="247">
        <f t="shared" si="0"/>
        <v>1.6751428573129947</v>
      </c>
      <c r="J23" s="248">
        <f t="shared" si="6"/>
        <v>52.408619311270918</v>
      </c>
      <c r="K23" s="248">
        <f t="shared" si="7"/>
        <v>5.4275999999999955</v>
      </c>
      <c r="L23" s="156">
        <f>+K23/'Capacity Delivered'!R23*1000</f>
        <v>2.4783561643835594</v>
      </c>
      <c r="M23" s="249">
        <f t="shared" si="1"/>
        <v>2.4783561643835594E-3</v>
      </c>
      <c r="O23" s="161">
        <f t="shared" si="8"/>
        <v>116.50650621267594</v>
      </c>
      <c r="P23" s="161">
        <f t="shared" si="2"/>
        <v>0</v>
      </c>
      <c r="Q23" s="161">
        <f t="shared" si="3"/>
        <v>35.957889622053237</v>
      </c>
      <c r="R23" s="161">
        <f t="shared" si="14"/>
        <v>893.23713814153029</v>
      </c>
      <c r="S23" s="297">
        <f t="shared" si="10"/>
        <v>92.506422697045423</v>
      </c>
      <c r="T23" s="248">
        <f>+S23/'Capacity Delivered'!L23*1000</f>
        <v>10.560093915187833</v>
      </c>
      <c r="U23" s="249">
        <f t="shared" si="15"/>
        <v>1.0560093915187833E-2</v>
      </c>
      <c r="W23" s="250">
        <f t="shared" si="11"/>
        <v>13.038450079571392</v>
      </c>
      <c r="X23" s="251">
        <f t="shared" si="16"/>
        <v>1.3038450079571393E-2</v>
      </c>
    </row>
    <row r="24" spans="2:24" s="44" customFormat="1" x14ac:dyDescent="0.25">
      <c r="B24" s="256"/>
      <c r="C24" s="256"/>
      <c r="D24" s="256"/>
      <c r="E24" s="179"/>
      <c r="F24" s="38">
        <f t="shared" si="12"/>
        <v>2041</v>
      </c>
      <c r="G24" s="37">
        <v>18</v>
      </c>
      <c r="H24" s="161">
        <f>'Capacity Delivered'!I24</f>
        <v>5.4276</v>
      </c>
      <c r="I24" s="247">
        <f t="shared" si="0"/>
        <v>1.5632165521771131</v>
      </c>
      <c r="J24" s="248">
        <f t="shared" si="6"/>
        <v>53.971835863448028</v>
      </c>
      <c r="K24" s="248">
        <f t="shared" si="7"/>
        <v>5.4275999999999938</v>
      </c>
      <c r="L24" s="156">
        <f>+K24/'Capacity Delivered'!R24*1000</f>
        <v>2.4715846994535493</v>
      </c>
      <c r="M24" s="249">
        <f t="shared" si="1"/>
        <v>2.4715846994535491E-3</v>
      </c>
      <c r="O24" s="161">
        <f t="shared" si="8"/>
        <v>119.41916886799284</v>
      </c>
      <c r="P24" s="161">
        <f t="shared" si="2"/>
        <v>0</v>
      </c>
      <c r="Q24" s="161">
        <f t="shared" si="3"/>
        <v>34.394211331284581</v>
      </c>
      <c r="R24" s="161">
        <f t="shared" si="14"/>
        <v>927.63134947281492</v>
      </c>
      <c r="S24" s="297">
        <f t="shared" si="10"/>
        <v>93.285911658388287</v>
      </c>
      <c r="T24" s="248">
        <f>+S24/'Capacity Delivered'!L24*1000</f>
        <v>10.619980835426716</v>
      </c>
      <c r="U24" s="249">
        <f t="shared" si="15"/>
        <v>1.0619980835426717E-2</v>
      </c>
      <c r="W24" s="250">
        <f t="shared" si="11"/>
        <v>13.091565534880266</v>
      </c>
      <c r="X24" s="251">
        <f t="shared" si="16"/>
        <v>1.3091565534880266E-2</v>
      </c>
    </row>
    <row r="25" spans="2:24" x14ac:dyDescent="0.25">
      <c r="B25" s="162"/>
      <c r="C25" s="162"/>
      <c r="D25" s="162"/>
      <c r="E25" s="52"/>
      <c r="F25" s="38">
        <f t="shared" si="12"/>
        <v>2042</v>
      </c>
      <c r="G25" s="39">
        <v>19</v>
      </c>
      <c r="H25" s="161">
        <f>'Capacity Delivered'!I25</f>
        <v>5.4276</v>
      </c>
      <c r="I25" s="40">
        <f t="shared" si="0"/>
        <v>1.458768712371326</v>
      </c>
      <c r="J25" s="41">
        <f t="shared" si="6"/>
        <v>55.430604575819352</v>
      </c>
      <c r="K25" s="41">
        <f t="shared" si="7"/>
        <v>5.4275999999999929</v>
      </c>
      <c r="L25" s="156">
        <f>+K25/'Capacity Delivered'!R25*1000</f>
        <v>2.4783561643835585</v>
      </c>
      <c r="M25" s="227">
        <f t="shared" si="1"/>
        <v>2.4783561643835585E-3</v>
      </c>
      <c r="O25" s="161">
        <f t="shared" si="8"/>
        <v>122.40464808969266</v>
      </c>
      <c r="P25" s="161">
        <f t="shared" si="2"/>
        <v>0</v>
      </c>
      <c r="Q25" s="161">
        <f t="shared" si="3"/>
        <v>32.898531741850221</v>
      </c>
      <c r="R25" s="161">
        <f t="shared" si="14"/>
        <v>960.52988121466512</v>
      </c>
      <c r="S25" s="297">
        <f t="shared" si="10"/>
        <v>94.052230228694896</v>
      </c>
      <c r="T25" s="41">
        <f>+S25/'Capacity Delivered'!L25*1000</f>
        <v>10.736555962179782</v>
      </c>
      <c r="U25" s="227">
        <f t="shared" si="15"/>
        <v>1.0736555962179782E-2</v>
      </c>
      <c r="W25" s="234">
        <f t="shared" si="11"/>
        <v>13.214912126563341</v>
      </c>
      <c r="X25" s="235">
        <f t="shared" si="16"/>
        <v>1.3214912126563342E-2</v>
      </c>
    </row>
    <row r="26" spans="2:24" x14ac:dyDescent="0.25">
      <c r="B26" s="162"/>
      <c r="C26" s="162"/>
      <c r="D26" s="162"/>
      <c r="E26" s="52"/>
      <c r="F26" s="38">
        <f t="shared" si="12"/>
        <v>2043</v>
      </c>
      <c r="G26" s="39">
        <v>20</v>
      </c>
      <c r="H26" s="161">
        <f>'Capacity Delivered'!I26</f>
        <v>5.4276</v>
      </c>
      <c r="I26" s="40">
        <f t="shared" si="0"/>
        <v>1.3612996569347946</v>
      </c>
      <c r="J26" s="41">
        <f t="shared" si="6"/>
        <v>56.791904232754149</v>
      </c>
      <c r="K26" s="41">
        <f t="shared" si="7"/>
        <v>5.4275999999999929</v>
      </c>
      <c r="L26" s="156">
        <f>+K26/'Capacity Delivered'!R26*1000</f>
        <v>2.4783561643835585</v>
      </c>
      <c r="M26" s="227">
        <f t="shared" si="1"/>
        <v>2.4783561643835585E-3</v>
      </c>
      <c r="O26" s="161">
        <f t="shared" si="8"/>
        <v>125.46476429193497</v>
      </c>
      <c r="P26" s="161">
        <f t="shared" si="2"/>
        <v>0</v>
      </c>
      <c r="Q26" s="161">
        <f t="shared" si="3"/>
        <v>31.467893836689502</v>
      </c>
      <c r="R26" s="161">
        <f t="shared" si="14"/>
        <v>991.99777505135467</v>
      </c>
      <c r="S26" s="297">
        <f t="shared" si="10"/>
        <v>94.805187404923515</v>
      </c>
      <c r="T26" s="41">
        <f>+S26/'Capacity Delivered'!L26*1000</f>
        <v>10.822509977730995</v>
      </c>
      <c r="U26" s="227">
        <f t="shared" si="15"/>
        <v>1.0822509977730994E-2</v>
      </c>
      <c r="W26" s="234">
        <f t="shared" si="11"/>
        <v>13.300866142114554</v>
      </c>
      <c r="X26" s="235">
        <f t="shared" si="16"/>
        <v>1.3300866142114554E-2</v>
      </c>
    </row>
    <row r="27" spans="2:24" s="44" customFormat="1" ht="15.6" thickBot="1" x14ac:dyDescent="0.3">
      <c r="F27" s="38">
        <f t="shared" si="12"/>
        <v>2044</v>
      </c>
      <c r="G27" s="37">
        <v>21</v>
      </c>
      <c r="H27" s="161">
        <f>'Capacity Delivered'!I27</f>
        <v>5.4276</v>
      </c>
      <c r="I27" s="40">
        <f t="shared" si="0"/>
        <v>1.2703430915778224</v>
      </c>
      <c r="J27" s="41">
        <f t="shared" si="6"/>
        <v>58.06224732433197</v>
      </c>
      <c r="K27" s="41">
        <f t="shared" si="7"/>
        <v>5.4275999999999929</v>
      </c>
      <c r="L27" s="156">
        <f>+K27/'Capacity Delivered'!R27*1000</f>
        <v>2.4783561643835585</v>
      </c>
      <c r="M27" s="227">
        <f t="shared" si="1"/>
        <v>2.4783561643835585E-3</v>
      </c>
      <c r="O27" s="161">
        <f t="shared" si="8"/>
        <v>128.60138339923336</v>
      </c>
      <c r="P27" s="161">
        <f t="shared" si="2"/>
        <v>0</v>
      </c>
      <c r="Q27" s="161">
        <f t="shared" si="3"/>
        <v>30.099469188696098</v>
      </c>
      <c r="R27" s="161">
        <f t="shared" si="14"/>
        <v>1022.0972442400507</v>
      </c>
      <c r="S27" s="297">
        <f t="shared" si="10"/>
        <v>95.544613901165746</v>
      </c>
      <c r="T27" s="41">
        <f>+S27/'Capacity Delivered'!L27*1000</f>
        <v>10.906919395110245</v>
      </c>
      <c r="U27" s="227">
        <f t="shared" si="15"/>
        <v>1.0906919395110246E-2</v>
      </c>
      <c r="W27" s="236">
        <f t="shared" si="11"/>
        <v>13.385275559493804</v>
      </c>
      <c r="X27" s="237">
        <f t="shared" si="16"/>
        <v>1.3385275559493804E-2</v>
      </c>
    </row>
    <row r="28" spans="2:24" s="44" customFormat="1" x14ac:dyDescent="0.25">
      <c r="C28" s="21"/>
      <c r="F28" s="38"/>
      <c r="G28" s="37"/>
      <c r="H28" s="164"/>
      <c r="I28" s="55"/>
      <c r="J28" s="56"/>
      <c r="K28" s="48"/>
      <c r="L28" s="48"/>
      <c r="M28" s="48"/>
      <c r="O28" s="165"/>
      <c r="P28" s="54"/>
      <c r="Q28" s="55"/>
      <c r="R28" s="56"/>
      <c r="S28" s="48"/>
      <c r="T28" s="48"/>
      <c r="U28" s="48"/>
      <c r="W28" s="48"/>
      <c r="X28" s="48"/>
    </row>
    <row r="29" spans="2:24" x14ac:dyDescent="0.25">
      <c r="B29" s="31"/>
      <c r="C29" s="21"/>
      <c r="D29" s="44"/>
      <c r="E29" s="44"/>
      <c r="F29" s="31"/>
      <c r="G29" s="37"/>
      <c r="H29" s="164"/>
      <c r="I29" s="31"/>
      <c r="J29" s="31"/>
      <c r="K29" s="31"/>
      <c r="L29" s="31"/>
      <c r="M29" s="31"/>
      <c r="O29" s="165"/>
      <c r="P29" s="54"/>
      <c r="Q29" s="31"/>
      <c r="R29" s="31"/>
      <c r="S29" s="31"/>
      <c r="T29" s="31"/>
      <c r="U29" s="31"/>
      <c r="W29" s="31"/>
      <c r="X29" s="31"/>
    </row>
    <row r="30" spans="2:24" x14ac:dyDescent="0.25">
      <c r="B30" s="31" t="s">
        <v>174</v>
      </c>
      <c r="C30" s="21"/>
      <c r="D30" s="44"/>
      <c r="E30" s="44"/>
      <c r="F30" s="31"/>
      <c r="G30" s="37"/>
      <c r="H30" s="164"/>
      <c r="I30" s="31"/>
      <c r="J30" s="31"/>
      <c r="K30" s="31"/>
      <c r="L30" s="31"/>
      <c r="M30" s="31"/>
      <c r="O30" s="165"/>
      <c r="P30" s="54"/>
      <c r="Q30" s="31"/>
      <c r="R30" s="31"/>
      <c r="S30" s="31"/>
      <c r="T30" s="31"/>
      <c r="U30" s="31"/>
      <c r="W30" s="31"/>
      <c r="X30" s="31"/>
    </row>
    <row r="31" spans="2:24" x14ac:dyDescent="0.25">
      <c r="B31" s="339" t="s">
        <v>178</v>
      </c>
    </row>
    <row r="32" spans="2:24" x14ac:dyDescent="0.25">
      <c r="J32" s="238"/>
      <c r="R32" s="238"/>
    </row>
  </sheetData>
  <hyperlinks>
    <hyperlink ref="B31" r:id="rId1"/>
  </hyperlinks>
  <pageMargins left="0.75" right="0.5" top="0.76" bottom="0.79" header="0.5" footer="0.26"/>
  <pageSetup scale="64" orientation="landscape" r:id="rId2"/>
  <headerFooter alignWithMargins="0">
    <oddFooter>&amp;L&amp;F&amp;C&amp;A&amp;RPSE Advice No. 2018-48 &amp;D
Page &amp;P of &amp;N</oddFooter>
  </headerFooter>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
  <sheetViews>
    <sheetView workbookViewId="0"/>
  </sheetViews>
  <sheetFormatPr defaultColWidth="9.109375" defaultRowHeight="14.4" x14ac:dyDescent="0.3"/>
  <cols>
    <col min="1" max="16384" width="9.109375" style="70"/>
  </cols>
  <sheetData/>
  <pageMargins left="0.75" right="0.5" top="0.76" bottom="0.79" header="0.5" footer="0.26"/>
  <pageSetup orientation="landscape" r:id="rId1"/>
  <headerFooter alignWithMargins="0">
    <oddFooter>&amp;L&amp;F&amp;C&amp;A&amp;RPSE Advice No. 2018-48 &amp;D
Page &amp;P of &amp;N</oddFooter>
  </headerFooter>
  <customProperties>
    <customPr name="_pios_id" r:id="rId2"/>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2:Q96"/>
  <sheetViews>
    <sheetView workbookViewId="0">
      <selection activeCell="L18" sqref="L18"/>
    </sheetView>
  </sheetViews>
  <sheetFormatPr defaultColWidth="8.88671875" defaultRowHeight="15" x14ac:dyDescent="0.25"/>
  <cols>
    <col min="1" max="1" width="2.5546875" style="57" customWidth="1"/>
    <col min="2" max="2" width="4" style="57" bestFit="1" customWidth="1"/>
    <col min="3" max="3" width="9.5546875" style="57" customWidth="1"/>
    <col min="4" max="9" width="10" style="57" customWidth="1"/>
    <col min="10" max="10" width="11" style="57" bestFit="1" customWidth="1"/>
    <col min="11" max="16" width="10" style="57" customWidth="1"/>
    <col min="17" max="17" width="14.109375" style="62" customWidth="1"/>
    <col min="18" max="16384" width="8.88671875" style="57"/>
  </cols>
  <sheetData>
    <row r="2" spans="2:17" ht="64.650000000000006" customHeight="1" x14ac:dyDescent="0.3">
      <c r="C2" s="352" t="s">
        <v>176</v>
      </c>
      <c r="D2" s="352"/>
      <c r="E2" s="352"/>
      <c r="F2" s="352"/>
      <c r="G2" s="352"/>
      <c r="H2" s="352"/>
      <c r="I2" s="352"/>
      <c r="J2" s="352"/>
      <c r="K2" s="352"/>
      <c r="L2" s="352"/>
      <c r="M2" s="352"/>
      <c r="N2" s="352"/>
      <c r="O2" s="352"/>
      <c r="P2" s="352"/>
      <c r="Q2" s="352"/>
    </row>
    <row r="3" spans="2:17" ht="15.6" thickBot="1" x14ac:dyDescent="0.3">
      <c r="C3" s="339" t="s">
        <v>175</v>
      </c>
      <c r="Q3" s="67"/>
    </row>
    <row r="4" spans="2:17" ht="15.6" x14ac:dyDescent="0.25">
      <c r="C4" s="58"/>
      <c r="D4" s="64" t="s">
        <v>59</v>
      </c>
      <c r="E4" s="64">
        <v>2</v>
      </c>
      <c r="F4" s="64">
        <v>3</v>
      </c>
      <c r="G4" s="64">
        <v>4</v>
      </c>
      <c r="H4" s="64">
        <v>5</v>
      </c>
      <c r="I4" s="64">
        <v>6</v>
      </c>
      <c r="J4" s="64">
        <v>7</v>
      </c>
      <c r="K4" s="64">
        <v>8</v>
      </c>
      <c r="L4" s="64">
        <v>9</v>
      </c>
      <c r="M4" s="64">
        <v>10</v>
      </c>
      <c r="N4" s="64">
        <v>11</v>
      </c>
      <c r="O4" s="64">
        <v>12</v>
      </c>
      <c r="P4" s="65" t="s">
        <v>41</v>
      </c>
      <c r="Q4" s="67"/>
    </row>
    <row r="5" spans="2:17" ht="16.2" thickBot="1" x14ac:dyDescent="0.3">
      <c r="C5" s="66" t="s">
        <v>42</v>
      </c>
      <c r="D5" s="299"/>
      <c r="E5" s="299"/>
      <c r="F5" s="299"/>
      <c r="G5" s="299"/>
      <c r="H5" s="299"/>
      <c r="I5" s="299"/>
      <c r="J5" s="299"/>
      <c r="K5" s="299"/>
      <c r="L5" s="299"/>
      <c r="M5" s="299"/>
      <c r="N5" s="299"/>
      <c r="O5" s="299"/>
      <c r="P5" s="300"/>
      <c r="Q5" s="67"/>
    </row>
    <row r="6" spans="2:17" ht="15.6" thickBot="1" x14ac:dyDescent="0.3">
      <c r="B6" s="196">
        <v>1</v>
      </c>
      <c r="C6" s="298">
        <v>2024</v>
      </c>
      <c r="D6" s="301">
        <v>39.629646974731095</v>
      </c>
      <c r="E6" s="301">
        <v>34.62407201559212</v>
      </c>
      <c r="F6" s="301">
        <v>28.057560903304761</v>
      </c>
      <c r="G6" s="301">
        <v>25.480361460284648</v>
      </c>
      <c r="H6" s="301">
        <v>18.800209600607392</v>
      </c>
      <c r="I6" s="301">
        <v>25.902323917626163</v>
      </c>
      <c r="J6" s="301">
        <v>41.993221341766315</v>
      </c>
      <c r="K6" s="301">
        <v>39.523601019463847</v>
      </c>
      <c r="L6" s="301">
        <v>43.833783856464358</v>
      </c>
      <c r="M6" s="301">
        <v>37.207909010002005</v>
      </c>
      <c r="N6" s="301">
        <v>37.827424613865489</v>
      </c>
      <c r="O6" s="301">
        <v>42.106801472210385</v>
      </c>
      <c r="P6" s="301">
        <v>34.596454546131412</v>
      </c>
      <c r="Q6" s="325"/>
    </row>
    <row r="7" spans="2:17" ht="15.6" thickBot="1" x14ac:dyDescent="0.3">
      <c r="B7" s="57">
        <v>2</v>
      </c>
      <c r="C7" s="298">
        <f>C6+1</f>
        <v>2025</v>
      </c>
      <c r="D7" s="301">
        <v>36.531014623354828</v>
      </c>
      <c r="E7" s="301">
        <v>35.246754799755188</v>
      </c>
      <c r="F7" s="301">
        <v>28.433880235981611</v>
      </c>
      <c r="G7" s="301">
        <v>25.908803611116173</v>
      </c>
      <c r="H7" s="301">
        <v>18.096773074664586</v>
      </c>
      <c r="I7" s="301">
        <v>25.720247654162975</v>
      </c>
      <c r="J7" s="301">
        <v>43.401579307992257</v>
      </c>
      <c r="K7" s="301">
        <v>39.515585359496725</v>
      </c>
      <c r="L7" s="301">
        <v>45.686948014995302</v>
      </c>
      <c r="M7" s="301">
        <v>39.52187167821107</v>
      </c>
      <c r="N7" s="301">
        <v>38.58433388237259</v>
      </c>
      <c r="O7" s="301">
        <v>44.073167756250086</v>
      </c>
      <c r="P7" s="301">
        <v>35.070436061334384</v>
      </c>
      <c r="Q7" s="69"/>
    </row>
    <row r="8" spans="2:17" ht="15.6" thickBot="1" x14ac:dyDescent="0.3">
      <c r="B8" s="57">
        <v>3</v>
      </c>
      <c r="C8" s="298">
        <f t="shared" ref="C8:C26" si="0">C7+1</f>
        <v>2026</v>
      </c>
      <c r="D8" s="301">
        <v>40.560108961909783</v>
      </c>
      <c r="E8" s="301">
        <v>37.513983388956156</v>
      </c>
      <c r="F8" s="301">
        <v>28.654674364941016</v>
      </c>
      <c r="G8" s="301">
        <v>26.595854738189367</v>
      </c>
      <c r="H8" s="301">
        <v>19.296204761669301</v>
      </c>
      <c r="I8" s="301">
        <v>27.721756836874334</v>
      </c>
      <c r="J8" s="301">
        <v>48.356511598931476</v>
      </c>
      <c r="K8" s="301">
        <v>43.132765199270814</v>
      </c>
      <c r="L8" s="301">
        <v>48.762959056695188</v>
      </c>
      <c r="M8" s="301">
        <v>42.205060641844952</v>
      </c>
      <c r="N8" s="301">
        <v>40.091685998877978</v>
      </c>
      <c r="O8" s="301">
        <v>47.362294958832685</v>
      </c>
      <c r="P8" s="301">
        <v>37.540151969641975</v>
      </c>
      <c r="Q8" s="69"/>
    </row>
    <row r="9" spans="2:17" ht="15.6" thickBot="1" x14ac:dyDescent="0.3">
      <c r="B9" s="196">
        <v>4</v>
      </c>
      <c r="C9" s="298">
        <f t="shared" si="0"/>
        <v>2027</v>
      </c>
      <c r="D9" s="301">
        <v>44.75675938367894</v>
      </c>
      <c r="E9" s="301">
        <v>43.257101457090322</v>
      </c>
      <c r="F9" s="301">
        <v>33.356178106227354</v>
      </c>
      <c r="G9" s="301">
        <v>29.869103074537254</v>
      </c>
      <c r="H9" s="301">
        <v>20.665215247842003</v>
      </c>
      <c r="I9" s="301">
        <v>32.232438677451675</v>
      </c>
      <c r="J9" s="301">
        <v>54.24216288122193</v>
      </c>
      <c r="K9" s="301">
        <v>48.892836772959051</v>
      </c>
      <c r="L9" s="301">
        <v>54.250816658436655</v>
      </c>
      <c r="M9" s="301">
        <v>46.428711921854507</v>
      </c>
      <c r="N9" s="301">
        <v>45.053849954105814</v>
      </c>
      <c r="O9" s="301">
        <v>50.917965148599563</v>
      </c>
      <c r="P9" s="301">
        <v>42.001204945392658</v>
      </c>
      <c r="Q9" s="69"/>
    </row>
    <row r="10" spans="2:17" ht="15.6" thickBot="1" x14ac:dyDescent="0.3">
      <c r="B10" s="57">
        <v>5</v>
      </c>
      <c r="C10" s="298">
        <f t="shared" si="0"/>
        <v>2028</v>
      </c>
      <c r="D10" s="301">
        <v>48.807627968078542</v>
      </c>
      <c r="E10" s="301">
        <v>43.093511129928665</v>
      </c>
      <c r="F10" s="301">
        <v>33.959894126142125</v>
      </c>
      <c r="G10" s="301">
        <v>30.330434059125356</v>
      </c>
      <c r="H10" s="301">
        <v>22.077039299388733</v>
      </c>
      <c r="I10" s="301">
        <v>32.791380001544752</v>
      </c>
      <c r="J10" s="301">
        <v>55.959976614840912</v>
      </c>
      <c r="K10" s="301">
        <v>51.508690884683169</v>
      </c>
      <c r="L10" s="301">
        <v>54.651554882362646</v>
      </c>
      <c r="M10" s="301">
        <v>47.058607487695191</v>
      </c>
      <c r="N10" s="301">
        <v>46.279890000789379</v>
      </c>
      <c r="O10" s="301">
        <v>54.193452033444089</v>
      </c>
      <c r="P10" s="301">
        <v>43.420310196516546</v>
      </c>
      <c r="Q10" s="69"/>
    </row>
    <row r="11" spans="2:17" ht="15.6" thickBot="1" x14ac:dyDescent="0.3">
      <c r="B11" s="57">
        <v>6</v>
      </c>
      <c r="C11" s="298">
        <f t="shared" si="0"/>
        <v>2029</v>
      </c>
      <c r="D11" s="301">
        <v>47.159466333965817</v>
      </c>
      <c r="E11" s="301">
        <v>41.669917616437075</v>
      </c>
      <c r="F11" s="301">
        <v>31.039913868661742</v>
      </c>
      <c r="G11" s="301">
        <v>29.901716446062117</v>
      </c>
      <c r="H11" s="301">
        <v>21.21068152335107</v>
      </c>
      <c r="I11" s="301">
        <v>30.966747929624574</v>
      </c>
      <c r="J11" s="301">
        <v>56.348428868443754</v>
      </c>
      <c r="K11" s="301">
        <v>53.979007846318119</v>
      </c>
      <c r="L11" s="301">
        <v>59.349874365464046</v>
      </c>
      <c r="M11" s="301">
        <v>49.817346499800962</v>
      </c>
      <c r="N11" s="301">
        <v>47.925252505237687</v>
      </c>
      <c r="O11" s="301">
        <v>53.69662989325365</v>
      </c>
      <c r="P11" s="301">
        <v>43.621537398628909</v>
      </c>
      <c r="Q11" s="69"/>
    </row>
    <row r="12" spans="2:17" ht="15.6" thickBot="1" x14ac:dyDescent="0.3">
      <c r="B12" s="196">
        <v>7</v>
      </c>
      <c r="C12" s="298">
        <f t="shared" si="0"/>
        <v>2030</v>
      </c>
      <c r="D12" s="301">
        <v>47.24710328448478</v>
      </c>
      <c r="E12" s="301">
        <v>41.252329578684126</v>
      </c>
      <c r="F12" s="301">
        <v>28.862413827279486</v>
      </c>
      <c r="G12" s="301">
        <v>27.955042411256368</v>
      </c>
      <c r="H12" s="301">
        <v>21.283572570576254</v>
      </c>
      <c r="I12" s="301">
        <v>30.193280496527482</v>
      </c>
      <c r="J12" s="301">
        <v>57.326087811908742</v>
      </c>
      <c r="K12" s="301">
        <v>53.889960899197341</v>
      </c>
      <c r="L12" s="301">
        <v>58.433837603481898</v>
      </c>
      <c r="M12" s="301">
        <v>49.541463419625615</v>
      </c>
      <c r="N12" s="301">
        <v>47.174975809253937</v>
      </c>
      <c r="O12" s="301">
        <v>53.657116484825195</v>
      </c>
      <c r="P12" s="301">
        <v>43.106352287817842</v>
      </c>
      <c r="Q12" s="69"/>
    </row>
    <row r="13" spans="2:17" ht="15.6" thickBot="1" x14ac:dyDescent="0.3">
      <c r="B13" s="57">
        <v>8</v>
      </c>
      <c r="C13" s="298">
        <f t="shared" si="0"/>
        <v>2031</v>
      </c>
      <c r="D13" s="301">
        <v>43.733002013708798</v>
      </c>
      <c r="E13" s="301">
        <v>41.482944230416201</v>
      </c>
      <c r="F13" s="301">
        <v>28.512238193420455</v>
      </c>
      <c r="G13" s="301">
        <v>30.419046461604861</v>
      </c>
      <c r="H13" s="301">
        <v>18.729673767270896</v>
      </c>
      <c r="I13" s="301">
        <v>30.975437746756434</v>
      </c>
      <c r="J13" s="301">
        <v>58.782369519590318</v>
      </c>
      <c r="K13" s="301">
        <v>54.888173381942948</v>
      </c>
      <c r="L13" s="301">
        <v>59.992852494943499</v>
      </c>
      <c r="M13" s="301">
        <v>50.061541491838291</v>
      </c>
      <c r="N13" s="301">
        <v>47.639703938982905</v>
      </c>
      <c r="O13" s="301">
        <v>54.633681484384525</v>
      </c>
      <c r="P13" s="301">
        <v>43.347656803115463</v>
      </c>
      <c r="Q13" s="69"/>
    </row>
    <row r="14" spans="2:17" ht="15.6" thickBot="1" x14ac:dyDescent="0.3">
      <c r="B14" s="57">
        <v>9</v>
      </c>
      <c r="C14" s="298">
        <f t="shared" si="0"/>
        <v>2032</v>
      </c>
      <c r="D14" s="301">
        <v>45.702526729481079</v>
      </c>
      <c r="E14" s="301">
        <v>40.247858586551686</v>
      </c>
      <c r="F14" s="301">
        <v>27.30100996841502</v>
      </c>
      <c r="G14" s="301">
        <v>27.919872413795677</v>
      </c>
      <c r="H14" s="301">
        <v>17.495186975001801</v>
      </c>
      <c r="I14" s="301">
        <v>32.213558551354915</v>
      </c>
      <c r="J14" s="301">
        <v>59.804447494805643</v>
      </c>
      <c r="K14" s="301">
        <v>56.794955326248463</v>
      </c>
      <c r="L14" s="301">
        <v>63.906160270165017</v>
      </c>
      <c r="M14" s="301">
        <v>51.869562542513158</v>
      </c>
      <c r="N14" s="301">
        <v>48.938540913075769</v>
      </c>
      <c r="O14" s="301">
        <v>56.057461761120223</v>
      </c>
      <c r="P14" s="301">
        <v>44.050031525100842</v>
      </c>
      <c r="Q14" s="69"/>
    </row>
    <row r="15" spans="2:17" ht="15.6" thickBot="1" x14ac:dyDescent="0.3">
      <c r="B15" s="196">
        <v>10</v>
      </c>
      <c r="C15" s="298">
        <f t="shared" si="0"/>
        <v>2033</v>
      </c>
      <c r="D15" s="301">
        <v>45.970136361333807</v>
      </c>
      <c r="E15" s="301">
        <v>42.629447081495428</v>
      </c>
      <c r="F15" s="301">
        <v>28.012496214711231</v>
      </c>
      <c r="G15" s="301">
        <v>27.407145547010352</v>
      </c>
      <c r="H15" s="301">
        <v>17.079439462374705</v>
      </c>
      <c r="I15" s="301">
        <v>33.431073854282317</v>
      </c>
      <c r="J15" s="301">
        <v>66.176442382366261</v>
      </c>
      <c r="K15" s="301">
        <v>62.354875415946424</v>
      </c>
      <c r="L15" s="301">
        <v>62.923844596467774</v>
      </c>
      <c r="M15" s="301">
        <v>54.35808055710298</v>
      </c>
      <c r="N15" s="301">
        <v>50.754495702882792</v>
      </c>
      <c r="O15" s="301">
        <v>61.173492012701111</v>
      </c>
      <c r="P15" s="301">
        <v>46.076699024393896</v>
      </c>
      <c r="Q15" s="69"/>
    </row>
    <row r="16" spans="2:17" ht="15.6" thickBot="1" x14ac:dyDescent="0.3">
      <c r="B16" s="57">
        <v>11</v>
      </c>
      <c r="C16" s="298">
        <f t="shared" si="0"/>
        <v>2034</v>
      </c>
      <c r="D16" s="301">
        <v>44.720085495003616</v>
      </c>
      <c r="E16" s="301">
        <v>39.546901910007236</v>
      </c>
      <c r="F16" s="301">
        <v>29.166547490476425</v>
      </c>
      <c r="G16" s="301">
        <v>29.930147366953381</v>
      </c>
      <c r="H16" s="301">
        <v>18.565896188521496</v>
      </c>
      <c r="I16" s="301">
        <v>34.765538210476208</v>
      </c>
      <c r="J16" s="301">
        <v>69.131885244830002</v>
      </c>
      <c r="K16" s="301">
        <v>60.311065067010134</v>
      </c>
      <c r="L16" s="301">
        <v>65.163274094675941</v>
      </c>
      <c r="M16" s="301">
        <v>57.116502971645609</v>
      </c>
      <c r="N16" s="301">
        <v>52.612838769765482</v>
      </c>
      <c r="O16" s="301">
        <v>60.218927111749174</v>
      </c>
      <c r="P16" s="301">
        <v>46.842809324336052</v>
      </c>
      <c r="Q16" s="69"/>
    </row>
    <row r="17" spans="2:17" ht="15.6" thickBot="1" x14ac:dyDescent="0.3">
      <c r="B17" s="57">
        <v>12</v>
      </c>
      <c r="C17" s="298">
        <f t="shared" si="0"/>
        <v>2035</v>
      </c>
      <c r="D17" s="301">
        <v>48.131098128914068</v>
      </c>
      <c r="E17" s="301">
        <v>42.667518257448911</v>
      </c>
      <c r="F17" s="301">
        <v>29.00161824703752</v>
      </c>
      <c r="G17" s="301">
        <v>29.972963696097739</v>
      </c>
      <c r="H17" s="301">
        <v>18.762133070507744</v>
      </c>
      <c r="I17" s="301">
        <v>32.106709147906074</v>
      </c>
      <c r="J17" s="301">
        <v>73.465639633255236</v>
      </c>
      <c r="K17" s="301">
        <v>67.312847140080478</v>
      </c>
      <c r="L17" s="301">
        <v>74.176212266280089</v>
      </c>
      <c r="M17" s="301">
        <v>59.977039117473133</v>
      </c>
      <c r="N17" s="301">
        <v>54.952472330443015</v>
      </c>
      <c r="O17" s="301">
        <v>63.40338217361348</v>
      </c>
      <c r="P17" s="301">
        <v>49.568788266486955</v>
      </c>
      <c r="Q17" s="69"/>
    </row>
    <row r="18" spans="2:17" ht="15.6" thickBot="1" x14ac:dyDescent="0.3">
      <c r="B18" s="196">
        <v>13</v>
      </c>
      <c r="C18" s="298">
        <f t="shared" si="0"/>
        <v>2036</v>
      </c>
      <c r="D18" s="301">
        <v>51.271110613930567</v>
      </c>
      <c r="E18" s="301">
        <v>40.684002004403098</v>
      </c>
      <c r="F18" s="301">
        <v>27.926141108897017</v>
      </c>
      <c r="G18" s="301">
        <v>28.876295383383138</v>
      </c>
      <c r="H18" s="301">
        <v>17.964830872834977</v>
      </c>
      <c r="I18" s="301">
        <v>33.344861635135835</v>
      </c>
      <c r="J18" s="301">
        <v>78.639497836801823</v>
      </c>
      <c r="K18" s="301">
        <v>69.534007774157899</v>
      </c>
      <c r="L18" s="301">
        <v>74.857186388271614</v>
      </c>
      <c r="M18" s="301">
        <v>58.730751410033236</v>
      </c>
      <c r="N18" s="301">
        <v>53.784721064677321</v>
      </c>
      <c r="O18" s="301">
        <v>64.031522441445944</v>
      </c>
      <c r="P18" s="301">
        <v>50.045797038450637</v>
      </c>
      <c r="Q18" s="69"/>
    </row>
    <row r="19" spans="2:17" ht="15.6" thickBot="1" x14ac:dyDescent="0.3">
      <c r="B19" s="57">
        <v>14</v>
      </c>
      <c r="C19" s="298">
        <f t="shared" si="0"/>
        <v>2037</v>
      </c>
      <c r="D19" s="301">
        <v>47.529857433755417</v>
      </c>
      <c r="E19" s="301">
        <v>43.331450984775429</v>
      </c>
      <c r="F19" s="301">
        <v>31.939003608386454</v>
      </c>
      <c r="G19" s="301">
        <v>29.06831835555273</v>
      </c>
      <c r="H19" s="301">
        <v>15.612060344373063</v>
      </c>
      <c r="I19" s="301">
        <v>34.483944366454253</v>
      </c>
      <c r="J19" s="301">
        <v>80.656971918839957</v>
      </c>
      <c r="K19" s="301">
        <v>72.608650539160749</v>
      </c>
      <c r="L19" s="301">
        <v>79.305813326819262</v>
      </c>
      <c r="M19" s="301">
        <v>59.435971513201281</v>
      </c>
      <c r="N19" s="301">
        <v>55.462270527809466</v>
      </c>
      <c r="O19" s="301">
        <v>66.949675219345522</v>
      </c>
      <c r="P19" s="301">
        <v>51.45092858290873</v>
      </c>
      <c r="Q19" s="69"/>
    </row>
    <row r="20" spans="2:17" ht="15.6" thickBot="1" x14ac:dyDescent="0.3">
      <c r="B20" s="57">
        <v>15</v>
      </c>
      <c r="C20" s="298">
        <f t="shared" si="0"/>
        <v>2038</v>
      </c>
      <c r="D20" s="301">
        <v>48.735525008411102</v>
      </c>
      <c r="E20" s="301">
        <v>39.853826344745869</v>
      </c>
      <c r="F20" s="301">
        <v>27.69968855130978</v>
      </c>
      <c r="G20" s="301">
        <v>28.536620273245781</v>
      </c>
      <c r="H20" s="301">
        <v>16.529566025394473</v>
      </c>
      <c r="I20" s="301">
        <v>34.020310263739937</v>
      </c>
      <c r="J20" s="301">
        <v>84.202605265023479</v>
      </c>
      <c r="K20" s="301">
        <v>70.728493699706476</v>
      </c>
      <c r="L20" s="301">
        <v>80.971631676681142</v>
      </c>
      <c r="M20" s="301">
        <v>63.139708577372843</v>
      </c>
      <c r="N20" s="301">
        <v>56.51793389963958</v>
      </c>
      <c r="O20" s="301">
        <v>70.802072704575352</v>
      </c>
      <c r="P20" s="301">
        <v>51.929505413253892</v>
      </c>
      <c r="Q20" s="69"/>
    </row>
    <row r="21" spans="2:17" ht="15.6" thickBot="1" x14ac:dyDescent="0.3">
      <c r="B21" s="196">
        <v>16</v>
      </c>
      <c r="C21" s="298">
        <f t="shared" si="0"/>
        <v>2039</v>
      </c>
      <c r="D21" s="301">
        <v>51.291271202720296</v>
      </c>
      <c r="E21" s="301">
        <v>43.694107912919094</v>
      </c>
      <c r="F21" s="301">
        <v>28.060596165909178</v>
      </c>
      <c r="G21" s="301">
        <v>28.305660936087204</v>
      </c>
      <c r="H21" s="301">
        <v>16.451281597190473</v>
      </c>
      <c r="I21" s="301">
        <v>39.275153087500065</v>
      </c>
      <c r="J21" s="301">
        <v>86.828717513127032</v>
      </c>
      <c r="K21" s="301">
        <v>74.806851522632144</v>
      </c>
      <c r="L21" s="301">
        <v>80.623587712933414</v>
      </c>
      <c r="M21" s="301">
        <v>62.832926026648217</v>
      </c>
      <c r="N21" s="301">
        <v>59.699429285911123</v>
      </c>
      <c r="O21" s="301">
        <v>71.770276448413995</v>
      </c>
      <c r="P21" s="301">
        <v>53.736573937015542</v>
      </c>
      <c r="Q21" s="69"/>
    </row>
    <row r="22" spans="2:17" ht="15.6" thickBot="1" x14ac:dyDescent="0.3">
      <c r="B22" s="57">
        <v>17</v>
      </c>
      <c r="C22" s="298">
        <f t="shared" si="0"/>
        <v>2040</v>
      </c>
      <c r="D22" s="301">
        <v>49.874173142370374</v>
      </c>
      <c r="E22" s="301">
        <v>40.711039281373822</v>
      </c>
      <c r="F22" s="301">
        <v>29.196305946432258</v>
      </c>
      <c r="G22" s="301">
        <v>28.938461855629587</v>
      </c>
      <c r="H22" s="301">
        <v>18.157520047505987</v>
      </c>
      <c r="I22" s="301">
        <v>40.70357214269476</v>
      </c>
      <c r="J22" s="301">
        <v>89.730624062695313</v>
      </c>
      <c r="K22" s="301">
        <v>75.977835856995767</v>
      </c>
      <c r="L22" s="301">
        <v>82.770558563014859</v>
      </c>
      <c r="M22" s="301">
        <v>66.406583413575859</v>
      </c>
      <c r="N22" s="301">
        <v>56.378521431535539</v>
      </c>
      <c r="O22" s="301">
        <v>73.329566483218429</v>
      </c>
      <c r="P22" s="301">
        <v>54.445913760881787</v>
      </c>
      <c r="Q22" s="69"/>
    </row>
    <row r="23" spans="2:17" ht="15.6" thickBot="1" x14ac:dyDescent="0.3">
      <c r="B23" s="57">
        <v>18</v>
      </c>
      <c r="C23" s="298">
        <f t="shared" si="0"/>
        <v>2041</v>
      </c>
      <c r="D23" s="301">
        <v>58.786559464190077</v>
      </c>
      <c r="E23" s="301">
        <v>45.66907564533237</v>
      </c>
      <c r="F23" s="301">
        <v>28.214676955043927</v>
      </c>
      <c r="G23" s="301">
        <v>29.943029602039669</v>
      </c>
      <c r="H23" s="301">
        <v>14.899961641433553</v>
      </c>
      <c r="I23" s="301">
        <v>35.203411401420496</v>
      </c>
      <c r="J23" s="301">
        <v>92.559350449010637</v>
      </c>
      <c r="K23" s="301">
        <v>83.561645584831126</v>
      </c>
      <c r="L23" s="301">
        <v>89.62439852907336</v>
      </c>
      <c r="M23" s="301">
        <v>66.930294273273788</v>
      </c>
      <c r="N23" s="301">
        <v>63.049255011543096</v>
      </c>
      <c r="O23" s="301">
        <v>75.469008054997161</v>
      </c>
      <c r="P23" s="301">
        <v>57.113433817802267</v>
      </c>
      <c r="Q23" s="69"/>
    </row>
    <row r="24" spans="2:17" ht="15.6" thickBot="1" x14ac:dyDescent="0.3">
      <c r="B24" s="196">
        <v>19</v>
      </c>
      <c r="C24" s="298">
        <f t="shared" si="0"/>
        <v>2042</v>
      </c>
      <c r="D24" s="301">
        <v>59.149912795088547</v>
      </c>
      <c r="E24" s="301">
        <v>44.92046935335329</v>
      </c>
      <c r="F24" s="301">
        <v>26.893199829197396</v>
      </c>
      <c r="G24" s="301">
        <v>29.51394198912373</v>
      </c>
      <c r="H24" s="301">
        <v>14.58998017926465</v>
      </c>
      <c r="I24" s="301">
        <v>38.352684473557922</v>
      </c>
      <c r="J24" s="301">
        <v>101.79429178948294</v>
      </c>
      <c r="K24" s="301">
        <v>92.741414347952116</v>
      </c>
      <c r="L24" s="301">
        <v>91.718015992361615</v>
      </c>
      <c r="M24" s="301">
        <v>66.900097853397128</v>
      </c>
      <c r="N24" s="301">
        <v>61.394805823024733</v>
      </c>
      <c r="O24" s="301">
        <v>81.392727910435639</v>
      </c>
      <c r="P24" s="301">
        <v>59.272512208452937</v>
      </c>
      <c r="Q24" s="69"/>
    </row>
    <row r="25" spans="2:17" ht="15.6" thickBot="1" x14ac:dyDescent="0.3">
      <c r="B25" s="57">
        <v>20</v>
      </c>
      <c r="C25" s="298">
        <f t="shared" si="0"/>
        <v>2043</v>
      </c>
      <c r="D25" s="301">
        <v>59.814036251317049</v>
      </c>
      <c r="E25" s="301">
        <v>44.284197428208529</v>
      </c>
      <c r="F25" s="301">
        <v>30.507456627418545</v>
      </c>
      <c r="G25" s="301">
        <v>28.653217291108124</v>
      </c>
      <c r="H25" s="301">
        <v>15.727210028959233</v>
      </c>
      <c r="I25" s="301">
        <v>42.724714275115588</v>
      </c>
      <c r="J25" s="301">
        <v>107.65775083253155</v>
      </c>
      <c r="K25" s="301">
        <v>89.904579663298151</v>
      </c>
      <c r="L25" s="301">
        <v>96.074084988552542</v>
      </c>
      <c r="M25" s="301">
        <v>67.151256214979568</v>
      </c>
      <c r="N25" s="301">
        <v>64.724695340081581</v>
      </c>
      <c r="O25" s="301">
        <v>84.666495007815044</v>
      </c>
      <c r="P25" s="301">
        <v>61.160414269182276</v>
      </c>
      <c r="Q25" s="69"/>
    </row>
    <row r="26" spans="2:17" ht="15.6" thickBot="1" x14ac:dyDescent="0.3">
      <c r="B26" s="57">
        <v>21</v>
      </c>
      <c r="C26" s="298">
        <f t="shared" si="0"/>
        <v>2044</v>
      </c>
      <c r="D26" s="301">
        <v>66.532129502604178</v>
      </c>
      <c r="E26" s="301">
        <v>51.024229648227276</v>
      </c>
      <c r="F26" s="301">
        <v>32.358057970661427</v>
      </c>
      <c r="G26" s="301">
        <v>30.224339263863243</v>
      </c>
      <c r="H26" s="301">
        <v>19.870270114305779</v>
      </c>
      <c r="I26" s="301">
        <v>47.267557995040349</v>
      </c>
      <c r="J26" s="301">
        <v>116.30126079280086</v>
      </c>
      <c r="K26" s="301">
        <v>100.27371552086147</v>
      </c>
      <c r="L26" s="301">
        <v>98.984219696457231</v>
      </c>
      <c r="M26" s="301">
        <v>72.942601360577214</v>
      </c>
      <c r="N26" s="301">
        <v>71.147055550264739</v>
      </c>
      <c r="O26" s="301">
        <v>90.42209138556494</v>
      </c>
      <c r="P26" s="301">
        <v>66.579513008295208</v>
      </c>
      <c r="Q26" s="69"/>
    </row>
    <row r="27" spans="2:17" ht="15.6" thickBot="1" x14ac:dyDescent="0.3">
      <c r="C27" s="59"/>
      <c r="D27" s="60"/>
      <c r="E27" s="60"/>
      <c r="F27" s="60"/>
      <c r="G27" s="60"/>
      <c r="H27" s="60"/>
      <c r="I27" s="60"/>
      <c r="J27" s="60"/>
      <c r="K27" s="60"/>
      <c r="L27" s="60"/>
      <c r="M27" s="60"/>
      <c r="N27" s="60"/>
      <c r="O27" s="60"/>
      <c r="P27" s="61"/>
      <c r="Q27" s="68"/>
    </row>
    <row r="28" spans="2:17" ht="15.6" thickBot="1" x14ac:dyDescent="0.3">
      <c r="O28" s="62" t="s">
        <v>56</v>
      </c>
      <c r="P28" s="63">
        <f>-PMT(Rate_of_Return,20,NPV(Rate_of_Return,P6:P25))</f>
        <v>44.635706001774231</v>
      </c>
      <c r="Q28" s="67"/>
    </row>
    <row r="29" spans="2:17" ht="15.6" thickBot="1" x14ac:dyDescent="0.3">
      <c r="O29" s="62" t="s">
        <v>57</v>
      </c>
      <c r="P29" s="241">
        <f>-PMT(Rate_of_Return,15,NPV(Rate_of_Return,P6:P20))</f>
        <v>42.671552864883992</v>
      </c>
      <c r="Q29" s="67"/>
    </row>
    <row r="31" spans="2:17" x14ac:dyDescent="0.25">
      <c r="B31"/>
      <c r="C31"/>
      <c r="D31"/>
      <c r="E31"/>
      <c r="F31"/>
      <c r="G31"/>
      <c r="H31"/>
      <c r="I31"/>
      <c r="J31"/>
      <c r="K31"/>
      <c r="L31"/>
      <c r="M31"/>
      <c r="N31"/>
      <c r="O31"/>
      <c r="P31"/>
      <c r="Q31"/>
    </row>
    <row r="32" spans="2:17" x14ac:dyDescent="0.25">
      <c r="B32"/>
      <c r="C32"/>
      <c r="D32"/>
      <c r="E32"/>
      <c r="F32"/>
      <c r="G32"/>
      <c r="H32"/>
      <c r="I32"/>
      <c r="J32"/>
      <c r="K32"/>
      <c r="L32"/>
      <c r="M32"/>
      <c r="N32"/>
      <c r="O32"/>
      <c r="P32"/>
      <c r="Q32"/>
    </row>
    <row r="33" spans="2:17" x14ac:dyDescent="0.25">
      <c r="B33"/>
      <c r="C33"/>
      <c r="D33"/>
      <c r="E33"/>
      <c r="F33"/>
      <c r="G33"/>
      <c r="H33"/>
      <c r="I33"/>
      <c r="J33"/>
      <c r="K33"/>
      <c r="L33"/>
      <c r="M33"/>
      <c r="N33"/>
      <c r="O33"/>
      <c r="P33"/>
      <c r="Q33"/>
    </row>
    <row r="34" spans="2:17" x14ac:dyDescent="0.25">
      <c r="B34"/>
      <c r="C34"/>
      <c r="D34"/>
      <c r="E34"/>
      <c r="F34"/>
      <c r="G34"/>
      <c r="H34"/>
      <c r="I34"/>
      <c r="J34"/>
      <c r="K34"/>
      <c r="L34"/>
      <c r="M34"/>
      <c r="N34"/>
      <c r="O34"/>
      <c r="P34"/>
      <c r="Q34"/>
    </row>
    <row r="35" spans="2:17" ht="15.6" customHeight="1" x14ac:dyDescent="0.25">
      <c r="B35"/>
      <c r="C35"/>
      <c r="D35"/>
      <c r="E35"/>
      <c r="F35"/>
      <c r="G35"/>
      <c r="H35"/>
      <c r="I35"/>
      <c r="J35"/>
      <c r="K35"/>
      <c r="L35"/>
      <c r="M35"/>
      <c r="N35"/>
      <c r="O35"/>
      <c r="P35"/>
      <c r="Q35"/>
    </row>
    <row r="36" spans="2:17" x14ac:dyDescent="0.25">
      <c r="B36"/>
      <c r="C36"/>
      <c r="D36"/>
      <c r="E36"/>
      <c r="F36"/>
      <c r="G36"/>
      <c r="H36"/>
      <c r="I36"/>
      <c r="J36"/>
      <c r="K36"/>
      <c r="L36"/>
      <c r="M36"/>
      <c r="N36"/>
      <c r="O36"/>
      <c r="P36"/>
      <c r="Q36"/>
    </row>
    <row r="37" spans="2:17" ht="41.1" customHeight="1" x14ac:dyDescent="0.25">
      <c r="B37"/>
      <c r="C37"/>
      <c r="D37"/>
      <c r="E37"/>
      <c r="F37"/>
      <c r="G37"/>
      <c r="H37"/>
      <c r="I37"/>
      <c r="J37"/>
      <c r="K37"/>
      <c r="L37"/>
      <c r="M37"/>
      <c r="N37"/>
      <c r="O37"/>
      <c r="P37"/>
      <c r="Q37"/>
    </row>
    <row r="38" spans="2:17" x14ac:dyDescent="0.25">
      <c r="B38"/>
      <c r="C38"/>
      <c r="D38"/>
      <c r="E38"/>
      <c r="F38"/>
      <c r="G38"/>
      <c r="H38"/>
      <c r="I38"/>
      <c r="J38"/>
      <c r="K38"/>
      <c r="L38"/>
      <c r="M38"/>
      <c r="N38"/>
      <c r="O38"/>
      <c r="P38"/>
      <c r="Q38"/>
    </row>
    <row r="39" spans="2:17" x14ac:dyDescent="0.25">
      <c r="B39"/>
      <c r="C39"/>
      <c r="D39"/>
      <c r="E39"/>
      <c r="F39"/>
      <c r="G39"/>
      <c r="H39"/>
      <c r="I39"/>
      <c r="J39"/>
      <c r="K39"/>
      <c r="L39"/>
      <c r="M39"/>
      <c r="N39"/>
      <c r="O39"/>
      <c r="P39"/>
      <c r="Q39"/>
    </row>
    <row r="40" spans="2:17" x14ac:dyDescent="0.25">
      <c r="B40"/>
      <c r="C40"/>
      <c r="D40"/>
      <c r="E40"/>
      <c r="F40"/>
      <c r="G40"/>
      <c r="H40"/>
      <c r="I40"/>
      <c r="J40"/>
      <c r="K40"/>
      <c r="L40"/>
      <c r="M40"/>
      <c r="N40"/>
      <c r="O40"/>
      <c r="P40"/>
      <c r="Q40"/>
    </row>
    <row r="41" spans="2:17" x14ac:dyDescent="0.25">
      <c r="B41"/>
      <c r="C41"/>
      <c r="D41"/>
      <c r="E41"/>
      <c r="F41"/>
      <c r="G41"/>
      <c r="H41"/>
      <c r="I41"/>
      <c r="J41"/>
      <c r="K41"/>
      <c r="L41"/>
      <c r="M41"/>
      <c r="N41"/>
      <c r="O41"/>
      <c r="P41"/>
      <c r="Q41"/>
    </row>
    <row r="42" spans="2:17" ht="93.6" customHeight="1" x14ac:dyDescent="0.25">
      <c r="B42"/>
      <c r="C42"/>
      <c r="D42"/>
      <c r="E42"/>
      <c r="F42"/>
      <c r="G42"/>
      <c r="H42"/>
      <c r="I42"/>
      <c r="J42"/>
      <c r="K42"/>
      <c r="L42"/>
      <c r="M42"/>
      <c r="N42"/>
      <c r="O42"/>
      <c r="P42"/>
      <c r="Q42"/>
    </row>
    <row r="43" spans="2:17" ht="80.400000000000006" customHeight="1" x14ac:dyDescent="0.25">
      <c r="B43"/>
      <c r="C43"/>
      <c r="D43"/>
      <c r="E43"/>
      <c r="F43"/>
      <c r="G43"/>
      <c r="H43"/>
      <c r="I43"/>
      <c r="J43"/>
      <c r="K43"/>
      <c r="L43"/>
      <c r="M43"/>
      <c r="N43"/>
      <c r="O43"/>
      <c r="P43"/>
      <c r="Q43"/>
    </row>
    <row r="44" spans="2:17" x14ac:dyDescent="0.25">
      <c r="B44"/>
      <c r="C44"/>
      <c r="D44"/>
      <c r="E44"/>
      <c r="F44"/>
      <c r="G44"/>
      <c r="H44"/>
      <c r="I44"/>
      <c r="J44"/>
      <c r="K44"/>
      <c r="L44"/>
      <c r="M44"/>
      <c r="N44"/>
      <c r="O44"/>
      <c r="P44"/>
      <c r="Q44"/>
    </row>
    <row r="45" spans="2:17" x14ac:dyDescent="0.25">
      <c r="B45"/>
      <c r="C45"/>
      <c r="D45"/>
      <c r="E45"/>
      <c r="F45"/>
      <c r="G45"/>
      <c r="H45"/>
      <c r="I45"/>
      <c r="J45"/>
      <c r="K45"/>
      <c r="L45"/>
      <c r="M45"/>
      <c r="N45"/>
      <c r="O45"/>
      <c r="P45"/>
      <c r="Q45"/>
    </row>
    <row r="46" spans="2:17" x14ac:dyDescent="0.25">
      <c r="B46"/>
      <c r="C46"/>
      <c r="D46"/>
      <c r="E46"/>
      <c r="F46"/>
      <c r="G46"/>
      <c r="H46"/>
      <c r="I46"/>
      <c r="J46"/>
      <c r="K46"/>
      <c r="L46"/>
      <c r="M46"/>
      <c r="N46"/>
      <c r="O46"/>
      <c r="P46"/>
      <c r="Q46"/>
    </row>
    <row r="47" spans="2:17" x14ac:dyDescent="0.25">
      <c r="B47"/>
      <c r="C47"/>
      <c r="D47"/>
      <c r="E47"/>
      <c r="F47"/>
      <c r="G47"/>
      <c r="H47"/>
      <c r="I47"/>
      <c r="J47"/>
      <c r="K47"/>
      <c r="L47"/>
      <c r="M47"/>
      <c r="N47"/>
      <c r="O47"/>
      <c r="P47"/>
      <c r="Q47"/>
    </row>
    <row r="48" spans="2:17" x14ac:dyDescent="0.25">
      <c r="B48"/>
      <c r="C48"/>
      <c r="D48"/>
      <c r="E48"/>
      <c r="F48"/>
      <c r="G48"/>
      <c r="H48"/>
      <c r="I48"/>
      <c r="J48"/>
      <c r="K48"/>
      <c r="L48"/>
      <c r="M48"/>
      <c r="N48"/>
      <c r="O48"/>
      <c r="P48"/>
      <c r="Q48"/>
    </row>
    <row r="49" spans="2:17" x14ac:dyDescent="0.25">
      <c r="B49"/>
      <c r="C49"/>
      <c r="D49"/>
      <c r="E49"/>
      <c r="F49"/>
      <c r="G49"/>
      <c r="H49"/>
      <c r="I49"/>
      <c r="J49"/>
      <c r="K49"/>
      <c r="L49"/>
      <c r="M49"/>
      <c r="N49"/>
      <c r="O49"/>
      <c r="P49"/>
      <c r="Q49"/>
    </row>
    <row r="50" spans="2:17" x14ac:dyDescent="0.25">
      <c r="B50"/>
      <c r="C50"/>
      <c r="D50"/>
      <c r="E50"/>
      <c r="F50"/>
      <c r="G50"/>
      <c r="H50"/>
      <c r="I50"/>
      <c r="J50"/>
      <c r="K50"/>
      <c r="L50"/>
      <c r="M50"/>
      <c r="N50"/>
      <c r="O50"/>
      <c r="P50"/>
      <c r="Q50"/>
    </row>
    <row r="51" spans="2:17" x14ac:dyDescent="0.25">
      <c r="B51"/>
      <c r="C51"/>
      <c r="D51"/>
      <c r="E51"/>
      <c r="F51"/>
      <c r="G51"/>
      <c r="H51"/>
      <c r="I51"/>
      <c r="J51"/>
      <c r="K51"/>
      <c r="L51"/>
      <c r="M51"/>
      <c r="N51"/>
      <c r="O51"/>
      <c r="P51"/>
      <c r="Q51"/>
    </row>
    <row r="52" spans="2:17" x14ac:dyDescent="0.25">
      <c r="B52"/>
      <c r="C52"/>
      <c r="D52"/>
      <c r="E52"/>
      <c r="F52"/>
      <c r="G52"/>
      <c r="H52"/>
      <c r="I52"/>
      <c r="J52"/>
      <c r="K52"/>
      <c r="L52"/>
      <c r="M52"/>
      <c r="N52"/>
      <c r="O52"/>
      <c r="P52"/>
      <c r="Q52"/>
    </row>
    <row r="53" spans="2:17" x14ac:dyDescent="0.25">
      <c r="B53"/>
      <c r="C53"/>
      <c r="D53"/>
      <c r="E53"/>
      <c r="F53"/>
      <c r="G53"/>
      <c r="H53"/>
      <c r="I53"/>
      <c r="J53"/>
      <c r="K53"/>
      <c r="L53"/>
      <c r="M53"/>
      <c r="N53"/>
      <c r="O53"/>
      <c r="P53"/>
      <c r="Q53"/>
    </row>
    <row r="54" spans="2:17" x14ac:dyDescent="0.25">
      <c r="B54"/>
      <c r="C54"/>
      <c r="D54"/>
      <c r="E54"/>
      <c r="F54"/>
      <c r="G54"/>
      <c r="H54"/>
      <c r="I54"/>
      <c r="J54"/>
      <c r="K54"/>
      <c r="L54"/>
      <c r="M54"/>
      <c r="N54"/>
      <c r="O54"/>
      <c r="P54"/>
      <c r="Q54"/>
    </row>
    <row r="55" spans="2:17" x14ac:dyDescent="0.25">
      <c r="B55"/>
      <c r="C55"/>
      <c r="D55"/>
      <c r="E55"/>
      <c r="F55"/>
      <c r="G55"/>
      <c r="H55"/>
      <c r="I55"/>
      <c r="J55"/>
      <c r="K55"/>
      <c r="L55"/>
      <c r="M55"/>
      <c r="N55"/>
      <c r="O55"/>
      <c r="P55"/>
      <c r="Q55"/>
    </row>
    <row r="56" spans="2:17" x14ac:dyDescent="0.25">
      <c r="B56"/>
      <c r="C56"/>
      <c r="D56"/>
      <c r="E56"/>
      <c r="F56"/>
      <c r="G56"/>
      <c r="H56"/>
      <c r="I56"/>
      <c r="J56"/>
      <c r="K56"/>
      <c r="L56"/>
      <c r="M56"/>
      <c r="N56"/>
      <c r="O56"/>
      <c r="P56"/>
      <c r="Q56"/>
    </row>
    <row r="57" spans="2:17" x14ac:dyDescent="0.25">
      <c r="B57"/>
      <c r="C57"/>
      <c r="D57"/>
      <c r="E57"/>
      <c r="F57"/>
      <c r="G57"/>
      <c r="H57"/>
      <c r="I57"/>
      <c r="J57"/>
      <c r="K57"/>
      <c r="L57"/>
      <c r="M57"/>
      <c r="N57"/>
      <c r="O57"/>
      <c r="P57"/>
      <c r="Q57"/>
    </row>
    <row r="58" spans="2:17" x14ac:dyDescent="0.25">
      <c r="B58"/>
      <c r="C58"/>
      <c r="D58"/>
      <c r="E58"/>
      <c r="F58"/>
      <c r="G58"/>
      <c r="H58"/>
      <c r="I58"/>
      <c r="J58"/>
      <c r="K58"/>
      <c r="L58"/>
      <c r="M58"/>
      <c r="N58"/>
      <c r="O58"/>
      <c r="P58"/>
      <c r="Q58"/>
    </row>
    <row r="59" spans="2:17" x14ac:dyDescent="0.25">
      <c r="B59"/>
      <c r="C59"/>
      <c r="D59"/>
      <c r="E59"/>
      <c r="F59"/>
      <c r="G59"/>
      <c r="H59"/>
      <c r="I59"/>
      <c r="J59"/>
      <c r="K59"/>
      <c r="L59"/>
      <c r="M59"/>
      <c r="N59"/>
      <c r="O59"/>
      <c r="P59"/>
      <c r="Q59"/>
    </row>
    <row r="60" spans="2:17" x14ac:dyDescent="0.25">
      <c r="B60"/>
      <c r="C60"/>
      <c r="D60"/>
      <c r="E60"/>
      <c r="F60"/>
      <c r="G60"/>
      <c r="H60"/>
      <c r="I60"/>
      <c r="J60"/>
      <c r="K60"/>
      <c r="L60"/>
      <c r="M60"/>
      <c r="N60"/>
      <c r="O60"/>
      <c r="P60"/>
      <c r="Q60"/>
    </row>
    <row r="61" spans="2:17" x14ac:dyDescent="0.25">
      <c r="B61"/>
      <c r="C61"/>
      <c r="D61"/>
      <c r="E61"/>
      <c r="F61"/>
      <c r="G61"/>
      <c r="H61"/>
      <c r="I61"/>
      <c r="J61"/>
      <c r="K61"/>
      <c r="L61"/>
      <c r="M61"/>
      <c r="N61"/>
      <c r="O61"/>
      <c r="P61"/>
      <c r="Q61"/>
    </row>
    <row r="62" spans="2:17" x14ac:dyDescent="0.25">
      <c r="B62"/>
      <c r="C62"/>
      <c r="D62"/>
      <c r="E62"/>
      <c r="F62"/>
      <c r="G62"/>
      <c r="H62"/>
      <c r="I62"/>
      <c r="J62"/>
      <c r="K62"/>
      <c r="L62"/>
      <c r="M62"/>
      <c r="N62"/>
      <c r="O62"/>
      <c r="P62"/>
      <c r="Q62"/>
    </row>
    <row r="63" spans="2:17" x14ac:dyDescent="0.25">
      <c r="B63"/>
      <c r="C63"/>
      <c r="D63"/>
      <c r="E63"/>
      <c r="F63"/>
      <c r="G63"/>
      <c r="H63"/>
      <c r="I63"/>
      <c r="J63"/>
      <c r="K63"/>
      <c r="L63"/>
      <c r="M63"/>
      <c r="N63"/>
      <c r="O63"/>
      <c r="P63"/>
      <c r="Q63"/>
    </row>
    <row r="64" spans="2:17" x14ac:dyDescent="0.25">
      <c r="B64"/>
      <c r="C64"/>
      <c r="D64"/>
      <c r="E64"/>
      <c r="F64"/>
      <c r="G64"/>
      <c r="H64"/>
      <c r="I64"/>
      <c r="J64"/>
      <c r="K64"/>
      <c r="L64"/>
      <c r="M64"/>
      <c r="N64"/>
      <c r="O64"/>
      <c r="P64"/>
      <c r="Q64"/>
    </row>
    <row r="65" spans="2:17" x14ac:dyDescent="0.25">
      <c r="B65"/>
      <c r="C65"/>
      <c r="D65"/>
      <c r="E65"/>
      <c r="F65"/>
      <c r="G65"/>
      <c r="H65"/>
      <c r="I65"/>
      <c r="J65"/>
      <c r="K65"/>
      <c r="L65"/>
      <c r="M65"/>
      <c r="N65"/>
      <c r="O65"/>
      <c r="P65"/>
      <c r="Q65"/>
    </row>
    <row r="66" spans="2:17" x14ac:dyDescent="0.25">
      <c r="B66"/>
      <c r="C66"/>
      <c r="D66"/>
      <c r="E66"/>
      <c r="F66"/>
      <c r="G66"/>
      <c r="H66"/>
      <c r="I66"/>
      <c r="J66"/>
      <c r="K66"/>
      <c r="L66"/>
      <c r="M66"/>
      <c r="N66"/>
      <c r="O66"/>
      <c r="P66"/>
      <c r="Q66"/>
    </row>
    <row r="67" spans="2:17" x14ac:dyDescent="0.25">
      <c r="B67"/>
      <c r="C67"/>
      <c r="D67"/>
      <c r="E67"/>
      <c r="F67"/>
      <c r="G67"/>
      <c r="H67"/>
      <c r="I67"/>
      <c r="J67"/>
      <c r="K67"/>
      <c r="L67"/>
      <c r="M67"/>
      <c r="N67"/>
      <c r="O67"/>
      <c r="P67"/>
      <c r="Q67"/>
    </row>
    <row r="68" spans="2:17" x14ac:dyDescent="0.25">
      <c r="B68"/>
      <c r="C68"/>
      <c r="D68"/>
      <c r="E68"/>
      <c r="F68"/>
      <c r="G68"/>
      <c r="H68"/>
      <c r="I68"/>
      <c r="J68"/>
      <c r="K68"/>
      <c r="L68"/>
      <c r="M68"/>
      <c r="N68"/>
      <c r="O68"/>
      <c r="P68"/>
      <c r="Q68"/>
    </row>
    <row r="69" spans="2:17" x14ac:dyDescent="0.25">
      <c r="B69"/>
      <c r="C69"/>
      <c r="D69"/>
      <c r="E69"/>
      <c r="F69"/>
      <c r="G69"/>
      <c r="H69"/>
      <c r="I69"/>
      <c r="J69"/>
      <c r="K69"/>
      <c r="L69"/>
      <c r="M69"/>
      <c r="N69"/>
      <c r="O69"/>
      <c r="P69"/>
      <c r="Q69"/>
    </row>
    <row r="70" spans="2:17" x14ac:dyDescent="0.25">
      <c r="B70"/>
      <c r="C70"/>
      <c r="D70"/>
      <c r="E70"/>
      <c r="F70"/>
      <c r="G70"/>
      <c r="H70"/>
      <c r="I70"/>
      <c r="J70"/>
      <c r="K70"/>
      <c r="L70"/>
      <c r="M70"/>
      <c r="N70"/>
      <c r="O70"/>
      <c r="P70"/>
      <c r="Q70"/>
    </row>
    <row r="71" spans="2:17" x14ac:dyDescent="0.25">
      <c r="B71"/>
      <c r="C71"/>
      <c r="D71"/>
      <c r="E71"/>
      <c r="F71"/>
      <c r="G71"/>
      <c r="H71"/>
      <c r="I71"/>
      <c r="J71"/>
      <c r="K71"/>
      <c r="L71"/>
      <c r="M71"/>
      <c r="N71"/>
      <c r="O71"/>
      <c r="P71"/>
      <c r="Q71"/>
    </row>
    <row r="72" spans="2:17" x14ac:dyDescent="0.25">
      <c r="B72"/>
      <c r="C72"/>
      <c r="D72"/>
      <c r="E72"/>
      <c r="F72"/>
      <c r="G72"/>
      <c r="H72"/>
      <c r="I72"/>
      <c r="J72"/>
      <c r="K72"/>
      <c r="L72"/>
      <c r="M72"/>
      <c r="N72"/>
      <c r="O72"/>
      <c r="P72"/>
      <c r="Q72"/>
    </row>
    <row r="73" spans="2:17" x14ac:dyDescent="0.25">
      <c r="B73"/>
      <c r="C73"/>
      <c r="D73"/>
      <c r="E73"/>
      <c r="F73"/>
      <c r="G73"/>
      <c r="H73"/>
      <c r="I73"/>
      <c r="J73"/>
      <c r="K73"/>
      <c r="L73"/>
      <c r="M73"/>
      <c r="N73"/>
      <c r="O73"/>
      <c r="P73"/>
      <c r="Q73"/>
    </row>
    <row r="74" spans="2:17" x14ac:dyDescent="0.25">
      <c r="B74"/>
      <c r="C74"/>
      <c r="D74"/>
      <c r="E74"/>
      <c r="F74"/>
      <c r="G74"/>
      <c r="H74"/>
      <c r="I74"/>
      <c r="J74"/>
      <c r="K74"/>
      <c r="L74"/>
      <c r="M74"/>
      <c r="N74"/>
      <c r="O74"/>
      <c r="P74"/>
      <c r="Q74"/>
    </row>
    <row r="75" spans="2:17" x14ac:dyDescent="0.25">
      <c r="B75"/>
      <c r="C75"/>
      <c r="D75"/>
      <c r="E75"/>
      <c r="F75"/>
      <c r="G75"/>
      <c r="H75"/>
      <c r="I75"/>
      <c r="J75"/>
      <c r="K75"/>
      <c r="L75"/>
      <c r="M75"/>
      <c r="N75"/>
      <c r="O75"/>
      <c r="P75"/>
      <c r="Q75"/>
    </row>
    <row r="76" spans="2:17" x14ac:dyDescent="0.25">
      <c r="B76"/>
      <c r="C76"/>
      <c r="D76"/>
      <c r="E76"/>
      <c r="F76"/>
      <c r="G76"/>
      <c r="H76"/>
      <c r="I76"/>
      <c r="J76"/>
      <c r="K76"/>
      <c r="L76"/>
      <c r="M76"/>
      <c r="N76"/>
      <c r="O76"/>
      <c r="P76"/>
      <c r="Q76"/>
    </row>
    <row r="77" spans="2:17" x14ac:dyDescent="0.25">
      <c r="B77"/>
      <c r="C77"/>
      <c r="D77"/>
      <c r="E77"/>
      <c r="F77"/>
      <c r="G77"/>
      <c r="H77"/>
      <c r="I77"/>
      <c r="J77"/>
      <c r="K77"/>
      <c r="L77"/>
      <c r="M77"/>
      <c r="N77"/>
      <c r="O77"/>
      <c r="P77"/>
      <c r="Q77"/>
    </row>
    <row r="78" spans="2:17" x14ac:dyDescent="0.25">
      <c r="B78"/>
      <c r="C78"/>
      <c r="D78"/>
      <c r="E78"/>
      <c r="F78"/>
      <c r="G78"/>
      <c r="H78"/>
      <c r="I78"/>
      <c r="J78"/>
      <c r="K78"/>
      <c r="L78"/>
      <c r="M78"/>
      <c r="N78"/>
      <c r="O78"/>
      <c r="P78"/>
      <c r="Q78"/>
    </row>
    <row r="79" spans="2:17" x14ac:dyDescent="0.25">
      <c r="B79"/>
      <c r="C79"/>
      <c r="D79"/>
      <c r="E79"/>
      <c r="F79"/>
      <c r="G79"/>
      <c r="H79"/>
      <c r="I79"/>
      <c r="J79"/>
      <c r="K79"/>
      <c r="L79"/>
      <c r="M79"/>
      <c r="N79"/>
      <c r="O79"/>
      <c r="P79"/>
      <c r="Q79"/>
    </row>
    <row r="80" spans="2:17" x14ac:dyDescent="0.25">
      <c r="B80"/>
      <c r="C80"/>
      <c r="D80"/>
      <c r="E80"/>
      <c r="F80"/>
      <c r="G80"/>
      <c r="H80"/>
      <c r="I80"/>
      <c r="J80"/>
      <c r="K80"/>
      <c r="L80"/>
      <c r="M80"/>
      <c r="N80"/>
      <c r="O80"/>
      <c r="P80"/>
      <c r="Q80"/>
    </row>
    <row r="81" spans="2:17" x14ac:dyDescent="0.25">
      <c r="B81"/>
      <c r="C81"/>
      <c r="D81"/>
      <c r="E81"/>
      <c r="F81"/>
      <c r="G81"/>
      <c r="H81"/>
      <c r="I81"/>
      <c r="J81"/>
      <c r="K81"/>
      <c r="L81"/>
      <c r="M81"/>
      <c r="N81"/>
      <c r="O81"/>
      <c r="P81"/>
      <c r="Q81"/>
    </row>
    <row r="82" spans="2:17" x14ac:dyDescent="0.25">
      <c r="B82"/>
      <c r="C82"/>
      <c r="D82"/>
      <c r="E82"/>
      <c r="F82"/>
      <c r="G82"/>
      <c r="H82"/>
      <c r="I82"/>
      <c r="J82"/>
      <c r="K82"/>
      <c r="L82"/>
      <c r="M82"/>
      <c r="N82"/>
      <c r="O82"/>
      <c r="P82"/>
      <c r="Q82"/>
    </row>
    <row r="83" spans="2:17" x14ac:dyDescent="0.25">
      <c r="B83"/>
      <c r="C83"/>
      <c r="D83"/>
      <c r="E83"/>
      <c r="F83"/>
      <c r="G83"/>
      <c r="H83"/>
      <c r="I83"/>
      <c r="J83"/>
      <c r="K83"/>
      <c r="L83"/>
      <c r="M83"/>
      <c r="N83"/>
      <c r="O83"/>
      <c r="P83"/>
      <c r="Q83"/>
    </row>
    <row r="84" spans="2:17" x14ac:dyDescent="0.25">
      <c r="B84"/>
      <c r="C84"/>
      <c r="D84"/>
      <c r="E84"/>
      <c r="F84"/>
      <c r="G84"/>
      <c r="H84"/>
      <c r="I84"/>
      <c r="J84"/>
      <c r="K84"/>
      <c r="L84"/>
      <c r="M84"/>
      <c r="N84"/>
      <c r="O84"/>
      <c r="P84"/>
      <c r="Q84"/>
    </row>
    <row r="85" spans="2:17" x14ac:dyDescent="0.25">
      <c r="B85"/>
      <c r="C85"/>
      <c r="D85"/>
      <c r="E85"/>
      <c r="F85"/>
      <c r="G85"/>
      <c r="H85"/>
      <c r="I85"/>
      <c r="J85"/>
      <c r="K85"/>
      <c r="L85"/>
      <c r="M85"/>
      <c r="N85"/>
      <c r="O85"/>
      <c r="P85"/>
      <c r="Q85"/>
    </row>
    <row r="86" spans="2:17" x14ac:dyDescent="0.25">
      <c r="B86"/>
      <c r="C86"/>
      <c r="D86"/>
      <c r="E86"/>
      <c r="F86"/>
      <c r="G86"/>
      <c r="H86"/>
      <c r="I86"/>
      <c r="J86"/>
      <c r="K86"/>
      <c r="L86"/>
      <c r="M86"/>
      <c r="N86"/>
      <c r="O86"/>
      <c r="P86"/>
      <c r="Q86"/>
    </row>
    <row r="87" spans="2:17" x14ac:dyDescent="0.25">
      <c r="B87"/>
      <c r="C87"/>
      <c r="D87"/>
      <c r="E87"/>
      <c r="F87"/>
      <c r="G87"/>
      <c r="H87"/>
      <c r="I87"/>
      <c r="J87"/>
      <c r="K87"/>
      <c r="L87"/>
      <c r="M87"/>
      <c r="N87"/>
      <c r="O87"/>
      <c r="P87"/>
      <c r="Q87"/>
    </row>
    <row r="88" spans="2:17" x14ac:dyDescent="0.25">
      <c r="B88"/>
      <c r="C88"/>
      <c r="D88"/>
      <c r="E88"/>
      <c r="F88"/>
      <c r="G88"/>
      <c r="H88"/>
      <c r="I88"/>
      <c r="J88"/>
      <c r="K88"/>
      <c r="L88"/>
      <c r="M88"/>
      <c r="N88"/>
      <c r="O88"/>
      <c r="P88"/>
      <c r="Q88"/>
    </row>
    <row r="89" spans="2:17" x14ac:dyDescent="0.25">
      <c r="B89"/>
      <c r="C89"/>
      <c r="D89"/>
      <c r="E89"/>
      <c r="F89"/>
      <c r="G89"/>
      <c r="H89"/>
      <c r="I89"/>
      <c r="J89"/>
      <c r="K89"/>
      <c r="L89"/>
      <c r="M89"/>
      <c r="N89"/>
      <c r="O89"/>
      <c r="P89"/>
      <c r="Q89"/>
    </row>
    <row r="90" spans="2:17" x14ac:dyDescent="0.25">
      <c r="B90"/>
      <c r="C90"/>
      <c r="D90"/>
      <c r="E90"/>
      <c r="F90"/>
      <c r="G90"/>
      <c r="H90"/>
      <c r="I90"/>
      <c r="J90"/>
      <c r="K90"/>
      <c r="L90"/>
      <c r="M90"/>
      <c r="N90"/>
      <c r="O90"/>
      <c r="P90"/>
      <c r="Q90"/>
    </row>
    <row r="91" spans="2:17" x14ac:dyDescent="0.25">
      <c r="B91"/>
      <c r="C91"/>
      <c r="D91"/>
      <c r="E91"/>
      <c r="F91"/>
      <c r="G91"/>
      <c r="H91"/>
      <c r="I91"/>
      <c r="J91"/>
      <c r="K91"/>
      <c r="L91"/>
      <c r="M91"/>
      <c r="N91"/>
      <c r="O91"/>
      <c r="P91"/>
      <c r="Q91"/>
    </row>
    <row r="92" spans="2:17" x14ac:dyDescent="0.25">
      <c r="B92"/>
      <c r="C92"/>
      <c r="D92"/>
      <c r="E92"/>
      <c r="F92"/>
      <c r="G92"/>
      <c r="H92"/>
      <c r="I92"/>
      <c r="J92"/>
      <c r="K92"/>
      <c r="L92"/>
      <c r="M92"/>
      <c r="N92"/>
      <c r="O92"/>
      <c r="P92"/>
      <c r="Q92"/>
    </row>
    <row r="93" spans="2:17" x14ac:dyDescent="0.25">
      <c r="B93"/>
      <c r="C93"/>
      <c r="D93"/>
      <c r="E93"/>
      <c r="F93"/>
      <c r="G93"/>
      <c r="H93"/>
      <c r="I93"/>
      <c r="J93"/>
      <c r="K93"/>
      <c r="L93"/>
      <c r="M93"/>
      <c r="N93"/>
      <c r="O93"/>
      <c r="P93"/>
      <c r="Q93"/>
    </row>
    <row r="94" spans="2:17" x14ac:dyDescent="0.25">
      <c r="B94"/>
      <c r="C94"/>
      <c r="D94"/>
      <c r="E94"/>
      <c r="F94"/>
      <c r="G94"/>
      <c r="H94"/>
      <c r="I94"/>
      <c r="J94"/>
      <c r="K94"/>
      <c r="L94"/>
      <c r="M94"/>
      <c r="N94"/>
      <c r="O94"/>
      <c r="P94"/>
      <c r="Q94"/>
    </row>
    <row r="95" spans="2:17" x14ac:dyDescent="0.25">
      <c r="B95"/>
      <c r="C95"/>
      <c r="D95"/>
      <c r="E95"/>
      <c r="F95"/>
      <c r="G95"/>
      <c r="H95"/>
      <c r="I95"/>
      <c r="J95"/>
      <c r="K95"/>
      <c r="L95"/>
      <c r="M95"/>
      <c r="N95"/>
      <c r="O95"/>
      <c r="P95"/>
      <c r="Q95"/>
    </row>
    <row r="96" spans="2:17" x14ac:dyDescent="0.25">
      <c r="B96"/>
      <c r="C96"/>
      <c r="D96"/>
      <c r="E96"/>
      <c r="F96"/>
      <c r="G96"/>
      <c r="H96"/>
      <c r="I96"/>
      <c r="J96"/>
      <c r="K96"/>
      <c r="L96"/>
      <c r="M96"/>
      <c r="N96"/>
      <c r="O96"/>
      <c r="P96"/>
      <c r="Q96"/>
    </row>
  </sheetData>
  <mergeCells count="1">
    <mergeCell ref="C2:Q2"/>
  </mergeCells>
  <hyperlinks>
    <hyperlink ref="C3" r:id="rId1"/>
  </hyperlinks>
  <pageMargins left="0.75" right="0.5" top="0.76" bottom="0.79" header="0.5" footer="0.26"/>
  <pageSetup scale="57" orientation="landscape" r:id="rId2"/>
  <headerFooter alignWithMargins="0">
    <oddFooter>&amp;L&amp;F&amp;C&amp;A&amp;RPSE Advice No. 2018-48 &amp;D
Page &amp;P of &amp;N</oddFooter>
  </headerFooter>
  <customProperties>
    <customPr name="_pios_id" r:id="rId3"/>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U40"/>
  <sheetViews>
    <sheetView topLeftCell="E4" workbookViewId="0">
      <selection activeCell="L26" sqref="L26"/>
    </sheetView>
  </sheetViews>
  <sheetFormatPr defaultColWidth="8.88671875" defaultRowHeight="13.2" x14ac:dyDescent="0.25"/>
  <cols>
    <col min="1" max="1" width="2.5546875" style="210" customWidth="1"/>
    <col min="2" max="2" width="3.88671875" style="210" bestFit="1" customWidth="1"/>
    <col min="3" max="3" width="9" style="210" bestFit="1" customWidth="1"/>
    <col min="4" max="4" width="23" style="210" customWidth="1"/>
    <col min="5" max="5" width="24.5546875" style="210" customWidth="1"/>
    <col min="6" max="6" width="2.109375" style="163" customWidth="1"/>
    <col min="7" max="7" width="17.44140625" style="210" bestFit="1" customWidth="1"/>
    <col min="8" max="9" width="13.88671875" style="210" bestFit="1" customWidth="1"/>
    <col min="10" max="10" width="2.109375" style="163" customWidth="1"/>
    <col min="11" max="11" width="8.88671875" style="210"/>
    <col min="12" max="12" width="11.109375" style="210" customWidth="1"/>
    <col min="13" max="13" width="2.109375" style="163" customWidth="1"/>
    <col min="14" max="14" width="14" style="210" customWidth="1"/>
    <col min="15" max="15" width="11.44140625" style="210" bestFit="1" customWidth="1"/>
    <col min="16" max="16" width="11.5546875" style="210" customWidth="1"/>
    <col min="17" max="17" width="13" style="210" customWidth="1"/>
    <col min="18" max="18" width="12.109375" style="210" customWidth="1"/>
    <col min="19" max="19" width="11.44140625" style="210" bestFit="1" customWidth="1"/>
    <col min="20" max="16384" width="8.88671875" style="210"/>
  </cols>
  <sheetData>
    <row r="1" spans="1:21" x14ac:dyDescent="0.25">
      <c r="O1" s="239"/>
      <c r="Q1" s="239"/>
    </row>
    <row r="2" spans="1:21" x14ac:dyDescent="0.25">
      <c r="K2" s="163"/>
      <c r="L2" s="163"/>
      <c r="O2" s="240"/>
      <c r="P2" s="163"/>
      <c r="Q2" s="240"/>
      <c r="R2" s="163"/>
      <c r="S2" s="240"/>
    </row>
    <row r="3" spans="1:21" s="277" customFormat="1" ht="27.6" customHeight="1" thickBot="1" x14ac:dyDescent="0.3">
      <c r="D3" s="362" t="s">
        <v>43</v>
      </c>
      <c r="E3" s="362"/>
      <c r="F3" s="257"/>
      <c r="G3" s="355" t="s">
        <v>169</v>
      </c>
      <c r="H3" s="355"/>
      <c r="I3" s="355"/>
      <c r="J3" s="257"/>
      <c r="K3" s="257"/>
      <c r="L3" s="257"/>
      <c r="M3" s="257"/>
      <c r="N3" s="355" t="s">
        <v>88</v>
      </c>
      <c r="O3" s="355"/>
      <c r="P3" s="355"/>
      <c r="Q3" s="355"/>
      <c r="R3" s="355"/>
      <c r="S3" s="355"/>
    </row>
    <row r="4" spans="1:21" s="277" customFormat="1" ht="86.1" customHeight="1" x14ac:dyDescent="0.25">
      <c r="D4" s="261" t="s">
        <v>44</v>
      </c>
      <c r="E4" s="269" t="s">
        <v>89</v>
      </c>
      <c r="F4" s="257"/>
      <c r="G4" s="278" t="s">
        <v>106</v>
      </c>
      <c r="H4" s="336" t="s">
        <v>162</v>
      </c>
      <c r="I4" s="279" t="s">
        <v>124</v>
      </c>
      <c r="J4" s="212"/>
      <c r="K4" s="356" t="s">
        <v>107</v>
      </c>
      <c r="L4" s="359" t="s">
        <v>108</v>
      </c>
      <c r="M4" s="212"/>
      <c r="N4" s="280" t="s">
        <v>109</v>
      </c>
      <c r="O4" s="281" t="s">
        <v>110</v>
      </c>
      <c r="P4" s="337" t="s">
        <v>163</v>
      </c>
      <c r="Q4" s="281" t="s">
        <v>173</v>
      </c>
      <c r="R4" s="282" t="s">
        <v>151</v>
      </c>
      <c r="S4" s="281" t="s">
        <v>112</v>
      </c>
    </row>
    <row r="5" spans="1:21" s="277" customFormat="1" x14ac:dyDescent="0.25">
      <c r="C5" s="283"/>
      <c r="D5" s="263"/>
      <c r="E5" s="264"/>
      <c r="F5" s="257"/>
      <c r="G5" s="294">
        <v>1</v>
      </c>
      <c r="H5" s="295">
        <v>0.13</v>
      </c>
      <c r="I5" s="296">
        <v>0.04</v>
      </c>
      <c r="J5" s="212"/>
      <c r="K5" s="357"/>
      <c r="L5" s="360"/>
      <c r="M5" s="212"/>
      <c r="N5" s="284">
        <v>1</v>
      </c>
      <c r="O5" s="285"/>
      <c r="P5" s="284">
        <v>0.37</v>
      </c>
      <c r="Q5" s="285"/>
      <c r="R5" s="306">
        <v>0.25</v>
      </c>
      <c r="S5" s="286"/>
    </row>
    <row r="6" spans="1:21" s="277" customFormat="1" ht="27" thickBot="1" x14ac:dyDescent="0.3">
      <c r="B6" s="283"/>
      <c r="C6" s="287"/>
      <c r="D6" s="265"/>
      <c r="E6" s="266" t="s">
        <v>91</v>
      </c>
      <c r="F6" s="257"/>
      <c r="G6" s="288" t="s">
        <v>91</v>
      </c>
      <c r="H6" s="288" t="s">
        <v>91</v>
      </c>
      <c r="I6" s="289" t="s">
        <v>91</v>
      </c>
      <c r="J6" s="257"/>
      <c r="K6" s="358"/>
      <c r="L6" s="361"/>
      <c r="M6" s="212"/>
      <c r="N6" s="290" t="s">
        <v>90</v>
      </c>
      <c r="O6" s="291" t="s">
        <v>14</v>
      </c>
      <c r="P6" s="290" t="s">
        <v>90</v>
      </c>
      <c r="Q6" s="291" t="s">
        <v>14</v>
      </c>
      <c r="R6" s="292" t="s">
        <v>90</v>
      </c>
      <c r="S6" s="291" t="s">
        <v>14</v>
      </c>
    </row>
    <row r="7" spans="1:21" ht="13.8" thickBot="1" x14ac:dyDescent="0.3">
      <c r="A7" s="213"/>
      <c r="B7" s="270">
        <v>1</v>
      </c>
      <c r="C7" s="262">
        <v>2024</v>
      </c>
      <c r="D7" s="216"/>
      <c r="E7" s="305">
        <v>135.69</v>
      </c>
      <c r="G7" s="218">
        <f>G$5*$E7</f>
        <v>135.69</v>
      </c>
      <c r="H7" s="218">
        <f>H$5*$E7</f>
        <v>17.639700000000001</v>
      </c>
      <c r="I7" s="220">
        <f>I$5*$E7</f>
        <v>5.4276</v>
      </c>
      <c r="K7" s="217">
        <f t="shared" ref="K7:K28" si="0">C7</f>
        <v>2024</v>
      </c>
      <c r="L7" s="200">
        <v>8760</v>
      </c>
      <c r="M7" s="211"/>
      <c r="N7" s="208">
        <f>L7*$N$5</f>
        <v>8760</v>
      </c>
      <c r="O7" s="209">
        <f>(+G7*1000)/$N7</f>
        <v>15.489726027397261</v>
      </c>
      <c r="P7" s="208">
        <f>L7*$P$5</f>
        <v>3241.2</v>
      </c>
      <c r="Q7" s="209">
        <f>(+H7*1000)/$P7</f>
        <v>5.4423361717882273</v>
      </c>
      <c r="R7" s="222">
        <f t="shared" ref="R7:R28" si="1">L7*$R$5</f>
        <v>2190</v>
      </c>
      <c r="S7" s="209">
        <f>(+I7*1000)/$R7</f>
        <v>2.4783561643835617</v>
      </c>
    </row>
    <row r="8" spans="1:21" ht="13.8" thickBot="1" x14ac:dyDescent="0.3">
      <c r="A8" s="213"/>
      <c r="B8" s="271">
        <f t="shared" ref="B8:B28" si="2">+B7+1</f>
        <v>2</v>
      </c>
      <c r="C8" s="214">
        <f>C7+1</f>
        <v>2025</v>
      </c>
      <c r="D8" s="216"/>
      <c r="E8" s="305">
        <v>135.69</v>
      </c>
      <c r="G8" s="219">
        <f t="shared" ref="G8:I27" si="3">G$5*$E8</f>
        <v>135.69</v>
      </c>
      <c r="H8" s="218">
        <f t="shared" si="3"/>
        <v>17.639700000000001</v>
      </c>
      <c r="I8" s="221">
        <f t="shared" si="3"/>
        <v>5.4276</v>
      </c>
      <c r="K8" s="201">
        <f t="shared" si="0"/>
        <v>2025</v>
      </c>
      <c r="L8" s="202">
        <v>8784</v>
      </c>
      <c r="M8" s="211"/>
      <c r="N8" s="204">
        <f t="shared" ref="N8:N28" si="4">L8*$N$5</f>
        <v>8784</v>
      </c>
      <c r="O8" s="205">
        <f>(+G8*1000)/$N8</f>
        <v>15.4474043715847</v>
      </c>
      <c r="P8" s="204">
        <f>L8*$P$5</f>
        <v>3250.08</v>
      </c>
      <c r="Q8" s="205">
        <f>(+H8*1000)/$P8</f>
        <v>5.4274664008270568</v>
      </c>
      <c r="R8" s="223">
        <f>L8*$R$5</f>
        <v>2196</v>
      </c>
      <c r="S8" s="205">
        <f>(+I8*1000)/$R8</f>
        <v>2.471584699453552</v>
      </c>
      <c r="U8" s="340"/>
    </row>
    <row r="9" spans="1:21" ht="13.8" thickBot="1" x14ac:dyDescent="0.3">
      <c r="A9" s="213"/>
      <c r="B9" s="271">
        <f t="shared" si="2"/>
        <v>3</v>
      </c>
      <c r="C9" s="214">
        <f>+C8+1</f>
        <v>2026</v>
      </c>
      <c r="D9" s="216"/>
      <c r="E9" s="305">
        <v>135.69</v>
      </c>
      <c r="G9" s="219">
        <f t="shared" si="3"/>
        <v>135.69</v>
      </c>
      <c r="H9" s="218">
        <f t="shared" si="3"/>
        <v>17.639700000000001</v>
      </c>
      <c r="I9" s="221">
        <f t="shared" si="3"/>
        <v>5.4276</v>
      </c>
      <c r="K9" s="201">
        <f t="shared" si="0"/>
        <v>2026</v>
      </c>
      <c r="L9" s="202">
        <v>8760</v>
      </c>
      <c r="M9" s="211"/>
      <c r="N9" s="204">
        <f>L9*$N$5</f>
        <v>8760</v>
      </c>
      <c r="O9" s="205">
        <f t="shared" ref="O9:O28" si="5">(+G9*1000)/$N9</f>
        <v>15.489726027397261</v>
      </c>
      <c r="P9" s="204">
        <f t="shared" ref="P9:P28" si="6">L9*$P$5</f>
        <v>3241.2</v>
      </c>
      <c r="Q9" s="205">
        <f t="shared" ref="Q9:Q28" si="7">(+H9*1000)/$P9</f>
        <v>5.4423361717882273</v>
      </c>
      <c r="R9" s="223">
        <f t="shared" si="1"/>
        <v>2190</v>
      </c>
      <c r="S9" s="205">
        <f t="shared" ref="S9:S28" si="8">(+I9*1000)/$R9</f>
        <v>2.4783561643835617</v>
      </c>
    </row>
    <row r="10" spans="1:21" ht="13.8" thickBot="1" x14ac:dyDescent="0.3">
      <c r="A10" s="213"/>
      <c r="B10" s="271">
        <f t="shared" si="2"/>
        <v>4</v>
      </c>
      <c r="C10" s="214">
        <f t="shared" ref="C10:C28" si="9">+C9+1</f>
        <v>2027</v>
      </c>
      <c r="D10" s="216"/>
      <c r="E10" s="305">
        <v>135.69</v>
      </c>
      <c r="G10" s="219">
        <f t="shared" si="3"/>
        <v>135.69</v>
      </c>
      <c r="H10" s="218">
        <f t="shared" si="3"/>
        <v>17.639700000000001</v>
      </c>
      <c r="I10" s="221">
        <f t="shared" si="3"/>
        <v>5.4276</v>
      </c>
      <c r="K10" s="201">
        <f t="shared" si="0"/>
        <v>2027</v>
      </c>
      <c r="L10" s="202">
        <v>8760</v>
      </c>
      <c r="M10" s="211"/>
      <c r="N10" s="204">
        <f t="shared" si="4"/>
        <v>8760</v>
      </c>
      <c r="O10" s="205">
        <f>(+G10*1000)/$N10</f>
        <v>15.489726027397261</v>
      </c>
      <c r="P10" s="204">
        <f t="shared" si="6"/>
        <v>3241.2</v>
      </c>
      <c r="Q10" s="205">
        <f t="shared" si="7"/>
        <v>5.4423361717882273</v>
      </c>
      <c r="R10" s="223">
        <f t="shared" si="1"/>
        <v>2190</v>
      </c>
      <c r="S10" s="205">
        <f t="shared" si="8"/>
        <v>2.4783561643835617</v>
      </c>
    </row>
    <row r="11" spans="1:21" ht="13.8" thickBot="1" x14ac:dyDescent="0.3">
      <c r="A11" s="213"/>
      <c r="B11" s="271">
        <f t="shared" si="2"/>
        <v>5</v>
      </c>
      <c r="C11" s="214">
        <f t="shared" si="9"/>
        <v>2028</v>
      </c>
      <c r="D11" s="216"/>
      <c r="E11" s="305">
        <v>135.69</v>
      </c>
      <c r="G11" s="219">
        <f t="shared" si="3"/>
        <v>135.69</v>
      </c>
      <c r="H11" s="218">
        <f t="shared" si="3"/>
        <v>17.639700000000001</v>
      </c>
      <c r="I11" s="221">
        <f t="shared" si="3"/>
        <v>5.4276</v>
      </c>
      <c r="K11" s="201">
        <f t="shared" si="0"/>
        <v>2028</v>
      </c>
      <c r="L11" s="202">
        <v>8760</v>
      </c>
      <c r="M11" s="211"/>
      <c r="N11" s="204">
        <f t="shared" si="4"/>
        <v>8760</v>
      </c>
      <c r="O11" s="205">
        <f t="shared" si="5"/>
        <v>15.489726027397261</v>
      </c>
      <c r="P11" s="204">
        <f>L11*$P$5</f>
        <v>3241.2</v>
      </c>
      <c r="Q11" s="205">
        <f t="shared" si="7"/>
        <v>5.4423361717882273</v>
      </c>
      <c r="R11" s="223">
        <f t="shared" si="1"/>
        <v>2190</v>
      </c>
      <c r="S11" s="205">
        <f t="shared" si="8"/>
        <v>2.4783561643835617</v>
      </c>
    </row>
    <row r="12" spans="1:21" ht="13.8" thickBot="1" x14ac:dyDescent="0.3">
      <c r="A12" s="213"/>
      <c r="B12" s="271">
        <f t="shared" si="2"/>
        <v>6</v>
      </c>
      <c r="C12" s="214">
        <f t="shared" si="9"/>
        <v>2029</v>
      </c>
      <c r="D12" s="216"/>
      <c r="E12" s="305">
        <v>135.69</v>
      </c>
      <c r="G12" s="219">
        <f t="shared" si="3"/>
        <v>135.69</v>
      </c>
      <c r="H12" s="218">
        <f t="shared" si="3"/>
        <v>17.639700000000001</v>
      </c>
      <c r="I12" s="221">
        <f t="shared" si="3"/>
        <v>5.4276</v>
      </c>
      <c r="K12" s="201">
        <f t="shared" si="0"/>
        <v>2029</v>
      </c>
      <c r="L12" s="202">
        <v>8784</v>
      </c>
      <c r="M12" s="211"/>
      <c r="N12" s="204">
        <f t="shared" si="4"/>
        <v>8784</v>
      </c>
      <c r="O12" s="205">
        <f t="shared" si="5"/>
        <v>15.4474043715847</v>
      </c>
      <c r="P12" s="204">
        <f t="shared" si="6"/>
        <v>3250.08</v>
      </c>
      <c r="Q12" s="205">
        <f t="shared" si="7"/>
        <v>5.4274664008270568</v>
      </c>
      <c r="R12" s="223">
        <f t="shared" si="1"/>
        <v>2196</v>
      </c>
      <c r="S12" s="205">
        <f t="shared" si="8"/>
        <v>2.471584699453552</v>
      </c>
    </row>
    <row r="13" spans="1:21" ht="13.8" thickBot="1" x14ac:dyDescent="0.3">
      <c r="A13" s="213"/>
      <c r="B13" s="271">
        <f t="shared" si="2"/>
        <v>7</v>
      </c>
      <c r="C13" s="214">
        <f t="shared" si="9"/>
        <v>2030</v>
      </c>
      <c r="D13" s="216"/>
      <c r="E13" s="305">
        <v>135.69</v>
      </c>
      <c r="G13" s="219">
        <f t="shared" si="3"/>
        <v>135.69</v>
      </c>
      <c r="H13" s="218">
        <f t="shared" si="3"/>
        <v>17.639700000000001</v>
      </c>
      <c r="I13" s="221">
        <f t="shared" si="3"/>
        <v>5.4276</v>
      </c>
      <c r="K13" s="201">
        <f t="shared" si="0"/>
        <v>2030</v>
      </c>
      <c r="L13" s="202">
        <v>8760</v>
      </c>
      <c r="M13" s="211"/>
      <c r="N13" s="204">
        <f t="shared" si="4"/>
        <v>8760</v>
      </c>
      <c r="O13" s="205">
        <f t="shared" si="5"/>
        <v>15.489726027397261</v>
      </c>
      <c r="P13" s="204">
        <f t="shared" si="6"/>
        <v>3241.2</v>
      </c>
      <c r="Q13" s="205">
        <f t="shared" si="7"/>
        <v>5.4423361717882273</v>
      </c>
      <c r="R13" s="223">
        <f t="shared" si="1"/>
        <v>2190</v>
      </c>
      <c r="S13" s="205">
        <f t="shared" si="8"/>
        <v>2.4783561643835617</v>
      </c>
    </row>
    <row r="14" spans="1:21" ht="13.8" thickBot="1" x14ac:dyDescent="0.3">
      <c r="A14" s="213"/>
      <c r="B14" s="271">
        <f t="shared" si="2"/>
        <v>8</v>
      </c>
      <c r="C14" s="214">
        <f t="shared" si="9"/>
        <v>2031</v>
      </c>
      <c r="D14" s="216"/>
      <c r="E14" s="305">
        <v>135.69</v>
      </c>
      <c r="G14" s="219">
        <f t="shared" si="3"/>
        <v>135.69</v>
      </c>
      <c r="H14" s="218">
        <f t="shared" si="3"/>
        <v>17.639700000000001</v>
      </c>
      <c r="I14" s="221">
        <f t="shared" si="3"/>
        <v>5.4276</v>
      </c>
      <c r="K14" s="201">
        <f t="shared" si="0"/>
        <v>2031</v>
      </c>
      <c r="L14" s="202">
        <v>8760</v>
      </c>
      <c r="M14" s="211"/>
      <c r="N14" s="204">
        <f t="shared" si="4"/>
        <v>8760</v>
      </c>
      <c r="O14" s="205">
        <f t="shared" si="5"/>
        <v>15.489726027397261</v>
      </c>
      <c r="P14" s="204">
        <f t="shared" si="6"/>
        <v>3241.2</v>
      </c>
      <c r="Q14" s="205">
        <f t="shared" si="7"/>
        <v>5.4423361717882273</v>
      </c>
      <c r="R14" s="223">
        <f t="shared" si="1"/>
        <v>2190</v>
      </c>
      <c r="S14" s="205">
        <f t="shared" si="8"/>
        <v>2.4783561643835617</v>
      </c>
    </row>
    <row r="15" spans="1:21" ht="13.8" thickBot="1" x14ac:dyDescent="0.3">
      <c r="A15" s="213"/>
      <c r="B15" s="271">
        <f t="shared" si="2"/>
        <v>9</v>
      </c>
      <c r="C15" s="214">
        <f t="shared" si="9"/>
        <v>2032</v>
      </c>
      <c r="D15" s="216"/>
      <c r="E15" s="305">
        <v>135.69</v>
      </c>
      <c r="G15" s="219">
        <f t="shared" si="3"/>
        <v>135.69</v>
      </c>
      <c r="H15" s="218">
        <f t="shared" si="3"/>
        <v>17.639700000000001</v>
      </c>
      <c r="I15" s="221">
        <f t="shared" si="3"/>
        <v>5.4276</v>
      </c>
      <c r="K15" s="201">
        <f t="shared" si="0"/>
        <v>2032</v>
      </c>
      <c r="L15" s="202">
        <v>8760</v>
      </c>
      <c r="M15" s="211"/>
      <c r="N15" s="204">
        <f t="shared" si="4"/>
        <v>8760</v>
      </c>
      <c r="O15" s="205">
        <f t="shared" si="5"/>
        <v>15.489726027397261</v>
      </c>
      <c r="P15" s="204">
        <f t="shared" si="6"/>
        <v>3241.2</v>
      </c>
      <c r="Q15" s="205">
        <f t="shared" si="7"/>
        <v>5.4423361717882273</v>
      </c>
      <c r="R15" s="223">
        <f t="shared" si="1"/>
        <v>2190</v>
      </c>
      <c r="S15" s="205">
        <f t="shared" si="8"/>
        <v>2.4783561643835617</v>
      </c>
    </row>
    <row r="16" spans="1:21" ht="13.8" thickBot="1" x14ac:dyDescent="0.3">
      <c r="A16" s="213"/>
      <c r="B16" s="271">
        <f t="shared" si="2"/>
        <v>10</v>
      </c>
      <c r="C16" s="214">
        <f t="shared" si="9"/>
        <v>2033</v>
      </c>
      <c r="D16" s="216"/>
      <c r="E16" s="305">
        <v>135.69</v>
      </c>
      <c r="G16" s="219">
        <f t="shared" si="3"/>
        <v>135.69</v>
      </c>
      <c r="H16" s="218">
        <f t="shared" si="3"/>
        <v>17.639700000000001</v>
      </c>
      <c r="I16" s="221">
        <f t="shared" si="3"/>
        <v>5.4276</v>
      </c>
      <c r="K16" s="201">
        <f t="shared" si="0"/>
        <v>2033</v>
      </c>
      <c r="L16" s="202">
        <v>8784</v>
      </c>
      <c r="M16" s="211"/>
      <c r="N16" s="204">
        <f t="shared" si="4"/>
        <v>8784</v>
      </c>
      <c r="O16" s="205">
        <f t="shared" si="5"/>
        <v>15.4474043715847</v>
      </c>
      <c r="P16" s="204">
        <f t="shared" si="6"/>
        <v>3250.08</v>
      </c>
      <c r="Q16" s="205">
        <f t="shared" si="7"/>
        <v>5.4274664008270568</v>
      </c>
      <c r="R16" s="223">
        <f t="shared" si="1"/>
        <v>2196</v>
      </c>
      <c r="S16" s="205">
        <f t="shared" si="8"/>
        <v>2.471584699453552</v>
      </c>
    </row>
    <row r="17" spans="1:19" ht="13.8" thickBot="1" x14ac:dyDescent="0.3">
      <c r="A17" s="213"/>
      <c r="B17" s="271">
        <f t="shared" si="2"/>
        <v>11</v>
      </c>
      <c r="C17" s="214">
        <f t="shared" si="9"/>
        <v>2034</v>
      </c>
      <c r="D17" s="216"/>
      <c r="E17" s="305">
        <v>135.69</v>
      </c>
      <c r="G17" s="219">
        <f t="shared" si="3"/>
        <v>135.69</v>
      </c>
      <c r="H17" s="218">
        <f t="shared" si="3"/>
        <v>17.639700000000001</v>
      </c>
      <c r="I17" s="221">
        <f t="shared" si="3"/>
        <v>5.4276</v>
      </c>
      <c r="K17" s="201">
        <f t="shared" si="0"/>
        <v>2034</v>
      </c>
      <c r="L17" s="202">
        <v>8760</v>
      </c>
      <c r="M17" s="211"/>
      <c r="N17" s="204">
        <f t="shared" si="4"/>
        <v>8760</v>
      </c>
      <c r="O17" s="205">
        <f t="shared" si="5"/>
        <v>15.489726027397261</v>
      </c>
      <c r="P17" s="204">
        <f t="shared" si="6"/>
        <v>3241.2</v>
      </c>
      <c r="Q17" s="205">
        <f t="shared" si="7"/>
        <v>5.4423361717882273</v>
      </c>
      <c r="R17" s="223">
        <f t="shared" si="1"/>
        <v>2190</v>
      </c>
      <c r="S17" s="205">
        <f t="shared" si="8"/>
        <v>2.4783561643835617</v>
      </c>
    </row>
    <row r="18" spans="1:19" ht="13.8" thickBot="1" x14ac:dyDescent="0.3">
      <c r="A18" s="213"/>
      <c r="B18" s="271">
        <f t="shared" si="2"/>
        <v>12</v>
      </c>
      <c r="C18" s="214">
        <f t="shared" si="9"/>
        <v>2035</v>
      </c>
      <c r="D18" s="216"/>
      <c r="E18" s="305">
        <v>135.69</v>
      </c>
      <c r="G18" s="219">
        <f t="shared" si="3"/>
        <v>135.69</v>
      </c>
      <c r="H18" s="218">
        <f t="shared" si="3"/>
        <v>17.639700000000001</v>
      </c>
      <c r="I18" s="221">
        <f t="shared" si="3"/>
        <v>5.4276</v>
      </c>
      <c r="K18" s="201">
        <f t="shared" si="0"/>
        <v>2035</v>
      </c>
      <c r="L18" s="202">
        <v>8760</v>
      </c>
      <c r="M18" s="211"/>
      <c r="N18" s="204">
        <f t="shared" si="4"/>
        <v>8760</v>
      </c>
      <c r="O18" s="205">
        <f t="shared" si="5"/>
        <v>15.489726027397261</v>
      </c>
      <c r="P18" s="204">
        <f t="shared" si="6"/>
        <v>3241.2</v>
      </c>
      <c r="Q18" s="205">
        <f t="shared" si="7"/>
        <v>5.4423361717882273</v>
      </c>
      <c r="R18" s="223">
        <f t="shared" si="1"/>
        <v>2190</v>
      </c>
      <c r="S18" s="205">
        <f t="shared" si="8"/>
        <v>2.4783561643835617</v>
      </c>
    </row>
    <row r="19" spans="1:19" ht="13.8" thickBot="1" x14ac:dyDescent="0.3">
      <c r="A19" s="213"/>
      <c r="B19" s="271">
        <f t="shared" si="2"/>
        <v>13</v>
      </c>
      <c r="C19" s="214">
        <f t="shared" si="9"/>
        <v>2036</v>
      </c>
      <c r="D19" s="216"/>
      <c r="E19" s="305">
        <v>135.69</v>
      </c>
      <c r="G19" s="219">
        <f t="shared" si="3"/>
        <v>135.69</v>
      </c>
      <c r="H19" s="218">
        <f t="shared" si="3"/>
        <v>17.639700000000001</v>
      </c>
      <c r="I19" s="221">
        <f t="shared" si="3"/>
        <v>5.4276</v>
      </c>
      <c r="K19" s="201">
        <f t="shared" si="0"/>
        <v>2036</v>
      </c>
      <c r="L19" s="202">
        <v>8760</v>
      </c>
      <c r="M19" s="211"/>
      <c r="N19" s="204">
        <f t="shared" si="4"/>
        <v>8760</v>
      </c>
      <c r="O19" s="205">
        <f t="shared" si="5"/>
        <v>15.489726027397261</v>
      </c>
      <c r="P19" s="204">
        <f t="shared" si="6"/>
        <v>3241.2</v>
      </c>
      <c r="Q19" s="205">
        <f t="shared" si="7"/>
        <v>5.4423361717882273</v>
      </c>
      <c r="R19" s="223">
        <f t="shared" si="1"/>
        <v>2190</v>
      </c>
      <c r="S19" s="205">
        <f t="shared" si="8"/>
        <v>2.4783561643835617</v>
      </c>
    </row>
    <row r="20" spans="1:19" ht="13.8" thickBot="1" x14ac:dyDescent="0.3">
      <c r="A20" s="213"/>
      <c r="B20" s="271">
        <f t="shared" si="2"/>
        <v>14</v>
      </c>
      <c r="C20" s="214">
        <f t="shared" si="9"/>
        <v>2037</v>
      </c>
      <c r="D20" s="216"/>
      <c r="E20" s="305">
        <v>135.69</v>
      </c>
      <c r="G20" s="219">
        <f t="shared" si="3"/>
        <v>135.69</v>
      </c>
      <c r="H20" s="218">
        <f t="shared" si="3"/>
        <v>17.639700000000001</v>
      </c>
      <c r="I20" s="221">
        <f t="shared" si="3"/>
        <v>5.4276</v>
      </c>
      <c r="K20" s="201">
        <f t="shared" si="0"/>
        <v>2037</v>
      </c>
      <c r="L20" s="202">
        <v>8784</v>
      </c>
      <c r="M20" s="211"/>
      <c r="N20" s="204">
        <f t="shared" si="4"/>
        <v>8784</v>
      </c>
      <c r="O20" s="205">
        <f t="shared" si="5"/>
        <v>15.4474043715847</v>
      </c>
      <c r="P20" s="204">
        <f t="shared" si="6"/>
        <v>3250.08</v>
      </c>
      <c r="Q20" s="205">
        <f t="shared" si="7"/>
        <v>5.4274664008270568</v>
      </c>
      <c r="R20" s="223">
        <f t="shared" si="1"/>
        <v>2196</v>
      </c>
      <c r="S20" s="205">
        <f t="shared" si="8"/>
        <v>2.471584699453552</v>
      </c>
    </row>
    <row r="21" spans="1:19" ht="13.8" thickBot="1" x14ac:dyDescent="0.3">
      <c r="A21" s="213"/>
      <c r="B21" s="271">
        <f t="shared" si="2"/>
        <v>15</v>
      </c>
      <c r="C21" s="214">
        <f t="shared" si="9"/>
        <v>2038</v>
      </c>
      <c r="D21" s="216"/>
      <c r="E21" s="305">
        <v>135.69</v>
      </c>
      <c r="G21" s="219">
        <f t="shared" si="3"/>
        <v>135.69</v>
      </c>
      <c r="H21" s="218">
        <f t="shared" si="3"/>
        <v>17.639700000000001</v>
      </c>
      <c r="I21" s="221">
        <f t="shared" si="3"/>
        <v>5.4276</v>
      </c>
      <c r="K21" s="201">
        <f t="shared" si="0"/>
        <v>2038</v>
      </c>
      <c r="L21" s="202">
        <v>8760</v>
      </c>
      <c r="M21" s="211"/>
      <c r="N21" s="204">
        <f t="shared" si="4"/>
        <v>8760</v>
      </c>
      <c r="O21" s="205">
        <f t="shared" si="5"/>
        <v>15.489726027397261</v>
      </c>
      <c r="P21" s="204">
        <f t="shared" si="6"/>
        <v>3241.2</v>
      </c>
      <c r="Q21" s="205">
        <f t="shared" si="7"/>
        <v>5.4423361717882273</v>
      </c>
      <c r="R21" s="223">
        <f t="shared" si="1"/>
        <v>2190</v>
      </c>
      <c r="S21" s="205">
        <f t="shared" si="8"/>
        <v>2.4783561643835617</v>
      </c>
    </row>
    <row r="22" spans="1:19" ht="13.8" thickBot="1" x14ac:dyDescent="0.3">
      <c r="A22" s="213"/>
      <c r="B22" s="271">
        <f t="shared" si="2"/>
        <v>16</v>
      </c>
      <c r="C22" s="214">
        <f t="shared" si="9"/>
        <v>2039</v>
      </c>
      <c r="D22" s="216"/>
      <c r="E22" s="305">
        <v>135.69</v>
      </c>
      <c r="G22" s="219">
        <f t="shared" si="3"/>
        <v>135.69</v>
      </c>
      <c r="H22" s="218">
        <f t="shared" si="3"/>
        <v>17.639700000000001</v>
      </c>
      <c r="I22" s="221">
        <f t="shared" si="3"/>
        <v>5.4276</v>
      </c>
      <c r="K22" s="201">
        <f t="shared" si="0"/>
        <v>2039</v>
      </c>
      <c r="L22" s="202">
        <v>8760</v>
      </c>
      <c r="M22" s="211"/>
      <c r="N22" s="204">
        <f t="shared" si="4"/>
        <v>8760</v>
      </c>
      <c r="O22" s="205">
        <f t="shared" si="5"/>
        <v>15.489726027397261</v>
      </c>
      <c r="P22" s="204">
        <f t="shared" si="6"/>
        <v>3241.2</v>
      </c>
      <c r="Q22" s="205">
        <f t="shared" si="7"/>
        <v>5.4423361717882273</v>
      </c>
      <c r="R22" s="223">
        <f t="shared" si="1"/>
        <v>2190</v>
      </c>
      <c r="S22" s="205">
        <f t="shared" si="8"/>
        <v>2.4783561643835617</v>
      </c>
    </row>
    <row r="23" spans="1:19" ht="13.8" thickBot="1" x14ac:dyDescent="0.3">
      <c r="A23" s="213"/>
      <c r="B23" s="271">
        <f t="shared" si="2"/>
        <v>17</v>
      </c>
      <c r="C23" s="214">
        <f t="shared" si="9"/>
        <v>2040</v>
      </c>
      <c r="D23" s="216"/>
      <c r="E23" s="305">
        <v>135.69</v>
      </c>
      <c r="G23" s="219">
        <f t="shared" si="3"/>
        <v>135.69</v>
      </c>
      <c r="H23" s="218">
        <f t="shared" si="3"/>
        <v>17.639700000000001</v>
      </c>
      <c r="I23" s="221">
        <f t="shared" si="3"/>
        <v>5.4276</v>
      </c>
      <c r="K23" s="201">
        <f t="shared" si="0"/>
        <v>2040</v>
      </c>
      <c r="L23" s="202">
        <v>8760</v>
      </c>
      <c r="M23" s="211"/>
      <c r="N23" s="204">
        <f t="shared" si="4"/>
        <v>8760</v>
      </c>
      <c r="O23" s="205">
        <f t="shared" si="5"/>
        <v>15.489726027397261</v>
      </c>
      <c r="P23" s="204">
        <f t="shared" si="6"/>
        <v>3241.2</v>
      </c>
      <c r="Q23" s="205">
        <f t="shared" si="7"/>
        <v>5.4423361717882273</v>
      </c>
      <c r="R23" s="223">
        <f t="shared" si="1"/>
        <v>2190</v>
      </c>
      <c r="S23" s="205">
        <f t="shared" si="8"/>
        <v>2.4783561643835617</v>
      </c>
    </row>
    <row r="24" spans="1:19" ht="13.8" thickBot="1" x14ac:dyDescent="0.3">
      <c r="A24" s="213"/>
      <c r="B24" s="271">
        <f t="shared" si="2"/>
        <v>18</v>
      </c>
      <c r="C24" s="214">
        <f t="shared" si="9"/>
        <v>2041</v>
      </c>
      <c r="D24" s="216"/>
      <c r="E24" s="305">
        <v>135.69</v>
      </c>
      <c r="G24" s="219">
        <f t="shared" si="3"/>
        <v>135.69</v>
      </c>
      <c r="H24" s="218">
        <f t="shared" si="3"/>
        <v>17.639700000000001</v>
      </c>
      <c r="I24" s="221">
        <f t="shared" si="3"/>
        <v>5.4276</v>
      </c>
      <c r="K24" s="201">
        <f t="shared" si="0"/>
        <v>2041</v>
      </c>
      <c r="L24" s="202">
        <v>8784</v>
      </c>
      <c r="M24" s="211"/>
      <c r="N24" s="204">
        <f t="shared" si="4"/>
        <v>8784</v>
      </c>
      <c r="O24" s="205">
        <f t="shared" si="5"/>
        <v>15.4474043715847</v>
      </c>
      <c r="P24" s="204">
        <f t="shared" si="6"/>
        <v>3250.08</v>
      </c>
      <c r="Q24" s="205">
        <f t="shared" si="7"/>
        <v>5.4274664008270568</v>
      </c>
      <c r="R24" s="223">
        <f t="shared" si="1"/>
        <v>2196</v>
      </c>
      <c r="S24" s="205">
        <f t="shared" si="8"/>
        <v>2.471584699453552</v>
      </c>
    </row>
    <row r="25" spans="1:19" ht="13.8" thickBot="1" x14ac:dyDescent="0.3">
      <c r="A25" s="213"/>
      <c r="B25" s="271">
        <f t="shared" si="2"/>
        <v>19</v>
      </c>
      <c r="C25" s="214">
        <f t="shared" si="9"/>
        <v>2042</v>
      </c>
      <c r="D25" s="216"/>
      <c r="E25" s="305">
        <v>135.69</v>
      </c>
      <c r="G25" s="219">
        <f t="shared" si="3"/>
        <v>135.69</v>
      </c>
      <c r="H25" s="218">
        <f t="shared" si="3"/>
        <v>17.639700000000001</v>
      </c>
      <c r="I25" s="221">
        <f t="shared" si="3"/>
        <v>5.4276</v>
      </c>
      <c r="K25" s="201">
        <f t="shared" si="0"/>
        <v>2042</v>
      </c>
      <c r="L25" s="202">
        <v>8760</v>
      </c>
      <c r="M25" s="211"/>
      <c r="N25" s="204">
        <f t="shared" si="4"/>
        <v>8760</v>
      </c>
      <c r="O25" s="205">
        <f t="shared" si="5"/>
        <v>15.489726027397261</v>
      </c>
      <c r="P25" s="204">
        <f t="shared" si="6"/>
        <v>3241.2</v>
      </c>
      <c r="Q25" s="205">
        <f t="shared" si="7"/>
        <v>5.4423361717882273</v>
      </c>
      <c r="R25" s="223">
        <f t="shared" si="1"/>
        <v>2190</v>
      </c>
      <c r="S25" s="205">
        <f t="shared" si="8"/>
        <v>2.4783561643835617</v>
      </c>
    </row>
    <row r="26" spans="1:19" ht="13.8" thickBot="1" x14ac:dyDescent="0.3">
      <c r="A26" s="213"/>
      <c r="B26" s="271">
        <f t="shared" si="2"/>
        <v>20</v>
      </c>
      <c r="C26" s="214">
        <f t="shared" si="9"/>
        <v>2043</v>
      </c>
      <c r="D26" s="216"/>
      <c r="E26" s="305">
        <v>135.69</v>
      </c>
      <c r="G26" s="219">
        <f t="shared" si="3"/>
        <v>135.69</v>
      </c>
      <c r="H26" s="218">
        <f t="shared" si="3"/>
        <v>17.639700000000001</v>
      </c>
      <c r="I26" s="221">
        <f t="shared" si="3"/>
        <v>5.4276</v>
      </c>
      <c r="K26" s="201">
        <f t="shared" si="0"/>
        <v>2043</v>
      </c>
      <c r="L26" s="202">
        <v>8760</v>
      </c>
      <c r="M26" s="211"/>
      <c r="N26" s="204">
        <f t="shared" si="4"/>
        <v>8760</v>
      </c>
      <c r="O26" s="205">
        <f t="shared" si="5"/>
        <v>15.489726027397261</v>
      </c>
      <c r="P26" s="204">
        <f t="shared" si="6"/>
        <v>3241.2</v>
      </c>
      <c r="Q26" s="205">
        <f t="shared" si="7"/>
        <v>5.4423361717882273</v>
      </c>
      <c r="R26" s="223">
        <f t="shared" si="1"/>
        <v>2190</v>
      </c>
      <c r="S26" s="205">
        <f t="shared" si="8"/>
        <v>2.4783561643835617</v>
      </c>
    </row>
    <row r="27" spans="1:19" x14ac:dyDescent="0.25">
      <c r="A27" s="213"/>
      <c r="B27" s="271">
        <f t="shared" si="2"/>
        <v>21</v>
      </c>
      <c r="C27" s="214">
        <f t="shared" si="9"/>
        <v>2044</v>
      </c>
      <c r="D27" s="216"/>
      <c r="E27" s="305">
        <v>135.69</v>
      </c>
      <c r="G27" s="219">
        <f t="shared" si="3"/>
        <v>135.69</v>
      </c>
      <c r="H27" s="218">
        <f t="shared" si="3"/>
        <v>17.639700000000001</v>
      </c>
      <c r="I27" s="221">
        <f t="shared" si="3"/>
        <v>5.4276</v>
      </c>
      <c r="K27" s="201">
        <f t="shared" si="0"/>
        <v>2044</v>
      </c>
      <c r="L27" s="202">
        <v>8760</v>
      </c>
      <c r="M27" s="211"/>
      <c r="N27" s="204">
        <f t="shared" si="4"/>
        <v>8760</v>
      </c>
      <c r="O27" s="205">
        <f t="shared" si="5"/>
        <v>15.489726027397261</v>
      </c>
      <c r="P27" s="204">
        <f t="shared" si="6"/>
        <v>3241.2</v>
      </c>
      <c r="Q27" s="205">
        <f t="shared" si="7"/>
        <v>5.4423361717882273</v>
      </c>
      <c r="R27" s="223">
        <f t="shared" si="1"/>
        <v>2190</v>
      </c>
      <c r="S27" s="205">
        <f t="shared" si="8"/>
        <v>2.4783561643835617</v>
      </c>
    </row>
    <row r="28" spans="1:19" ht="13.8" thickBot="1" x14ac:dyDescent="0.3">
      <c r="A28" s="213"/>
      <c r="B28" s="272">
        <f t="shared" si="2"/>
        <v>22</v>
      </c>
      <c r="C28" s="242">
        <f t="shared" si="9"/>
        <v>2045</v>
      </c>
      <c r="D28" s="267"/>
      <c r="E28" s="268">
        <v>135.69</v>
      </c>
      <c r="G28" s="243">
        <f>G27</f>
        <v>135.69</v>
      </c>
      <c r="H28" s="244">
        <f>H27</f>
        <v>17.639700000000001</v>
      </c>
      <c r="I28" s="245">
        <f>I27</f>
        <v>5.4276</v>
      </c>
      <c r="J28" s="212"/>
      <c r="K28" s="199">
        <f t="shared" si="0"/>
        <v>2045</v>
      </c>
      <c r="L28" s="203">
        <v>8784</v>
      </c>
      <c r="M28" s="212"/>
      <c r="N28" s="206">
        <f t="shared" si="4"/>
        <v>8784</v>
      </c>
      <c r="O28" s="207">
        <f t="shared" si="5"/>
        <v>15.4474043715847</v>
      </c>
      <c r="P28" s="206">
        <f t="shared" si="6"/>
        <v>3250.08</v>
      </c>
      <c r="Q28" s="207">
        <f t="shared" si="7"/>
        <v>5.4274664008270568</v>
      </c>
      <c r="R28" s="224">
        <f t="shared" si="1"/>
        <v>2196</v>
      </c>
      <c r="S28" s="207">
        <f t="shared" si="8"/>
        <v>2.471584699453552</v>
      </c>
    </row>
    <row r="29" spans="1:19" x14ac:dyDescent="0.25">
      <c r="B29" s="213"/>
      <c r="C29" s="213"/>
      <c r="D29" s="213"/>
      <c r="E29" s="213"/>
      <c r="G29" s="213"/>
      <c r="H29" s="213"/>
      <c r="I29" s="213"/>
    </row>
    <row r="30" spans="1:19" x14ac:dyDescent="0.25">
      <c r="B30" s="304" t="s">
        <v>172</v>
      </c>
      <c r="F30" s="210"/>
      <c r="J30" s="210"/>
      <c r="M30" s="210"/>
    </row>
    <row r="31" spans="1:19" x14ac:dyDescent="0.25">
      <c r="B31" s="302"/>
      <c r="F31" s="210"/>
      <c r="J31" s="210"/>
      <c r="M31" s="210"/>
    </row>
    <row r="32" spans="1:19" x14ac:dyDescent="0.25">
      <c r="C32" s="302" t="s">
        <v>164</v>
      </c>
      <c r="D32" s="215"/>
    </row>
    <row r="33" spans="3:19" x14ac:dyDescent="0.25">
      <c r="C33" s="302"/>
      <c r="D33" s="215"/>
    </row>
    <row r="34" spans="3:19" x14ac:dyDescent="0.25">
      <c r="C34" s="302" t="s">
        <v>165</v>
      </c>
      <c r="D34" s="215"/>
    </row>
    <row r="35" spans="3:19" x14ac:dyDescent="0.25">
      <c r="D35" s="303" t="s">
        <v>115</v>
      </c>
    </row>
    <row r="36" spans="3:19" x14ac:dyDescent="0.25">
      <c r="D36" s="215"/>
    </row>
    <row r="37" spans="3:19" x14ac:dyDescent="0.25">
      <c r="C37" s="353" t="s">
        <v>92</v>
      </c>
      <c r="D37" s="353"/>
      <c r="E37" s="353"/>
      <c r="F37" s="353"/>
      <c r="G37" s="353"/>
      <c r="H37" s="353"/>
      <c r="I37" s="353"/>
      <c r="J37" s="353"/>
      <c r="K37" s="353"/>
      <c r="L37" s="353"/>
      <c r="M37" s="353"/>
      <c r="N37" s="353"/>
      <c r="O37" s="353"/>
      <c r="P37" s="353"/>
      <c r="Q37" s="353"/>
      <c r="R37" s="353"/>
      <c r="S37" s="353"/>
    </row>
    <row r="38" spans="3:19" x14ac:dyDescent="0.25">
      <c r="D38" s="215"/>
    </row>
    <row r="39" spans="3:19" x14ac:dyDescent="0.25">
      <c r="C39" s="354" t="s">
        <v>114</v>
      </c>
      <c r="D39" s="354"/>
      <c r="E39" s="354"/>
      <c r="F39" s="354"/>
      <c r="G39" s="354"/>
      <c r="H39" s="354"/>
      <c r="I39" s="354"/>
      <c r="J39" s="354"/>
      <c r="K39" s="354"/>
      <c r="L39" s="354"/>
      <c r="M39" s="354"/>
      <c r="N39" s="354"/>
      <c r="O39" s="354"/>
      <c r="P39" s="354"/>
      <c r="Q39" s="354"/>
    </row>
    <row r="40" spans="3:19" x14ac:dyDescent="0.25">
      <c r="C40" s="354"/>
      <c r="D40" s="354"/>
      <c r="E40" s="354"/>
      <c r="F40" s="354"/>
      <c r="G40" s="354"/>
      <c r="H40" s="354"/>
      <c r="I40" s="354"/>
      <c r="J40" s="354"/>
      <c r="K40" s="354"/>
      <c r="L40" s="354"/>
      <c r="M40" s="354"/>
      <c r="N40" s="354"/>
      <c r="O40" s="354"/>
      <c r="P40" s="354"/>
      <c r="Q40" s="354"/>
    </row>
  </sheetData>
  <mergeCells count="7">
    <mergeCell ref="C37:S37"/>
    <mergeCell ref="C39:Q40"/>
    <mergeCell ref="G3:I3"/>
    <mergeCell ref="N3:S3"/>
    <mergeCell ref="K4:K6"/>
    <mergeCell ref="L4:L6"/>
    <mergeCell ref="D3:E3"/>
  </mergeCells>
  <pageMargins left="0.75" right="0.5" top="0.76" bottom="0.79" header="0.5" footer="0.26"/>
  <pageSetup paperSize="5" scale="73" orientation="landscape" r:id="rId1"/>
  <headerFooter alignWithMargins="0">
    <oddFooter>&amp;L&amp;F&amp;C&amp;A&amp;RPSE Advice No. 2018-48 &amp;D
Page &amp;P of &amp;N</oddFooter>
  </headerFooter>
  <customProperties>
    <customPr name="_pios_id" r:id="rId2"/>
  </customPropertie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1:G21"/>
  <sheetViews>
    <sheetView workbookViewId="0">
      <selection activeCell="F2" sqref="F2"/>
    </sheetView>
  </sheetViews>
  <sheetFormatPr defaultColWidth="9.109375" defaultRowHeight="14.4" x14ac:dyDescent="0.3"/>
  <cols>
    <col min="1" max="1" width="2.5546875" style="70" customWidth="1"/>
    <col min="2" max="2" width="41.44140625" style="70" bestFit="1" customWidth="1"/>
    <col min="3" max="3" width="32.88671875" style="70" bestFit="1" customWidth="1"/>
    <col min="4" max="4" width="11.5546875" style="70" bestFit="1" customWidth="1"/>
    <col min="5" max="5" width="7.5546875" style="70" bestFit="1" customWidth="1"/>
    <col min="6" max="6" width="19.88671875" style="70" bestFit="1" customWidth="1"/>
    <col min="7" max="16384" width="9.109375" style="70"/>
  </cols>
  <sheetData>
    <row r="1" spans="2:6" ht="15" thickBot="1" x14ac:dyDescent="0.35"/>
    <row r="2" spans="2:6" x14ac:dyDescent="0.3">
      <c r="B2" s="71"/>
      <c r="C2" s="72"/>
      <c r="D2" s="72"/>
      <c r="E2" s="72"/>
      <c r="F2" s="73" t="s">
        <v>166</v>
      </c>
    </row>
    <row r="3" spans="2:6" x14ac:dyDescent="0.3">
      <c r="B3" s="74"/>
      <c r="C3" s="75"/>
      <c r="D3" s="75"/>
      <c r="E3" s="75"/>
      <c r="F3" s="76"/>
    </row>
    <row r="4" spans="2:6" x14ac:dyDescent="0.3">
      <c r="B4" s="363" t="s">
        <v>60</v>
      </c>
      <c r="C4" s="364"/>
      <c r="D4" s="364"/>
      <c r="E4" s="364"/>
      <c r="F4" s="366"/>
    </row>
    <row r="5" spans="2:6" x14ac:dyDescent="0.3">
      <c r="B5" s="363" t="s">
        <v>167</v>
      </c>
      <c r="C5" s="364"/>
      <c r="D5" s="364"/>
      <c r="E5" s="364"/>
      <c r="F5" s="366"/>
    </row>
    <row r="6" spans="2:6" x14ac:dyDescent="0.3">
      <c r="B6" s="363" t="s">
        <v>168</v>
      </c>
      <c r="C6" s="364"/>
      <c r="D6" s="364"/>
      <c r="E6" s="364"/>
      <c r="F6" s="365"/>
    </row>
    <row r="7" spans="2:6" x14ac:dyDescent="0.3">
      <c r="B7" s="363"/>
      <c r="C7" s="364"/>
      <c r="D7" s="364"/>
      <c r="E7" s="364"/>
      <c r="F7" s="365"/>
    </row>
    <row r="8" spans="2:6" x14ac:dyDescent="0.3">
      <c r="B8" s="78"/>
      <c r="C8" s="75"/>
      <c r="D8" s="75"/>
      <c r="E8" s="75"/>
      <c r="F8" s="79"/>
    </row>
    <row r="9" spans="2:6" x14ac:dyDescent="0.3">
      <c r="B9" s="78"/>
      <c r="C9" s="75"/>
      <c r="D9" s="75"/>
      <c r="E9" s="75"/>
      <c r="F9" s="79"/>
    </row>
    <row r="10" spans="2:6" x14ac:dyDescent="0.3">
      <c r="B10" s="77"/>
      <c r="C10" s="75"/>
      <c r="D10" s="75"/>
      <c r="E10" s="75"/>
      <c r="F10" s="80"/>
    </row>
    <row r="11" spans="2:6" x14ac:dyDescent="0.3">
      <c r="B11" s="78" t="s">
        <v>61</v>
      </c>
      <c r="C11" s="75"/>
      <c r="D11" s="81" t="s">
        <v>62</v>
      </c>
      <c r="E11" s="75"/>
      <c r="F11" s="82" t="s">
        <v>63</v>
      </c>
    </row>
    <row r="12" spans="2:6" ht="15" thickBot="1" x14ac:dyDescent="0.35">
      <c r="B12" s="83" t="s">
        <v>64</v>
      </c>
      <c r="C12" s="84" t="s">
        <v>65</v>
      </c>
      <c r="D12" s="85" t="s">
        <v>66</v>
      </c>
      <c r="E12" s="85" t="s">
        <v>67</v>
      </c>
      <c r="F12" s="86" t="s">
        <v>68</v>
      </c>
    </row>
    <row r="13" spans="2:6" x14ac:dyDescent="0.3">
      <c r="B13" s="77"/>
      <c r="C13" s="75"/>
      <c r="D13" s="75"/>
      <c r="E13" s="75"/>
      <c r="F13" s="80"/>
    </row>
    <row r="14" spans="2:6" x14ac:dyDescent="0.3">
      <c r="B14" s="87">
        <v>1</v>
      </c>
      <c r="C14" s="88" t="s">
        <v>69</v>
      </c>
      <c r="D14" s="328">
        <v>0.51</v>
      </c>
      <c r="E14" s="328">
        <v>0.05</v>
      </c>
      <c r="F14" s="329">
        <v>2.5499999999999998E-2</v>
      </c>
    </row>
    <row r="15" spans="2:6" ht="15" thickBot="1" x14ac:dyDescent="0.35">
      <c r="B15" s="87">
        <v>2</v>
      </c>
      <c r="C15" s="88" t="s">
        <v>70</v>
      </c>
      <c r="D15" s="328">
        <v>0.49</v>
      </c>
      <c r="E15" s="330">
        <v>9.4E-2</v>
      </c>
      <c r="F15" s="329">
        <v>4.6100000000000002E-2</v>
      </c>
    </row>
    <row r="16" spans="2:6" x14ac:dyDescent="0.3">
      <c r="B16" s="87">
        <v>3</v>
      </c>
      <c r="C16" s="88" t="s">
        <v>71</v>
      </c>
      <c r="D16" s="331">
        <v>1</v>
      </c>
      <c r="E16" s="332"/>
      <c r="F16" s="333">
        <f>SUM(F14:F15)</f>
        <v>7.1599999999999997E-2</v>
      </c>
    </row>
    <row r="17" spans="2:7" x14ac:dyDescent="0.3">
      <c r="B17" s="87">
        <v>4</v>
      </c>
      <c r="C17" s="75"/>
      <c r="D17" s="75"/>
      <c r="E17" s="75"/>
      <c r="F17" s="80"/>
    </row>
    <row r="18" spans="2:7" x14ac:dyDescent="0.3">
      <c r="B18" s="87">
        <v>5</v>
      </c>
      <c r="C18" s="88" t="s">
        <v>72</v>
      </c>
      <c r="D18" s="89">
        <v>0.51</v>
      </c>
      <c r="E18" s="89">
        <v>3.9500000000000007E-2</v>
      </c>
      <c r="F18" s="90">
        <v>2.01E-2</v>
      </c>
      <c r="G18" s="91"/>
    </row>
    <row r="19" spans="2:7" ht="15" thickBot="1" x14ac:dyDescent="0.35">
      <c r="B19" s="87">
        <v>6</v>
      </c>
      <c r="C19" s="88" t="s">
        <v>70</v>
      </c>
      <c r="D19" s="89">
        <v>0.49</v>
      </c>
      <c r="E19" s="92">
        <v>9.4E-2</v>
      </c>
      <c r="F19" s="90">
        <v>4.6100000000000002E-2</v>
      </c>
    </row>
    <row r="20" spans="2:7" x14ac:dyDescent="0.3">
      <c r="B20" s="87">
        <v>7</v>
      </c>
      <c r="C20" s="88" t="s">
        <v>73</v>
      </c>
      <c r="D20" s="93">
        <v>1</v>
      </c>
      <c r="E20" s="75"/>
      <c r="F20" s="94">
        <f>SUM(F18:F19)</f>
        <v>6.6200000000000009E-2</v>
      </c>
    </row>
    <row r="21" spans="2:7" ht="15" thickBot="1" x14ac:dyDescent="0.35">
      <c r="B21" s="95"/>
      <c r="C21" s="96"/>
      <c r="D21" s="96"/>
      <c r="E21" s="96"/>
      <c r="F21" s="97"/>
    </row>
  </sheetData>
  <mergeCells count="4">
    <mergeCell ref="B6:F6"/>
    <mergeCell ref="B7:F7"/>
    <mergeCell ref="B4:F4"/>
    <mergeCell ref="B5:F5"/>
  </mergeCells>
  <pageMargins left="0.75" right="0.5" top="0.76" bottom="0.79" header="0.5" footer="0.26"/>
  <pageSetup orientation="landscape" r:id="rId1"/>
  <headerFooter alignWithMargins="0">
    <oddFooter>&amp;L&amp;F&amp;C&amp;A&amp;RPSE Advice No. 2018-48 &amp;D
Page &amp;P of &amp;N</oddFooter>
  </headerFooter>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83"/>
  <sheetViews>
    <sheetView workbookViewId="0">
      <selection activeCell="J10" sqref="J10"/>
    </sheetView>
  </sheetViews>
  <sheetFormatPr defaultColWidth="9.109375" defaultRowHeight="15" x14ac:dyDescent="0.25"/>
  <cols>
    <col min="1" max="1" width="30.5546875" style="53" bestFit="1" customWidth="1"/>
    <col min="2" max="2" width="11.5546875" style="53" customWidth="1"/>
    <col min="3" max="3" width="9.109375" style="53"/>
    <col min="4" max="4" width="11.5546875" style="53" bestFit="1" customWidth="1"/>
    <col min="5" max="5" width="11.5546875" style="53" customWidth="1"/>
    <col min="6" max="16384" width="9.109375" style="53"/>
  </cols>
  <sheetData>
    <row r="1" spans="1:5" ht="15.6" x14ac:dyDescent="0.3">
      <c r="A1" s="5" t="s">
        <v>141</v>
      </c>
    </row>
    <row r="3" spans="1:5" ht="15.6" x14ac:dyDescent="0.3">
      <c r="A3" s="5" t="s">
        <v>116</v>
      </c>
    </row>
    <row r="5" spans="1:5" ht="31.2" x14ac:dyDescent="0.3">
      <c r="B5" s="3" t="s">
        <v>158</v>
      </c>
      <c r="E5" s="3" t="s">
        <v>125</v>
      </c>
    </row>
    <row r="7" spans="1:5" x14ac:dyDescent="0.25">
      <c r="A7" s="53">
        <v>2024</v>
      </c>
      <c r="B7" s="118">
        <f>'Energy Prices'!P6</f>
        <v>34.596454546131412</v>
      </c>
      <c r="D7" s="53">
        <v>2023</v>
      </c>
      <c r="E7" s="118">
        <v>37.003749653633584</v>
      </c>
    </row>
    <row r="8" spans="1:5" x14ac:dyDescent="0.25">
      <c r="A8" s="53">
        <f>A7+1</f>
        <v>2025</v>
      </c>
      <c r="B8" s="118">
        <f>'Energy Prices'!P7</f>
        <v>35.070436061334384</v>
      </c>
      <c r="D8" s="53">
        <v>2024</v>
      </c>
      <c r="E8" s="118">
        <v>34.596454546131412</v>
      </c>
    </row>
    <row r="9" spans="1:5" x14ac:dyDescent="0.25">
      <c r="A9" s="53">
        <f t="shared" ref="A9:A27" si="0">A8+1</f>
        <v>2026</v>
      </c>
      <c r="B9" s="118">
        <f>'Energy Prices'!P8</f>
        <v>37.540151969641975</v>
      </c>
      <c r="D9" s="53">
        <v>2025</v>
      </c>
      <c r="E9" s="118">
        <v>35.070436061334384</v>
      </c>
    </row>
    <row r="10" spans="1:5" x14ac:dyDescent="0.25">
      <c r="A10" s="53">
        <f t="shared" si="0"/>
        <v>2027</v>
      </c>
      <c r="B10" s="118">
        <f>'Energy Prices'!P9</f>
        <v>42.001204945392658</v>
      </c>
      <c r="D10" s="53">
        <v>2026</v>
      </c>
      <c r="E10" s="118">
        <v>37.540151969641975</v>
      </c>
    </row>
    <row r="11" spans="1:5" x14ac:dyDescent="0.25">
      <c r="A11" s="53">
        <f t="shared" si="0"/>
        <v>2028</v>
      </c>
      <c r="B11" s="118">
        <f>'Energy Prices'!P10</f>
        <v>43.420310196516546</v>
      </c>
      <c r="D11" s="53">
        <v>2027</v>
      </c>
      <c r="E11" s="118">
        <v>42.001204945392658</v>
      </c>
    </row>
    <row r="12" spans="1:5" x14ac:dyDescent="0.25">
      <c r="A12" s="53">
        <f t="shared" si="0"/>
        <v>2029</v>
      </c>
      <c r="B12" s="118">
        <f>'Energy Prices'!P11</f>
        <v>43.621537398628909</v>
      </c>
      <c r="D12" s="53">
        <v>2028</v>
      </c>
      <c r="E12" s="118">
        <v>43.420310196516546</v>
      </c>
    </row>
    <row r="13" spans="1:5" x14ac:dyDescent="0.25">
      <c r="A13" s="53">
        <f t="shared" si="0"/>
        <v>2030</v>
      </c>
      <c r="B13" s="118">
        <f>'Energy Prices'!P12</f>
        <v>43.106352287817842</v>
      </c>
      <c r="D13" s="53">
        <v>2029</v>
      </c>
      <c r="E13" s="118">
        <v>43.621537398628909</v>
      </c>
    </row>
    <row r="14" spans="1:5" x14ac:dyDescent="0.25">
      <c r="A14" s="53">
        <f t="shared" si="0"/>
        <v>2031</v>
      </c>
      <c r="B14" s="118">
        <f>'Energy Prices'!P13</f>
        <v>43.347656803115463</v>
      </c>
      <c r="D14" s="53">
        <v>2030</v>
      </c>
      <c r="E14" s="118">
        <v>43.106352287817842</v>
      </c>
    </row>
    <row r="15" spans="1:5" x14ac:dyDescent="0.25">
      <c r="A15" s="53">
        <f t="shared" si="0"/>
        <v>2032</v>
      </c>
      <c r="B15" s="118">
        <f>'Energy Prices'!P14</f>
        <v>44.050031525100842</v>
      </c>
      <c r="D15" s="53">
        <v>2031</v>
      </c>
      <c r="E15" s="118">
        <v>43.347656803115463</v>
      </c>
    </row>
    <row r="16" spans="1:5" x14ac:dyDescent="0.25">
      <c r="A16" s="53">
        <f t="shared" si="0"/>
        <v>2033</v>
      </c>
      <c r="B16" s="118">
        <f>'Energy Prices'!P15</f>
        <v>46.076699024393896</v>
      </c>
      <c r="D16" s="53">
        <v>2032</v>
      </c>
      <c r="E16" s="118">
        <v>44.050031525100842</v>
      </c>
    </row>
    <row r="17" spans="1:5" x14ac:dyDescent="0.25">
      <c r="A17" s="53">
        <f t="shared" si="0"/>
        <v>2034</v>
      </c>
      <c r="B17" s="118">
        <f>'Energy Prices'!P16</f>
        <v>46.842809324336052</v>
      </c>
      <c r="D17" s="53">
        <v>2033</v>
      </c>
      <c r="E17" s="118">
        <v>46.076699024393896</v>
      </c>
    </row>
    <row r="18" spans="1:5" x14ac:dyDescent="0.25">
      <c r="A18" s="53">
        <f t="shared" si="0"/>
        <v>2035</v>
      </c>
      <c r="B18" s="118">
        <f>'Energy Prices'!P17</f>
        <v>49.568788266486955</v>
      </c>
      <c r="D18" s="53">
        <v>2034</v>
      </c>
      <c r="E18" s="118">
        <v>46.842809324336052</v>
      </c>
    </row>
    <row r="19" spans="1:5" x14ac:dyDescent="0.25">
      <c r="A19" s="53">
        <f t="shared" si="0"/>
        <v>2036</v>
      </c>
      <c r="B19" s="118">
        <f>'Energy Prices'!P18</f>
        <v>50.045797038450637</v>
      </c>
      <c r="D19" s="53">
        <v>2035</v>
      </c>
      <c r="E19" s="118">
        <v>49.568788266486955</v>
      </c>
    </row>
    <row r="20" spans="1:5" x14ac:dyDescent="0.25">
      <c r="A20" s="53">
        <f t="shared" si="0"/>
        <v>2037</v>
      </c>
      <c r="B20" s="118">
        <f>'Energy Prices'!P19</f>
        <v>51.45092858290873</v>
      </c>
      <c r="D20" s="53">
        <v>2036</v>
      </c>
      <c r="E20" s="118">
        <v>50.045797038450637</v>
      </c>
    </row>
    <row r="21" spans="1:5" x14ac:dyDescent="0.25">
      <c r="A21" s="53">
        <f t="shared" si="0"/>
        <v>2038</v>
      </c>
      <c r="B21" s="118">
        <f>'Energy Prices'!P20</f>
        <v>51.929505413253892</v>
      </c>
      <c r="D21" s="53">
        <v>2037</v>
      </c>
      <c r="E21" s="118">
        <v>51.45092858290873</v>
      </c>
    </row>
    <row r="22" spans="1:5" x14ac:dyDescent="0.25">
      <c r="A22" s="53">
        <f t="shared" si="0"/>
        <v>2039</v>
      </c>
      <c r="B22" s="118">
        <f>'Energy Prices'!P21</f>
        <v>53.736573937015542</v>
      </c>
      <c r="D22" s="53">
        <v>2038</v>
      </c>
      <c r="E22" s="118">
        <v>51.929505413253892</v>
      </c>
    </row>
    <row r="23" spans="1:5" x14ac:dyDescent="0.25">
      <c r="A23" s="53">
        <f t="shared" si="0"/>
        <v>2040</v>
      </c>
      <c r="B23" s="118">
        <f>'Energy Prices'!P22</f>
        <v>54.445913760881787</v>
      </c>
      <c r="D23" s="53">
        <v>2039</v>
      </c>
      <c r="E23" s="118">
        <v>53.736573937015542</v>
      </c>
    </row>
    <row r="24" spans="1:5" x14ac:dyDescent="0.25">
      <c r="A24" s="53">
        <f t="shared" si="0"/>
        <v>2041</v>
      </c>
      <c r="B24" s="118">
        <f>'Energy Prices'!P23</f>
        <v>57.113433817802267</v>
      </c>
      <c r="D24" s="53">
        <v>2040</v>
      </c>
      <c r="E24" s="118">
        <v>54.445913760881787</v>
      </c>
    </row>
    <row r="25" spans="1:5" x14ac:dyDescent="0.25">
      <c r="A25" s="53">
        <f t="shared" si="0"/>
        <v>2042</v>
      </c>
      <c r="B25" s="118">
        <f>'Energy Prices'!P24</f>
        <v>59.272512208452937</v>
      </c>
      <c r="D25" s="53">
        <v>2041</v>
      </c>
      <c r="E25" s="118">
        <v>57.113433817802267</v>
      </c>
    </row>
    <row r="26" spans="1:5" x14ac:dyDescent="0.25">
      <c r="A26" s="53">
        <f t="shared" si="0"/>
        <v>2043</v>
      </c>
      <c r="B26" s="118">
        <f>'Energy Prices'!P25</f>
        <v>61.160414269182276</v>
      </c>
      <c r="D26" s="53">
        <v>2042</v>
      </c>
      <c r="E26" s="118">
        <v>59.272512208452937</v>
      </c>
    </row>
    <row r="27" spans="1:5" ht="15.6" thickBot="1" x14ac:dyDescent="0.3">
      <c r="A27" s="53">
        <f t="shared" si="0"/>
        <v>2044</v>
      </c>
      <c r="B27" s="118">
        <f>'Energy Prices'!P26</f>
        <v>66.579513008295208</v>
      </c>
      <c r="D27" s="53">
        <v>2043</v>
      </c>
      <c r="E27" s="118">
        <v>61.160414269182276</v>
      </c>
    </row>
    <row r="28" spans="1:5" ht="16.2" thickBot="1" x14ac:dyDescent="0.35">
      <c r="A28" s="5" t="s">
        <v>117</v>
      </c>
      <c r="B28" s="308">
        <f>-PMT(Rate_of_Return,20,NPV(Rate_of_Return,B7:B26))</f>
        <v>44.635706001774231</v>
      </c>
      <c r="E28" s="308">
        <v>43.50960268263379</v>
      </c>
    </row>
    <row r="31" spans="1:5" ht="15.6" x14ac:dyDescent="0.3">
      <c r="A31" s="5" t="s">
        <v>118</v>
      </c>
    </row>
    <row r="32" spans="1:5" x14ac:dyDescent="0.25">
      <c r="A32" s="53" t="s">
        <v>119</v>
      </c>
      <c r="B32" s="115">
        <f>'Capacity Delivered'!G5</f>
        <v>1</v>
      </c>
      <c r="E32" s="115">
        <v>1</v>
      </c>
    </row>
    <row r="33" spans="1:5" x14ac:dyDescent="0.25">
      <c r="A33" s="53" t="s">
        <v>45</v>
      </c>
      <c r="B33" s="309">
        <f>'Capacity Delivered'!H5</f>
        <v>0.13</v>
      </c>
      <c r="E33" s="309">
        <v>0.17799999999999999</v>
      </c>
    </row>
    <row r="34" spans="1:5" x14ac:dyDescent="0.25">
      <c r="A34" s="53" t="s">
        <v>46</v>
      </c>
      <c r="B34" s="310">
        <f>'Capacity Delivered'!I5</f>
        <v>0.04</v>
      </c>
      <c r="E34" s="310">
        <v>0.04</v>
      </c>
    </row>
    <row r="35" spans="1:5" x14ac:dyDescent="0.25">
      <c r="B35" s="310"/>
      <c r="E35" s="310"/>
    </row>
    <row r="36" spans="1:5" ht="15.6" x14ac:dyDescent="0.3">
      <c r="A36" s="5" t="s">
        <v>120</v>
      </c>
    </row>
    <row r="37" spans="1:5" x14ac:dyDescent="0.25">
      <c r="A37" s="53" t="s">
        <v>45</v>
      </c>
      <c r="B37" s="309">
        <f>'Capacity Delivered'!P5</f>
        <v>0.37</v>
      </c>
      <c r="E37" s="309">
        <v>0.36699999999999999</v>
      </c>
    </row>
    <row r="38" spans="1:5" x14ac:dyDescent="0.25">
      <c r="A38" s="53" t="s">
        <v>46</v>
      </c>
      <c r="B38" s="310">
        <f>'Capacity Delivered'!R5</f>
        <v>0.25</v>
      </c>
      <c r="E38" s="310">
        <v>0.24199999999999999</v>
      </c>
    </row>
    <row r="39" spans="1:5" x14ac:dyDescent="0.25">
      <c r="B39" s="310"/>
      <c r="E39" s="310"/>
    </row>
    <row r="40" spans="1:5" ht="15.6" x14ac:dyDescent="0.3">
      <c r="A40" s="5" t="s">
        <v>121</v>
      </c>
    </row>
    <row r="41" spans="1:5" x14ac:dyDescent="0.25">
      <c r="A41" s="53">
        <v>2021</v>
      </c>
      <c r="B41" s="101">
        <f>'Capacity Delivered'!E7</f>
        <v>135.69</v>
      </c>
      <c r="D41" s="53">
        <v>2021</v>
      </c>
      <c r="E41" s="101">
        <v>95.27</v>
      </c>
    </row>
    <row r="42" spans="1:5" x14ac:dyDescent="0.25">
      <c r="A42" s="53">
        <v>2022</v>
      </c>
      <c r="B42" s="101">
        <f>'Capacity Delivered'!E8</f>
        <v>135.69</v>
      </c>
      <c r="D42" s="53">
        <v>2022</v>
      </c>
      <c r="E42" s="101">
        <v>95.27</v>
      </c>
    </row>
    <row r="43" spans="1:5" x14ac:dyDescent="0.25">
      <c r="A43" s="53">
        <v>2023</v>
      </c>
      <c r="B43" s="101">
        <f>'Capacity Delivered'!E9</f>
        <v>135.69</v>
      </c>
      <c r="D43" s="53">
        <v>2023</v>
      </c>
      <c r="E43" s="101">
        <v>95.27</v>
      </c>
    </row>
    <row r="44" spans="1:5" x14ac:dyDescent="0.25">
      <c r="A44" s="53">
        <v>2024</v>
      </c>
      <c r="B44" s="101">
        <f>'Capacity Delivered'!E10</f>
        <v>135.69</v>
      </c>
      <c r="D44" s="53">
        <v>2024</v>
      </c>
      <c r="E44" s="101">
        <v>95.27</v>
      </c>
    </row>
    <row r="45" spans="1:5" x14ac:dyDescent="0.25">
      <c r="A45" s="53">
        <v>2025</v>
      </c>
      <c r="B45" s="101">
        <f>'Capacity Delivered'!E11</f>
        <v>135.69</v>
      </c>
      <c r="D45" s="53">
        <v>2025</v>
      </c>
      <c r="E45" s="101">
        <v>95.27</v>
      </c>
    </row>
    <row r="46" spans="1:5" x14ac:dyDescent="0.25">
      <c r="A46" s="53">
        <v>2026</v>
      </c>
      <c r="B46" s="101">
        <f>'Capacity Delivered'!E12</f>
        <v>135.69</v>
      </c>
      <c r="D46" s="53">
        <v>2026</v>
      </c>
      <c r="E46" s="101">
        <v>95.27</v>
      </c>
    </row>
    <row r="47" spans="1:5" x14ac:dyDescent="0.25">
      <c r="A47" s="53">
        <v>2027</v>
      </c>
      <c r="B47" s="101">
        <f>'Capacity Delivered'!E13</f>
        <v>135.69</v>
      </c>
      <c r="D47" s="53">
        <v>2027</v>
      </c>
      <c r="E47" s="101">
        <v>95.27</v>
      </c>
    </row>
    <row r="48" spans="1:5" x14ac:dyDescent="0.25">
      <c r="A48" s="53">
        <v>2028</v>
      </c>
      <c r="B48" s="101">
        <f>'Capacity Delivered'!E14</f>
        <v>135.69</v>
      </c>
      <c r="D48" s="53">
        <v>2028</v>
      </c>
      <c r="E48" s="101">
        <v>95.27</v>
      </c>
    </row>
    <row r="49" spans="1:5" x14ac:dyDescent="0.25">
      <c r="A49" s="53">
        <v>2029</v>
      </c>
      <c r="B49" s="101">
        <f>'Capacity Delivered'!E15</f>
        <v>135.69</v>
      </c>
      <c r="D49" s="53">
        <v>2029</v>
      </c>
      <c r="E49" s="101">
        <v>95.27</v>
      </c>
    </row>
    <row r="50" spans="1:5" x14ac:dyDescent="0.25">
      <c r="A50" s="53">
        <v>2030</v>
      </c>
      <c r="B50" s="101">
        <f>'Capacity Delivered'!E16</f>
        <v>135.69</v>
      </c>
      <c r="D50" s="53">
        <v>2030</v>
      </c>
      <c r="E50" s="101">
        <v>95.27</v>
      </c>
    </row>
    <row r="51" spans="1:5" x14ac:dyDescent="0.25">
      <c r="A51" s="53">
        <v>2031</v>
      </c>
      <c r="B51" s="101">
        <f>'Capacity Delivered'!E17</f>
        <v>135.69</v>
      </c>
      <c r="D51" s="53">
        <v>2031</v>
      </c>
      <c r="E51" s="101">
        <v>95.27</v>
      </c>
    </row>
    <row r="52" spans="1:5" x14ac:dyDescent="0.25">
      <c r="A52" s="53">
        <v>2032</v>
      </c>
      <c r="B52" s="101">
        <f>'Capacity Delivered'!E18</f>
        <v>135.69</v>
      </c>
      <c r="D52" s="53">
        <v>2032</v>
      </c>
      <c r="E52" s="101">
        <v>95.27</v>
      </c>
    </row>
    <row r="53" spans="1:5" x14ac:dyDescent="0.25">
      <c r="A53" s="53">
        <v>2033</v>
      </c>
      <c r="B53" s="101">
        <f>'Capacity Delivered'!E19</f>
        <v>135.69</v>
      </c>
      <c r="D53" s="53">
        <v>2033</v>
      </c>
      <c r="E53" s="101">
        <v>95.27</v>
      </c>
    </row>
    <row r="54" spans="1:5" x14ac:dyDescent="0.25">
      <c r="A54" s="53">
        <v>2034</v>
      </c>
      <c r="B54" s="101">
        <f>'Capacity Delivered'!E20</f>
        <v>135.69</v>
      </c>
      <c r="D54" s="53">
        <v>2034</v>
      </c>
      <c r="E54" s="101">
        <v>95.27</v>
      </c>
    </row>
    <row r="55" spans="1:5" x14ac:dyDescent="0.25">
      <c r="A55" s="53">
        <v>2035</v>
      </c>
      <c r="B55" s="101">
        <f>'Capacity Delivered'!E21</f>
        <v>135.69</v>
      </c>
      <c r="D55" s="53">
        <v>2035</v>
      </c>
      <c r="E55" s="101">
        <v>95.27</v>
      </c>
    </row>
    <row r="56" spans="1:5" x14ac:dyDescent="0.25">
      <c r="A56" s="53">
        <v>2036</v>
      </c>
      <c r="B56" s="101">
        <f>'Capacity Delivered'!E22</f>
        <v>135.69</v>
      </c>
      <c r="D56" s="53">
        <v>2036</v>
      </c>
      <c r="E56" s="101">
        <v>95.27</v>
      </c>
    </row>
    <row r="57" spans="1:5" x14ac:dyDescent="0.25">
      <c r="A57" s="53">
        <v>2037</v>
      </c>
      <c r="B57" s="101">
        <f>'Capacity Delivered'!E23</f>
        <v>135.69</v>
      </c>
      <c r="D57" s="53">
        <v>2037</v>
      </c>
      <c r="E57" s="101">
        <v>95.27</v>
      </c>
    </row>
    <row r="58" spans="1:5" x14ac:dyDescent="0.25">
      <c r="A58" s="53">
        <v>2038</v>
      </c>
      <c r="B58" s="101">
        <f>'Capacity Delivered'!E24</f>
        <v>135.69</v>
      </c>
      <c r="D58" s="53">
        <v>2038</v>
      </c>
      <c r="E58" s="101">
        <v>95.27</v>
      </c>
    </row>
    <row r="59" spans="1:5" x14ac:dyDescent="0.25">
      <c r="A59" s="53">
        <v>2039</v>
      </c>
      <c r="B59" s="101">
        <f>'Capacity Delivered'!E25</f>
        <v>135.69</v>
      </c>
      <c r="D59" s="53">
        <v>2039</v>
      </c>
      <c r="E59" s="101">
        <v>95.27</v>
      </c>
    </row>
    <row r="60" spans="1:5" x14ac:dyDescent="0.25">
      <c r="A60" s="53">
        <v>2040</v>
      </c>
      <c r="B60" s="101">
        <f>'Capacity Delivered'!E26</f>
        <v>135.69</v>
      </c>
      <c r="D60" s="53">
        <v>2040</v>
      </c>
      <c r="E60" s="101">
        <v>95.27</v>
      </c>
    </row>
    <row r="61" spans="1:5" x14ac:dyDescent="0.25">
      <c r="A61" s="53">
        <v>2041</v>
      </c>
      <c r="B61" s="101">
        <f>'Capacity Delivered'!E27</f>
        <v>135.69</v>
      </c>
      <c r="D61" s="53">
        <v>2041</v>
      </c>
      <c r="E61" s="101">
        <v>95.27</v>
      </c>
    </row>
    <row r="63" spans="1:5" ht="15.6" x14ac:dyDescent="0.3">
      <c r="A63" s="5" t="s">
        <v>122</v>
      </c>
      <c r="B63" s="101">
        <f>'Baseload Avoided Capacity Calcs'!D6</f>
        <v>78.481687499999992</v>
      </c>
      <c r="E63" s="101">
        <v>12.93</v>
      </c>
    </row>
    <row r="65" spans="1:7" ht="15.6" x14ac:dyDescent="0.3">
      <c r="A65" s="5" t="s">
        <v>123</v>
      </c>
    </row>
    <row r="66" spans="1:7" x14ac:dyDescent="0.25">
      <c r="G66" s="101"/>
    </row>
    <row r="67" spans="1:7" ht="15.6" x14ac:dyDescent="0.3">
      <c r="A67" s="5"/>
    </row>
    <row r="68" spans="1:7" x14ac:dyDescent="0.25">
      <c r="A68" s="113"/>
      <c r="B68" s="311" t="s">
        <v>101</v>
      </c>
      <c r="C68" s="113"/>
      <c r="D68" s="117"/>
      <c r="E68" s="311" t="s">
        <v>101</v>
      </c>
    </row>
    <row r="69" spans="1:7" x14ac:dyDescent="0.25">
      <c r="A69" s="312" t="s">
        <v>95</v>
      </c>
      <c r="B69" s="313">
        <f>'Output - Summary'!F6</f>
        <v>62.172663308105733</v>
      </c>
      <c r="C69" s="117"/>
      <c r="D69" s="117"/>
      <c r="E69" s="313">
        <v>49.04958811491538</v>
      </c>
    </row>
    <row r="70" spans="1:7" x14ac:dyDescent="0.25">
      <c r="A70" s="312" t="s">
        <v>96</v>
      </c>
      <c r="B70" s="313">
        <f>'Output - Summary'!F7</f>
        <v>64.984839953155188</v>
      </c>
      <c r="C70" s="117"/>
      <c r="D70" s="117"/>
      <c r="E70" s="313">
        <v>51.739218355908768</v>
      </c>
    </row>
    <row r="71" spans="1:7" x14ac:dyDescent="0.25">
      <c r="A71" s="312" t="s">
        <v>94</v>
      </c>
      <c r="B71" s="313">
        <f>'Output - Summary'!F8</f>
        <v>67.600394614732352</v>
      </c>
      <c r="C71" s="117"/>
      <c r="D71" s="117"/>
      <c r="E71" s="313">
        <v>53.832852265475175</v>
      </c>
    </row>
    <row r="72" spans="1:7" x14ac:dyDescent="0.25">
      <c r="A72" s="113"/>
      <c r="B72" s="114"/>
      <c r="C72" s="314"/>
      <c r="D72" s="117"/>
      <c r="E72" s="114"/>
    </row>
    <row r="73" spans="1:7" x14ac:dyDescent="0.25">
      <c r="A73" s="117"/>
      <c r="B73" s="114"/>
      <c r="C73" s="314"/>
      <c r="D73" s="117"/>
      <c r="E73" s="114"/>
    </row>
    <row r="74" spans="1:7" x14ac:dyDescent="0.25">
      <c r="A74" s="117"/>
      <c r="B74" s="315"/>
      <c r="C74" s="117"/>
      <c r="D74" s="117"/>
      <c r="E74" s="315"/>
    </row>
    <row r="75" spans="1:7" x14ac:dyDescent="0.25">
      <c r="A75" s="113"/>
      <c r="B75" s="311" t="s">
        <v>101</v>
      </c>
      <c r="C75" s="113"/>
      <c r="D75" s="117"/>
      <c r="E75" s="311" t="s">
        <v>101</v>
      </c>
    </row>
    <row r="76" spans="1:7" x14ac:dyDescent="0.25">
      <c r="A76" s="312" t="s">
        <v>97</v>
      </c>
      <c r="B76" s="313">
        <f>'Output - Summary'!F13</f>
        <v>55.265500121520269</v>
      </c>
      <c r="C76" s="117"/>
      <c r="D76" s="117"/>
      <c r="E76" s="313">
        <v>46.321314270948747</v>
      </c>
    </row>
    <row r="77" spans="1:7" x14ac:dyDescent="0.25">
      <c r="A77" s="312" t="s">
        <v>98</v>
      </c>
      <c r="B77" s="313">
        <f>'Output - Summary'!F14</f>
        <v>57.8544264547916</v>
      </c>
      <c r="C77" s="117"/>
      <c r="D77" s="117"/>
      <c r="E77" s="313">
        <v>48.400104607679644</v>
      </c>
    </row>
    <row r="78" spans="1:7" x14ac:dyDescent="0.25">
      <c r="A78" s="117"/>
      <c r="B78" s="117"/>
      <c r="C78" s="117"/>
      <c r="D78" s="117"/>
      <c r="E78" s="117"/>
    </row>
    <row r="79" spans="1:7" x14ac:dyDescent="0.25">
      <c r="A79" s="117"/>
      <c r="B79" s="117"/>
      <c r="C79" s="117"/>
      <c r="D79" s="117"/>
      <c r="E79" s="117"/>
    </row>
    <row r="80" spans="1:7" x14ac:dyDescent="0.25">
      <c r="A80" s="117"/>
      <c r="B80" s="315"/>
      <c r="C80" s="117"/>
      <c r="D80" s="117"/>
      <c r="E80" s="315"/>
    </row>
    <row r="81" spans="1:5" x14ac:dyDescent="0.25">
      <c r="A81" s="113"/>
      <c r="B81" s="311" t="s">
        <v>101</v>
      </c>
      <c r="C81" s="113"/>
      <c r="D81" s="117"/>
      <c r="E81" s="311" t="s">
        <v>101</v>
      </c>
    </row>
    <row r="82" spans="1:5" x14ac:dyDescent="0.25">
      <c r="A82" s="312" t="s">
        <v>99</v>
      </c>
      <c r="B82" s="313">
        <f>'Output - Summary'!F19</f>
        <v>52.398294871187971</v>
      </c>
      <c r="C82" s="117"/>
      <c r="D82" s="117"/>
      <c r="E82" s="313">
        <v>42.957660320261688</v>
      </c>
    </row>
    <row r="83" spans="1:5" x14ac:dyDescent="0.25">
      <c r="A83" s="312" t="s">
        <v>100</v>
      </c>
      <c r="B83" s="313">
        <f>'Output - Summary'!F20</f>
        <v>54.979365847609074</v>
      </c>
      <c r="C83" s="117"/>
      <c r="D83" s="117"/>
      <c r="E83" s="313">
        <v>45.027235166716736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C41"/>
  <sheetViews>
    <sheetView topLeftCell="G21" workbookViewId="0">
      <selection activeCell="C2" sqref="C2:V41"/>
    </sheetView>
  </sheetViews>
  <sheetFormatPr defaultColWidth="9.109375" defaultRowHeight="15" x14ac:dyDescent="0.25"/>
  <cols>
    <col min="1" max="1" width="2.5546875" style="53" customWidth="1"/>
    <col min="2" max="2" width="5" style="53" customWidth="1"/>
    <col min="3" max="3" width="46.5546875" style="53" customWidth="1"/>
    <col min="4" max="4" width="2.5546875" style="53" customWidth="1"/>
    <col min="5" max="22" width="12.5546875" style="53" customWidth="1"/>
    <col min="23" max="23" width="2.5546875" style="53" customWidth="1"/>
    <col min="24" max="28" width="12.44140625" style="53" customWidth="1"/>
    <col min="29" max="16384" width="9.109375" style="53"/>
  </cols>
  <sheetData>
    <row r="2" spans="2:29" ht="19.5" customHeight="1" x14ac:dyDescent="0.3">
      <c r="C2" s="198" t="s">
        <v>105</v>
      </c>
      <c r="D2" s="198"/>
      <c r="E2" s="198"/>
      <c r="F2" s="198"/>
      <c r="G2" s="198"/>
      <c r="H2" s="198"/>
      <c r="I2" s="198"/>
      <c r="J2" s="198"/>
      <c r="K2" s="198"/>
      <c r="L2" s="198"/>
    </row>
    <row r="3" spans="2:29" ht="15.6" x14ac:dyDescent="0.3">
      <c r="C3" s="42"/>
    </row>
    <row r="4" spans="2:29" ht="15.6" x14ac:dyDescent="0.3">
      <c r="C4" s="5" t="s">
        <v>103</v>
      </c>
      <c r="W4" s="40"/>
      <c r="X4" s="40"/>
      <c r="Y4" s="40"/>
      <c r="Z4" s="40"/>
    </row>
    <row r="5" spans="2:29" x14ac:dyDescent="0.25">
      <c r="B5" s="102"/>
      <c r="C5" s="102"/>
      <c r="D5" s="100"/>
      <c r="E5" s="102"/>
      <c r="F5" s="112" t="s">
        <v>101</v>
      </c>
      <c r="Y5" s="114"/>
      <c r="Z5" s="114"/>
      <c r="AC5" s="115"/>
    </row>
    <row r="6" spans="2:29" x14ac:dyDescent="0.25">
      <c r="B6" s="102"/>
      <c r="C6" s="194" t="s">
        <v>95</v>
      </c>
      <c r="D6" s="102"/>
      <c r="F6" s="144">
        <f>'Output - 5yr Baseload'!F9</f>
        <v>62.172663308105733</v>
      </c>
      <c r="H6" s="293"/>
      <c r="Y6" s="114"/>
      <c r="Z6" s="114"/>
      <c r="AC6" s="115"/>
    </row>
    <row r="7" spans="2:29" x14ac:dyDescent="0.25">
      <c r="B7" s="102"/>
      <c r="C7" s="194" t="s">
        <v>96</v>
      </c>
      <c r="D7" s="102"/>
      <c r="F7" s="144">
        <f>'Output - 10yr Baseload'!F9</f>
        <v>64.984839953155188</v>
      </c>
      <c r="H7" s="293"/>
      <c r="Y7" s="114"/>
      <c r="Z7" s="114"/>
      <c r="AC7" s="115"/>
    </row>
    <row r="8" spans="2:29" x14ac:dyDescent="0.25">
      <c r="C8" s="194" t="s">
        <v>94</v>
      </c>
      <c r="D8" s="102"/>
      <c r="F8" s="144">
        <f>'Output - 15yr Baseload'!F9</f>
        <v>67.600394614732352</v>
      </c>
      <c r="H8" s="293"/>
      <c r="Y8" s="108"/>
      <c r="Z8" s="108"/>
      <c r="AA8" s="107"/>
      <c r="AB8" s="102"/>
    </row>
    <row r="9" spans="2:29" x14ac:dyDescent="0.25">
      <c r="C9" s="113"/>
      <c r="E9" s="116"/>
      <c r="F9" s="114"/>
      <c r="H9" s="293"/>
      <c r="Y9" s="108"/>
      <c r="Z9" s="108"/>
      <c r="AA9" s="108"/>
    </row>
    <row r="10" spans="2:29" x14ac:dyDescent="0.25">
      <c r="C10" s="117"/>
      <c r="E10" s="116"/>
      <c r="F10" s="114"/>
      <c r="H10" s="293"/>
    </row>
    <row r="11" spans="2:29" x14ac:dyDescent="0.25">
      <c r="F11" s="193"/>
      <c r="H11" s="293"/>
    </row>
    <row r="12" spans="2:29" x14ac:dyDescent="0.25">
      <c r="C12" s="102"/>
      <c r="D12" s="100"/>
      <c r="E12" s="102"/>
      <c r="F12" s="112" t="s">
        <v>101</v>
      </c>
      <c r="H12" s="293"/>
    </row>
    <row r="13" spans="2:29" x14ac:dyDescent="0.25">
      <c r="C13" s="194" t="s">
        <v>97</v>
      </c>
      <c r="D13" s="102"/>
      <c r="F13" s="144">
        <f>'Output - 10yr Wind'!F9</f>
        <v>55.265500121520269</v>
      </c>
      <c r="H13" s="293"/>
    </row>
    <row r="14" spans="2:29" x14ac:dyDescent="0.25">
      <c r="C14" s="194" t="s">
        <v>98</v>
      </c>
      <c r="D14" s="102"/>
      <c r="F14" s="144">
        <f>'Output - 15yr Wind'!F9</f>
        <v>57.8544264547916</v>
      </c>
      <c r="H14" s="293"/>
    </row>
    <row r="15" spans="2:29" x14ac:dyDescent="0.25">
      <c r="H15" s="293"/>
    </row>
    <row r="16" spans="2:29" x14ac:dyDescent="0.25">
      <c r="H16" s="293"/>
    </row>
    <row r="17" spans="3:22" x14ac:dyDescent="0.25">
      <c r="F17" s="193"/>
      <c r="H17" s="293"/>
    </row>
    <row r="18" spans="3:22" x14ac:dyDescent="0.25">
      <c r="C18" s="102"/>
      <c r="D18" s="100"/>
      <c r="E18" s="102"/>
      <c r="F18" s="112" t="s">
        <v>101</v>
      </c>
      <c r="H18" s="293"/>
    </row>
    <row r="19" spans="3:22" x14ac:dyDescent="0.25">
      <c r="C19" s="194" t="s">
        <v>99</v>
      </c>
      <c r="D19" s="102"/>
      <c r="F19" s="144">
        <f>'Output - 10yr Solar'!F9</f>
        <v>52.398294871187971</v>
      </c>
      <c r="H19" s="293"/>
    </row>
    <row r="20" spans="3:22" x14ac:dyDescent="0.25">
      <c r="C20" s="194" t="s">
        <v>100</v>
      </c>
      <c r="D20" s="102"/>
      <c r="F20" s="144">
        <f>'Output - 15yr Solar'!F9</f>
        <v>54.979365847609074</v>
      </c>
      <c r="H20" s="293"/>
    </row>
    <row r="24" spans="3:22" ht="15.6" x14ac:dyDescent="0.3">
      <c r="C24" s="5" t="s">
        <v>102</v>
      </c>
    </row>
    <row r="25" spans="3:22" x14ac:dyDescent="0.25">
      <c r="F25" s="193">
        <v>1</v>
      </c>
      <c r="G25" s="193">
        <v>2</v>
      </c>
      <c r="H25" s="193">
        <v>3</v>
      </c>
      <c r="I25" s="193">
        <v>4</v>
      </c>
      <c r="J25" s="193">
        <v>5</v>
      </c>
      <c r="K25" s="193">
        <v>6</v>
      </c>
      <c r="L25" s="193">
        <v>7</v>
      </c>
      <c r="M25" s="193">
        <v>8</v>
      </c>
      <c r="N25" s="193">
        <v>9</v>
      </c>
      <c r="O25" s="193">
        <v>10</v>
      </c>
      <c r="P25" s="193">
        <v>11</v>
      </c>
      <c r="Q25" s="193">
        <v>12</v>
      </c>
      <c r="R25" s="193">
        <v>13</v>
      </c>
      <c r="S25" s="193">
        <v>14</v>
      </c>
      <c r="T25" s="193">
        <v>15</v>
      </c>
      <c r="U25" s="193">
        <v>16</v>
      </c>
      <c r="V25" s="193">
        <v>17</v>
      </c>
    </row>
    <row r="26" spans="3:22" x14ac:dyDescent="0.25">
      <c r="C26" s="102"/>
      <c r="D26" s="100"/>
      <c r="E26" s="102"/>
      <c r="F26" s="112">
        <f>'Energy Prices'!$C$6</f>
        <v>2024</v>
      </c>
      <c r="G26" s="112">
        <f>F26+1</f>
        <v>2025</v>
      </c>
      <c r="H26" s="112">
        <f>G26+1</f>
        <v>2026</v>
      </c>
      <c r="I26" s="112">
        <f t="shared" ref="I26:T26" si="0">H26+1</f>
        <v>2027</v>
      </c>
      <c r="J26" s="112">
        <f t="shared" si="0"/>
        <v>2028</v>
      </c>
      <c r="K26" s="112">
        <f t="shared" si="0"/>
        <v>2029</v>
      </c>
      <c r="L26" s="112">
        <f t="shared" si="0"/>
        <v>2030</v>
      </c>
      <c r="M26" s="112">
        <f t="shared" si="0"/>
        <v>2031</v>
      </c>
      <c r="N26" s="112">
        <f t="shared" si="0"/>
        <v>2032</v>
      </c>
      <c r="O26" s="112">
        <f t="shared" si="0"/>
        <v>2033</v>
      </c>
      <c r="P26" s="112">
        <f t="shared" si="0"/>
        <v>2034</v>
      </c>
      <c r="Q26" s="112">
        <f t="shared" si="0"/>
        <v>2035</v>
      </c>
      <c r="R26" s="112">
        <f t="shared" si="0"/>
        <v>2036</v>
      </c>
      <c r="S26" s="112">
        <f t="shared" si="0"/>
        <v>2037</v>
      </c>
      <c r="T26" s="112">
        <f t="shared" si="0"/>
        <v>2038</v>
      </c>
      <c r="U26" s="112">
        <f>T26+1</f>
        <v>2039</v>
      </c>
      <c r="V26" s="112">
        <f>U26+1</f>
        <v>2040</v>
      </c>
    </row>
    <row r="27" spans="3:22" x14ac:dyDescent="0.25">
      <c r="C27" s="194" t="s">
        <v>95</v>
      </c>
      <c r="D27" s="102"/>
      <c r="F27" s="144">
        <f>'Output - 5yr Baseload'!F13</f>
        <v>59.34284074986023</v>
      </c>
      <c r="G27" s="144">
        <f>'Output - 5yr Baseload'!G13</f>
        <v>60.826411768606732</v>
      </c>
      <c r="H27" s="144">
        <f>'Output - 5yr Baseload'!H13</f>
        <v>62.347072062821887</v>
      </c>
      <c r="I27" s="144">
        <f>'Output - 5yr Baseload'!I13</f>
        <v>63.905748864392429</v>
      </c>
      <c r="J27" s="144">
        <f>'Output - 5yr Baseload'!J13</f>
        <v>65.503392586002235</v>
      </c>
      <c r="K27" s="190">
        <f>'Output - 5yr Baseload'!K13</f>
        <v>67.140977400652289</v>
      </c>
      <c r="L27" s="190">
        <f>'Output - 5yr Baseload'!L13</f>
        <v>68.819501835668589</v>
      </c>
      <c r="M27" s="190"/>
      <c r="N27" s="190"/>
      <c r="O27" s="190"/>
      <c r="P27" s="190"/>
      <c r="Q27" s="190"/>
      <c r="R27" s="190"/>
      <c r="S27" s="190"/>
      <c r="T27" s="190"/>
      <c r="U27" s="190"/>
      <c r="V27" s="190"/>
    </row>
    <row r="28" spans="3:22" x14ac:dyDescent="0.25">
      <c r="C28" s="194" t="s">
        <v>96</v>
      </c>
      <c r="D28" s="102"/>
      <c r="F28" s="144">
        <f>'Output - 10yr Baseload'!F13</f>
        <v>58.8236668565537</v>
      </c>
      <c r="G28" s="144">
        <f>'Output - 10yr Baseload'!G13</f>
        <v>60.294258527967536</v>
      </c>
      <c r="H28" s="144">
        <f>'Output - 10yr Baseload'!H13</f>
        <v>61.801614991166716</v>
      </c>
      <c r="I28" s="144">
        <f>'Output - 10yr Baseload'!I13</f>
        <v>63.346655365945878</v>
      </c>
      <c r="J28" s="144">
        <f>'Output - 10yr Baseload'!J13</f>
        <v>64.930321750094521</v>
      </c>
      <c r="K28" s="144">
        <f>'Output - 10yr Baseload'!K13</f>
        <v>66.553579793846879</v>
      </c>
      <c r="L28" s="144">
        <f>'Output - 10yr Baseload'!L13</f>
        <v>68.217419288693051</v>
      </c>
      <c r="M28" s="144">
        <f>'Output - 10yr Baseload'!M13</f>
        <v>69.922854770910362</v>
      </c>
      <c r="N28" s="144">
        <f>'Output - 10yr Baseload'!N13</f>
        <v>71.670926140183113</v>
      </c>
      <c r="O28" s="144">
        <f>'Output - 10yr Baseload'!O13</f>
        <v>73.462699293687692</v>
      </c>
      <c r="P28" s="190">
        <f>'Output - 10yr Baseload'!P13</f>
        <v>75.299266776029881</v>
      </c>
      <c r="Q28" s="190">
        <f>'Output - 10yr Baseload'!Q13</f>
        <v>77.181748445430628</v>
      </c>
      <c r="R28" s="190"/>
      <c r="S28" s="190"/>
      <c r="T28" s="190"/>
      <c r="U28" s="190"/>
      <c r="V28" s="190"/>
    </row>
    <row r="29" spans="3:22" x14ac:dyDescent="0.25">
      <c r="C29" s="194" t="s">
        <v>94</v>
      </c>
      <c r="D29" s="102"/>
      <c r="F29" s="144">
        <f>'Output - 15yr Baseload'!F13</f>
        <v>58.35950600456907</v>
      </c>
      <c r="G29" s="145">
        <f>'Output - 15yr Baseload'!G13</f>
        <v>59.818493654683287</v>
      </c>
      <c r="H29" s="146">
        <f>'Output - 15yr Baseload'!H13</f>
        <v>61.31395599605036</v>
      </c>
      <c r="I29" s="146">
        <f>'Output - 15yr Baseload'!I13</f>
        <v>62.846804895951621</v>
      </c>
      <c r="J29" s="146">
        <f>'Output - 15yr Baseload'!J13</f>
        <v>64.417975018350404</v>
      </c>
      <c r="K29" s="146">
        <f>'Output - 15yr Baseload'!K13</f>
        <v>66.028424393809161</v>
      </c>
      <c r="L29" s="146">
        <f>'Output - 15yr Baseload'!L13</f>
        <v>67.67913500365438</v>
      </c>
      <c r="M29" s="146">
        <f>'Output - 15yr Baseload'!M13</f>
        <v>69.371113378745733</v>
      </c>
      <c r="N29" s="146">
        <f>'Output - 15yr Baseload'!N13</f>
        <v>71.105391213214361</v>
      </c>
      <c r="O29" s="146">
        <f>'Output - 15yr Baseload'!O13</f>
        <v>72.88302599354472</v>
      </c>
      <c r="P29" s="146">
        <f>'Output - 15yr Baseload'!P13</f>
        <v>74.70510164338333</v>
      </c>
      <c r="Q29" s="146">
        <f>'Output - 15yr Baseload'!Q13</f>
        <v>76.572729184467903</v>
      </c>
      <c r="R29" s="146">
        <f>'Output - 15yr Baseload'!R13</f>
        <v>78.487047414079598</v>
      </c>
      <c r="S29" s="146">
        <f>'Output - 15yr Baseload'!S13</f>
        <v>80.449223599431576</v>
      </c>
      <c r="T29" s="146">
        <f>'Output - 15yr Baseload'!T13</f>
        <v>82.460454189417362</v>
      </c>
      <c r="U29" s="190">
        <f>'Output - 15yr Baseload'!U13</f>
        <v>84.521965544152792</v>
      </c>
      <c r="V29" s="190">
        <f>'Output - 15yr Baseload'!V13</f>
        <v>86.635014682756605</v>
      </c>
    </row>
    <row r="30" spans="3:22" x14ac:dyDescent="0.25">
      <c r="C30" s="113"/>
      <c r="E30" s="116"/>
      <c r="F30" s="114"/>
      <c r="G30" s="114"/>
      <c r="H30" s="114"/>
      <c r="I30" s="114"/>
      <c r="J30" s="114"/>
      <c r="K30" s="114"/>
      <c r="L30" s="114"/>
      <c r="M30" s="114"/>
      <c r="N30" s="114"/>
      <c r="O30" s="114"/>
      <c r="P30" s="114"/>
      <c r="Q30" s="114"/>
      <c r="R30" s="114"/>
      <c r="S30" s="114"/>
      <c r="T30" s="114"/>
      <c r="U30" s="114"/>
      <c r="V30" s="114"/>
    </row>
    <row r="31" spans="3:22" x14ac:dyDescent="0.25">
      <c r="C31" s="117"/>
      <c r="E31" s="116"/>
      <c r="F31" s="114"/>
      <c r="G31" s="114"/>
      <c r="H31" s="114"/>
      <c r="I31" s="114"/>
      <c r="J31" s="114"/>
      <c r="K31" s="114"/>
      <c r="L31" s="114"/>
      <c r="M31" s="114"/>
      <c r="N31" s="114"/>
      <c r="O31" s="114"/>
      <c r="P31" s="114"/>
      <c r="Q31" s="114"/>
      <c r="R31" s="114"/>
      <c r="S31" s="114"/>
      <c r="T31" s="114"/>
      <c r="U31" s="114"/>
      <c r="V31" s="114"/>
    </row>
    <row r="32" spans="3:22" x14ac:dyDescent="0.25">
      <c r="F32" s="193">
        <v>1</v>
      </c>
      <c r="G32" s="193">
        <v>2</v>
      </c>
      <c r="H32" s="193">
        <v>3</v>
      </c>
      <c r="I32" s="193">
        <v>4</v>
      </c>
      <c r="J32" s="193">
        <v>5</v>
      </c>
      <c r="K32" s="193">
        <v>6</v>
      </c>
      <c r="L32" s="193">
        <v>7</v>
      </c>
      <c r="M32" s="193">
        <v>8</v>
      </c>
      <c r="N32" s="193">
        <v>9</v>
      </c>
      <c r="O32" s="193">
        <v>10</v>
      </c>
      <c r="P32" s="193">
        <v>11</v>
      </c>
      <c r="Q32" s="193">
        <v>12</v>
      </c>
      <c r="R32" s="193">
        <v>13</v>
      </c>
      <c r="S32" s="193">
        <v>14</v>
      </c>
      <c r="T32" s="193">
        <v>15</v>
      </c>
      <c r="U32" s="193">
        <v>16</v>
      </c>
      <c r="V32" s="193">
        <v>17</v>
      </c>
    </row>
    <row r="33" spans="3:22" x14ac:dyDescent="0.25">
      <c r="C33" s="102"/>
      <c r="D33" s="100"/>
      <c r="E33" s="102"/>
      <c r="F33" s="112">
        <f>'Energy Prices'!$C$6</f>
        <v>2024</v>
      </c>
      <c r="G33" s="112">
        <f>F33+1</f>
        <v>2025</v>
      </c>
      <c r="H33" s="112">
        <f>G33+1</f>
        <v>2026</v>
      </c>
      <c r="I33" s="112">
        <f t="shared" ref="I33" si="1">H33+1</f>
        <v>2027</v>
      </c>
      <c r="J33" s="112">
        <f t="shared" ref="J33" si="2">I33+1</f>
        <v>2028</v>
      </c>
      <c r="K33" s="112">
        <f t="shared" ref="K33" si="3">J33+1</f>
        <v>2029</v>
      </c>
      <c r="L33" s="112">
        <f t="shared" ref="L33" si="4">K33+1</f>
        <v>2030</v>
      </c>
      <c r="M33" s="112">
        <f t="shared" ref="M33" si="5">L33+1</f>
        <v>2031</v>
      </c>
      <c r="N33" s="112">
        <f t="shared" ref="N33" si="6">M33+1</f>
        <v>2032</v>
      </c>
      <c r="O33" s="112">
        <f t="shared" ref="O33" si="7">N33+1</f>
        <v>2033</v>
      </c>
      <c r="P33" s="112">
        <f t="shared" ref="P33" si="8">O33+1</f>
        <v>2034</v>
      </c>
      <c r="Q33" s="112">
        <f t="shared" ref="Q33" si="9">P33+1</f>
        <v>2035</v>
      </c>
      <c r="R33" s="112">
        <f t="shared" ref="R33" si="10">Q33+1</f>
        <v>2036</v>
      </c>
      <c r="S33" s="112">
        <f t="shared" ref="S33" si="11">R33+1</f>
        <v>2037</v>
      </c>
      <c r="T33" s="112">
        <f t="shared" ref="T33" si="12">S33+1</f>
        <v>2038</v>
      </c>
      <c r="U33" s="112">
        <f>T33+1</f>
        <v>2039</v>
      </c>
      <c r="V33" s="112">
        <f>U33+1</f>
        <v>2040</v>
      </c>
    </row>
    <row r="34" spans="3:22" x14ac:dyDescent="0.25">
      <c r="C34" s="194" t="s">
        <v>97</v>
      </c>
      <c r="D34" s="102"/>
      <c r="F34" s="144">
        <f>'Output - 10yr Wind'!F13</f>
        <v>50.025811714741252</v>
      </c>
      <c r="G34" s="144">
        <f>'Output - 10yr Wind'!G13</f>
        <v>51.276457007609778</v>
      </c>
      <c r="H34" s="144">
        <f>'Output - 10yr Wind'!H13</f>
        <v>52.558368432800016</v>
      </c>
      <c r="I34" s="144">
        <f>'Output - 10yr Wind'!I13</f>
        <v>53.872327643620011</v>
      </c>
      <c r="J34" s="144">
        <f>'Output - 10yr Wind'!J13</f>
        <v>55.219135834710514</v>
      </c>
      <c r="K34" s="144">
        <f>'Output - 10yr Wind'!K13</f>
        <v>56.599614230578268</v>
      </c>
      <c r="L34" s="144">
        <f>'Output - 10yr Wind'!L13</f>
        <v>58.01460458634272</v>
      </c>
      <c r="M34" s="144">
        <f>'Output - 10yr Wind'!M13</f>
        <v>59.46496970100128</v>
      </c>
      <c r="N34" s="144">
        <f>'Output - 10yr Wind'!N13</f>
        <v>60.951593943526312</v>
      </c>
      <c r="O34" s="144">
        <f>'Output - 10yr Wind'!O13</f>
        <v>62.475383792114464</v>
      </c>
      <c r="P34" s="190">
        <f>'Output - 10yr Wind'!P13</f>
        <v>64.037268386917319</v>
      </c>
      <c r="Q34" s="190">
        <f>'Output - 10yr Wind'!Q13</f>
        <v>65.638200096590239</v>
      </c>
      <c r="R34" s="190"/>
      <c r="S34" s="190"/>
      <c r="T34" s="190"/>
      <c r="U34" s="190"/>
      <c r="V34" s="190"/>
    </row>
    <row r="35" spans="3:22" x14ac:dyDescent="0.25">
      <c r="C35" s="194" t="s">
        <v>98</v>
      </c>
      <c r="D35" s="102"/>
      <c r="F35" s="144">
        <f>'Output - 15yr Wind'!F13</f>
        <v>49.945799389512601</v>
      </c>
      <c r="G35" s="145">
        <f>'Output - 15yr Wind'!G13</f>
        <v>51.194444374250409</v>
      </c>
      <c r="H35" s="146">
        <f>'Output - 15yr Wind'!H13</f>
        <v>52.474305483606663</v>
      </c>
      <c r="I35" s="146">
        <f>'Output - 15yr Wind'!I13</f>
        <v>53.786163120696827</v>
      </c>
      <c r="J35" s="146">
        <f>'Output - 15yr Wind'!J13</f>
        <v>55.130817198714247</v>
      </c>
      <c r="K35" s="146">
        <f>'Output - 15yr Wind'!K13</f>
        <v>56.509087628682089</v>
      </c>
      <c r="L35" s="146">
        <f>'Output - 15yr Wind'!L13</f>
        <v>57.921814819399145</v>
      </c>
      <c r="M35" s="146">
        <f>'Output - 15yr Wind'!M13</f>
        <v>59.369860189884108</v>
      </c>
      <c r="N35" s="146">
        <f>'Output - 15yr Wind'!N13</f>
        <v>60.854106694631206</v>
      </c>
      <c r="O35" s="146">
        <f>'Output - 15yr Wind'!O13</f>
        <v>62.375459361996988</v>
      </c>
      <c r="P35" s="146">
        <f>'Output - 15yr Wind'!P13</f>
        <v>63.934845846046898</v>
      </c>
      <c r="Q35" s="146">
        <f>'Output - 15yr Wind'!Q13</f>
        <v>65.533216992198064</v>
      </c>
      <c r="R35" s="146">
        <f>'Output - 15yr Wind'!R13</f>
        <v>67.171547417003012</v>
      </c>
      <c r="S35" s="146">
        <f>'Output - 15yr Wind'!S13</f>
        <v>68.850836102428076</v>
      </c>
      <c r="T35" s="146">
        <f>'Output - 15yr Wind'!T13</f>
        <v>70.57210700498878</v>
      </c>
      <c r="U35" s="190">
        <f>'Output - 15yr Wind'!U13</f>
        <v>72.336409680113491</v>
      </c>
      <c r="V35" s="190">
        <f>'Output - 15yr Wind'!V13</f>
        <v>74.144819922116326</v>
      </c>
    </row>
    <row r="38" spans="3:22" x14ac:dyDescent="0.25">
      <c r="F38" s="193">
        <v>1</v>
      </c>
      <c r="G38" s="193">
        <v>2</v>
      </c>
      <c r="H38" s="193">
        <v>3</v>
      </c>
      <c r="I38" s="193">
        <v>4</v>
      </c>
      <c r="J38" s="193">
        <v>5</v>
      </c>
      <c r="K38" s="193">
        <v>6</v>
      </c>
      <c r="L38" s="193">
        <v>7</v>
      </c>
      <c r="M38" s="193">
        <v>8</v>
      </c>
      <c r="N38" s="193">
        <v>9</v>
      </c>
      <c r="O38" s="193">
        <v>10</v>
      </c>
      <c r="P38" s="193">
        <v>11</v>
      </c>
      <c r="Q38" s="193">
        <v>12</v>
      </c>
      <c r="R38" s="193">
        <v>13</v>
      </c>
      <c r="S38" s="193">
        <v>14</v>
      </c>
      <c r="T38" s="193">
        <v>15</v>
      </c>
      <c r="U38" s="193">
        <v>16</v>
      </c>
      <c r="V38" s="193">
        <v>17</v>
      </c>
    </row>
    <row r="39" spans="3:22" x14ac:dyDescent="0.25">
      <c r="C39" s="102"/>
      <c r="D39" s="100"/>
      <c r="E39" s="102"/>
      <c r="F39" s="112">
        <f>'Energy Prices'!$C$6</f>
        <v>2024</v>
      </c>
      <c r="G39" s="112">
        <f>F39+1</f>
        <v>2025</v>
      </c>
      <c r="H39" s="112">
        <f>G39+1</f>
        <v>2026</v>
      </c>
      <c r="I39" s="112">
        <f t="shared" ref="I39" si="13">H39+1</f>
        <v>2027</v>
      </c>
      <c r="J39" s="112">
        <f t="shared" ref="J39" si="14">I39+1</f>
        <v>2028</v>
      </c>
      <c r="K39" s="112">
        <f t="shared" ref="K39" si="15">J39+1</f>
        <v>2029</v>
      </c>
      <c r="L39" s="112">
        <f t="shared" ref="L39" si="16">K39+1</f>
        <v>2030</v>
      </c>
      <c r="M39" s="112">
        <f t="shared" ref="M39" si="17">L39+1</f>
        <v>2031</v>
      </c>
      <c r="N39" s="112">
        <f t="shared" ref="N39" si="18">M39+1</f>
        <v>2032</v>
      </c>
      <c r="O39" s="112">
        <f t="shared" ref="O39" si="19">N39+1</f>
        <v>2033</v>
      </c>
      <c r="P39" s="112">
        <f t="shared" ref="P39" si="20">O39+1</f>
        <v>2034</v>
      </c>
      <c r="Q39" s="112">
        <f t="shared" ref="Q39" si="21">P39+1</f>
        <v>2035</v>
      </c>
      <c r="R39" s="112">
        <f t="shared" ref="R39" si="22">Q39+1</f>
        <v>2036</v>
      </c>
      <c r="S39" s="112">
        <f t="shared" ref="S39" si="23">R39+1</f>
        <v>2037</v>
      </c>
      <c r="T39" s="112">
        <f t="shared" ref="T39" si="24">S39+1</f>
        <v>2038</v>
      </c>
      <c r="U39" s="112">
        <f>T39+1</f>
        <v>2039</v>
      </c>
      <c r="V39" s="112">
        <f>U39+1</f>
        <v>2040</v>
      </c>
    </row>
    <row r="40" spans="3:22" x14ac:dyDescent="0.25">
      <c r="C40" s="194" t="s">
        <v>99</v>
      </c>
      <c r="D40" s="102"/>
      <c r="F40" s="144">
        <f>'Output - 10yr Solar'!F13</f>
        <v>47.430444447906588</v>
      </c>
      <c r="G40" s="144">
        <f>'Output - 10yr Solar'!G13</f>
        <v>48.616205559104245</v>
      </c>
      <c r="H40" s="144">
        <f>'Output - 10yr Solar'!H13</f>
        <v>49.831610698081846</v>
      </c>
      <c r="I40" s="144">
        <f>'Output - 10yr Solar'!I13</f>
        <v>51.077400965533883</v>
      </c>
      <c r="J40" s="144">
        <f>'Output - 10yr Solar'!J13</f>
        <v>52.354335989672236</v>
      </c>
      <c r="K40" s="144">
        <f>'Output - 10yr Solar'!K13</f>
        <v>53.663194389414038</v>
      </c>
      <c r="L40" s="144">
        <f>'Output - 10yr Solar'!L13</f>
        <v>55.004774249149378</v>
      </c>
      <c r="M40" s="144">
        <f>'Output - 10yr Solar'!M13</f>
        <v>56.379893605378108</v>
      </c>
      <c r="N40" s="144">
        <f>'Output - 10yr Solar'!N13</f>
        <v>57.789390945512558</v>
      </c>
      <c r="O40" s="144">
        <f>'Output - 10yr Solar'!O13</f>
        <v>59.234125719150363</v>
      </c>
      <c r="P40" s="190">
        <f>'Output - 10yr Solar'!P13</f>
        <v>60.714978862129115</v>
      </c>
      <c r="Q40" s="190">
        <f>'Output - 10yr Solar'!Q13</f>
        <v>62.232853333682336</v>
      </c>
      <c r="R40" s="190"/>
      <c r="S40" s="190"/>
      <c r="T40" s="190"/>
      <c r="U40" s="190"/>
      <c r="V40" s="190"/>
    </row>
    <row r="41" spans="3:22" x14ac:dyDescent="0.25">
      <c r="C41" s="194" t="s">
        <v>100</v>
      </c>
      <c r="D41" s="102"/>
      <c r="F41" s="144">
        <f>'Output - 15yr Solar'!F13</f>
        <v>47.463755938070939</v>
      </c>
      <c r="G41" s="145">
        <f>'Output - 15yr Solar'!G13</f>
        <v>48.650349836522707</v>
      </c>
      <c r="H41" s="146">
        <f>'Output - 15yr Solar'!H13</f>
        <v>49.866608582435767</v>
      </c>
      <c r="I41" s="146">
        <f>'Output - 15yr Solar'!I13</f>
        <v>51.113273796996658</v>
      </c>
      <c r="J41" s="146">
        <f>'Output - 15yr Solar'!J13</f>
        <v>52.39110564192157</v>
      </c>
      <c r="K41" s="146">
        <f>'Output - 15yr Solar'!K13</f>
        <v>53.700883282969606</v>
      </c>
      <c r="L41" s="146">
        <f>'Output - 15yr Solar'!L13</f>
        <v>55.043405365043846</v>
      </c>
      <c r="M41" s="146">
        <f>'Output - 15yr Solar'!M13</f>
        <v>56.419490499169925</v>
      </c>
      <c r="N41" s="146">
        <f>'Output - 15yr Solar'!N13</f>
        <v>57.829977761649168</v>
      </c>
      <c r="O41" s="146">
        <f>'Output - 15yr Solar'!O13</f>
        <v>59.275727205690401</v>
      </c>
      <c r="P41" s="146">
        <f>'Output - 15yr Solar'!P13</f>
        <v>60.757620385832645</v>
      </c>
      <c r="Q41" s="146">
        <f>'Output - 15yr Solar'!Q13</f>
        <v>62.276560895478461</v>
      </c>
      <c r="R41" s="146">
        <f>'Output - 15yr Solar'!R13</f>
        <v>63.833474917865409</v>
      </c>
      <c r="S41" s="146">
        <f>'Output - 15yr Solar'!S13</f>
        <v>65.429311790812037</v>
      </c>
      <c r="T41" s="146">
        <f>'Output - 15yr Solar'!T13</f>
        <v>67.065044585582342</v>
      </c>
      <c r="U41" s="190">
        <f>'Output - 15yr Solar'!U13</f>
        <v>68.741670700221889</v>
      </c>
      <c r="V41" s="190">
        <f>'Output - 15yr Solar'!V13</f>
        <v>70.46021246772743</v>
      </c>
    </row>
  </sheetData>
  <pageMargins left="0.75" right="0.5" top="0.76" bottom="0.79" header="0.5" footer="0.26"/>
  <pageSetup scale="36" orientation="landscape" r:id="rId1"/>
  <headerFooter alignWithMargins="0">
    <oddFooter>&amp;L&amp;F&amp;C&amp;A&amp;RPSE Advice No. 2018-48 &amp;D
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C40"/>
  <sheetViews>
    <sheetView topLeftCell="A16" workbookViewId="0">
      <selection activeCell="C26" sqref="C26"/>
    </sheetView>
  </sheetViews>
  <sheetFormatPr defaultColWidth="9.109375" defaultRowHeight="15" x14ac:dyDescent="0.25"/>
  <cols>
    <col min="1" max="1" width="2.5546875" style="53" customWidth="1"/>
    <col min="2" max="2" width="5" style="53" customWidth="1"/>
    <col min="3" max="3" width="46.5546875" style="53" customWidth="1"/>
    <col min="4" max="4" width="2.5546875" style="53" customWidth="1"/>
    <col min="5" max="22" width="12.5546875" style="53" customWidth="1"/>
    <col min="23" max="23" width="2.5546875" style="53" customWidth="1"/>
    <col min="24" max="25" width="12.5546875" style="53" customWidth="1"/>
    <col min="26" max="29" width="12.44140625" style="53" customWidth="1"/>
    <col min="30" max="16384" width="9.109375" style="53"/>
  </cols>
  <sheetData>
    <row r="2" spans="2:29" ht="19.5" customHeight="1" x14ac:dyDescent="0.3">
      <c r="C2" s="198" t="s">
        <v>86</v>
      </c>
      <c r="D2" s="198"/>
      <c r="E2" s="198"/>
      <c r="F2" s="198"/>
      <c r="G2" s="198"/>
      <c r="H2" s="198"/>
      <c r="I2" s="198"/>
      <c r="J2" s="198"/>
      <c r="K2" s="198"/>
      <c r="L2" s="198"/>
    </row>
    <row r="3" spans="2:29" ht="15.6" x14ac:dyDescent="0.3">
      <c r="C3" s="42" t="s">
        <v>87</v>
      </c>
    </row>
    <row r="4" spans="2:29" s="99" customFormat="1" ht="45" x14ac:dyDescent="0.25">
      <c r="B4" s="98"/>
      <c r="C4" s="133" t="s">
        <v>0</v>
      </c>
      <c r="D4" s="133"/>
      <c r="E4" s="133" t="s">
        <v>1</v>
      </c>
      <c r="F4" s="133" t="s">
        <v>2</v>
      </c>
      <c r="G4" s="133" t="s">
        <v>3</v>
      </c>
      <c r="H4" s="133" t="s">
        <v>4</v>
      </c>
      <c r="I4" s="133" t="s">
        <v>5</v>
      </c>
      <c r="J4" s="133" t="s">
        <v>6</v>
      </c>
      <c r="K4" s="133" t="s">
        <v>7</v>
      </c>
      <c r="L4" s="134" t="s">
        <v>14</v>
      </c>
      <c r="M4" s="134"/>
    </row>
    <row r="5" spans="2:29" x14ac:dyDescent="0.25">
      <c r="C5" s="136"/>
      <c r="D5" s="137"/>
      <c r="E5" s="138">
        <v>5</v>
      </c>
      <c r="F5" s="276">
        <f>+'Capacity Delivered'!$G$5</f>
        <v>1</v>
      </c>
      <c r="G5" s="139" t="s">
        <v>8</v>
      </c>
      <c r="H5" s="140">
        <f>'Electric EES CE Std Energy'!D13</f>
        <v>3.9219482944188873E-2</v>
      </c>
      <c r="I5" s="141">
        <f>'Baseload Avoided Capacity Calcs'!X11</f>
        <v>2.4876046239425294E-2</v>
      </c>
      <c r="J5" s="141">
        <f>H5+I5</f>
        <v>6.4095529183614164E-2</v>
      </c>
      <c r="K5" s="142">
        <f>J5</f>
        <v>6.4095529183614164E-2</v>
      </c>
      <c r="L5" s="143">
        <f>K5*1000</f>
        <v>64.095529183614161</v>
      </c>
      <c r="M5" s="127"/>
    </row>
    <row r="6" spans="2:29" ht="15.6" x14ac:dyDescent="0.3">
      <c r="C6" s="135"/>
      <c r="D6" s="135"/>
      <c r="E6" s="102"/>
      <c r="F6" s="102"/>
      <c r="G6" s="102"/>
      <c r="H6" s="32">
        <f>H5*1000</f>
        <v>39.219482944188876</v>
      </c>
      <c r="I6" s="32">
        <f t="shared" ref="I6:K6" si="0">I5*1000</f>
        <v>24.876046239425296</v>
      </c>
      <c r="J6" s="32">
        <f t="shared" si="0"/>
        <v>64.095529183614161</v>
      </c>
      <c r="K6" s="32">
        <f t="shared" si="0"/>
        <v>64.095529183614161</v>
      </c>
      <c r="L6" s="104">
        <f>L5*(1-M6)</f>
        <v>62.172663308105733</v>
      </c>
      <c r="M6" s="225">
        <v>0.03</v>
      </c>
      <c r="N6" s="105" t="s">
        <v>40</v>
      </c>
    </row>
    <row r="7" spans="2:29" x14ac:dyDescent="0.25">
      <c r="C7" s="106"/>
      <c r="D7" s="103"/>
      <c r="H7" s="40"/>
      <c r="I7" s="101"/>
      <c r="J7" s="40"/>
      <c r="K7" s="101"/>
      <c r="L7" s="101"/>
      <c r="M7" s="102"/>
    </row>
    <row r="8" spans="2:29" ht="15.6" x14ac:dyDescent="0.3">
      <c r="C8" s="102"/>
      <c r="D8" s="102"/>
      <c r="E8" s="102"/>
      <c r="F8" s="102"/>
      <c r="G8" s="102"/>
      <c r="H8" s="107"/>
      <c r="I8" s="107"/>
      <c r="J8" s="107"/>
      <c r="K8" s="107"/>
      <c r="L8" s="107"/>
      <c r="M8" s="107"/>
      <c r="N8" s="107"/>
      <c r="O8" s="107"/>
      <c r="P8" s="107"/>
      <c r="S8" s="107"/>
      <c r="T8" s="107"/>
      <c r="U8" s="108"/>
      <c r="V8" s="108"/>
      <c r="X8" s="189" t="s">
        <v>76</v>
      </c>
      <c r="Y8" s="107"/>
      <c r="Z8" s="108"/>
      <c r="AA8" s="108"/>
      <c r="AB8" s="107"/>
      <c r="AC8" s="102"/>
    </row>
    <row r="9" spans="2:29" x14ac:dyDescent="0.25">
      <c r="C9" s="109" t="s">
        <v>9</v>
      </c>
      <c r="D9" s="109"/>
      <c r="E9" s="109"/>
      <c r="F9" s="110">
        <f>+L6</f>
        <v>62.172663308105733</v>
      </c>
      <c r="G9" s="110">
        <f t="shared" ref="G9:J9" si="1">F9</f>
        <v>62.172663308105733</v>
      </c>
      <c r="H9" s="110">
        <f t="shared" si="1"/>
        <v>62.172663308105733</v>
      </c>
      <c r="I9" s="110">
        <f t="shared" si="1"/>
        <v>62.172663308105733</v>
      </c>
      <c r="J9" s="110">
        <f t="shared" si="1"/>
        <v>62.172663308105733</v>
      </c>
      <c r="K9" s="107"/>
      <c r="L9" s="107"/>
      <c r="M9" s="107"/>
      <c r="N9" s="107"/>
      <c r="O9" s="108"/>
      <c r="P9" s="40"/>
      <c r="S9" s="40"/>
      <c r="T9" s="40"/>
      <c r="U9" s="40"/>
      <c r="X9" s="188">
        <f>NPV(Rate_of_Return,F9:J9)</f>
        <v>253.83181835198002</v>
      </c>
      <c r="Y9" s="188">
        <f>-PMT(Rate_of_Return,E5,X9)</f>
        <v>62.172663308105712</v>
      </c>
    </row>
    <row r="10" spans="2:29" x14ac:dyDescent="0.25">
      <c r="C10" s="102"/>
      <c r="D10" s="102"/>
      <c r="E10" s="102"/>
      <c r="F10" s="111"/>
      <c r="G10" s="111"/>
      <c r="H10" s="111"/>
      <c r="I10" s="111"/>
      <c r="J10" s="111"/>
      <c r="K10" s="107"/>
      <c r="L10" s="107"/>
      <c r="M10" s="107"/>
      <c r="N10" s="107"/>
      <c r="O10" s="108"/>
      <c r="P10" s="40"/>
      <c r="S10" s="40"/>
      <c r="T10" s="40"/>
      <c r="U10" s="40"/>
      <c r="X10" s="32"/>
      <c r="Y10" s="32"/>
    </row>
    <row r="11" spans="2:29" x14ac:dyDescent="0.25">
      <c r="C11" s="53" t="s">
        <v>58</v>
      </c>
      <c r="F11" s="193">
        <v>1</v>
      </c>
      <c r="G11" s="193">
        <v>2</v>
      </c>
      <c r="H11" s="193">
        <v>3</v>
      </c>
      <c r="I11" s="193">
        <v>4</v>
      </c>
      <c r="J11" s="193">
        <v>5</v>
      </c>
      <c r="K11" s="193">
        <v>6</v>
      </c>
      <c r="L11" s="193">
        <v>7</v>
      </c>
      <c r="M11" s="107"/>
      <c r="N11" s="107"/>
      <c r="O11" s="108"/>
      <c r="P11" s="40"/>
      <c r="S11" s="40"/>
      <c r="T11" s="40"/>
      <c r="U11" s="40"/>
      <c r="X11" s="40"/>
      <c r="Y11" s="40"/>
    </row>
    <row r="12" spans="2:29" ht="15.6" x14ac:dyDescent="0.3">
      <c r="C12" s="102"/>
      <c r="D12" s="100"/>
      <c r="E12" s="102"/>
      <c r="F12" s="112">
        <f>'Energy Prices'!$C$6</f>
        <v>2024</v>
      </c>
      <c r="G12" s="112">
        <f>F12+1</f>
        <v>2025</v>
      </c>
      <c r="H12" s="112">
        <f>G12+1</f>
        <v>2026</v>
      </c>
      <c r="I12" s="112">
        <f t="shared" ref="I12:L12" si="2">H12+1</f>
        <v>2027</v>
      </c>
      <c r="J12" s="112">
        <f t="shared" si="2"/>
        <v>2028</v>
      </c>
      <c r="K12" s="112">
        <f t="shared" si="2"/>
        <v>2029</v>
      </c>
      <c r="L12" s="112">
        <f t="shared" si="2"/>
        <v>2030</v>
      </c>
      <c r="M12" s="107"/>
      <c r="N12" s="107"/>
      <c r="O12" s="108"/>
      <c r="P12" s="191"/>
      <c r="S12" s="108"/>
      <c r="T12" s="108"/>
      <c r="U12" s="108"/>
      <c r="X12" s="189" t="s">
        <v>76</v>
      </c>
      <c r="Y12" s="32"/>
    </row>
    <row r="13" spans="2:29" ht="53.1" customHeight="1" x14ac:dyDescent="0.25">
      <c r="B13" s="102"/>
      <c r="C13" s="194" t="s">
        <v>93</v>
      </c>
      <c r="D13" s="102"/>
      <c r="F13" s="144">
        <f>F$9*F$20</f>
        <v>59.34284074986023</v>
      </c>
      <c r="G13" s="145">
        <f t="shared" ref="G13:J13" si="3">G$9*G$20</f>
        <v>60.826411768606732</v>
      </c>
      <c r="H13" s="146">
        <f t="shared" si="3"/>
        <v>62.347072062821887</v>
      </c>
      <c r="I13" s="146">
        <f t="shared" si="3"/>
        <v>63.905748864392429</v>
      </c>
      <c r="J13" s="146">
        <f t="shared" si="3"/>
        <v>65.503392586002235</v>
      </c>
      <c r="K13" s="190">
        <f>J13*1.025</f>
        <v>67.140977400652289</v>
      </c>
      <c r="L13" s="190">
        <f>K13*1.025</f>
        <v>68.819501835668589</v>
      </c>
      <c r="M13" s="107"/>
      <c r="N13" s="107"/>
      <c r="O13" s="108"/>
      <c r="P13" s="114"/>
      <c r="S13" s="114"/>
      <c r="T13" s="114"/>
      <c r="U13" s="114"/>
      <c r="X13" s="188">
        <f>NPV(Rate_of_Return,F13:J13)</f>
        <v>253.83181835198013</v>
      </c>
      <c r="Y13" s="188">
        <f>-PMT(Rate_of_Return,E5,X13)</f>
        <v>62.17266330810574</v>
      </c>
    </row>
    <row r="14" spans="2:29" x14ac:dyDescent="0.25">
      <c r="C14" s="113"/>
      <c r="E14" s="116"/>
      <c r="F14" s="114"/>
      <c r="G14" s="114"/>
      <c r="H14" s="114"/>
      <c r="I14" s="114"/>
      <c r="J14" s="114"/>
      <c r="K14" s="107"/>
      <c r="L14" s="107"/>
      <c r="M14" s="107"/>
      <c r="N14" s="107"/>
      <c r="O14" s="108"/>
      <c r="P14" s="114"/>
      <c r="S14" s="108"/>
      <c r="T14" s="108"/>
      <c r="U14" s="108"/>
      <c r="V14" s="107"/>
      <c r="W14" s="102"/>
      <c r="X14" s="108"/>
      <c r="Y14" s="108"/>
    </row>
    <row r="15" spans="2:29" x14ac:dyDescent="0.25">
      <c r="C15" s="117"/>
      <c r="E15" s="116"/>
      <c r="F15" s="114"/>
      <c r="G15" s="114"/>
      <c r="H15" s="114"/>
      <c r="I15" s="114"/>
      <c r="J15" s="114"/>
      <c r="K15" s="107"/>
      <c r="L15" s="107"/>
      <c r="M15" s="107"/>
      <c r="N15" s="107"/>
      <c r="O15" s="108"/>
      <c r="P15" s="114"/>
      <c r="S15" s="108"/>
      <c r="T15" s="108"/>
      <c r="U15" s="108"/>
      <c r="V15" s="108"/>
      <c r="X15" s="108"/>
      <c r="Y15" s="108"/>
    </row>
    <row r="16" spans="2:29" x14ac:dyDescent="0.25">
      <c r="C16" s="53" t="s">
        <v>10</v>
      </c>
      <c r="K16" s="107"/>
      <c r="L16" s="107"/>
      <c r="M16" s="107"/>
      <c r="N16" s="107"/>
      <c r="O16" s="108"/>
    </row>
    <row r="17" spans="2:25" x14ac:dyDescent="0.25">
      <c r="K17" s="107"/>
      <c r="L17" s="107"/>
      <c r="M17" s="107"/>
      <c r="N17" s="107"/>
      <c r="O17" s="108"/>
    </row>
    <row r="18" spans="2:25" ht="15.6" x14ac:dyDescent="0.3">
      <c r="C18" s="102"/>
      <c r="D18" s="102"/>
      <c r="E18" s="102"/>
      <c r="F18" s="102"/>
      <c r="G18" s="102"/>
      <c r="H18" s="102"/>
      <c r="I18" s="102"/>
      <c r="J18" s="102"/>
      <c r="K18" s="107"/>
      <c r="L18" s="107"/>
      <c r="M18" s="107"/>
      <c r="N18" s="107"/>
      <c r="O18" s="108"/>
      <c r="X18" s="189" t="s">
        <v>76</v>
      </c>
      <c r="Y18" s="102"/>
    </row>
    <row r="19" spans="2:25" x14ac:dyDescent="0.25">
      <c r="C19" s="109" t="s">
        <v>11</v>
      </c>
      <c r="D19" s="109"/>
      <c r="E19" s="109"/>
      <c r="F19" s="128">
        <v>100</v>
      </c>
      <c r="G19" s="128">
        <f t="shared" ref="G19:J19" si="4">F19*1.025</f>
        <v>102.49999999999999</v>
      </c>
      <c r="H19" s="128">
        <f t="shared" si="4"/>
        <v>105.06249999999997</v>
      </c>
      <c r="I19" s="128">
        <f t="shared" si="4"/>
        <v>107.68906249999996</v>
      </c>
      <c r="J19" s="128">
        <f t="shared" si="4"/>
        <v>110.38128906249996</v>
      </c>
      <c r="K19" s="107"/>
      <c r="L19" s="107"/>
      <c r="M19" s="107"/>
      <c r="N19" s="107"/>
      <c r="O19" s="108"/>
      <c r="P19" s="118"/>
      <c r="S19" s="108"/>
      <c r="T19" s="108"/>
      <c r="U19" s="108"/>
      <c r="X19" s="148">
        <f>NPV(Rate_of_Return,F19:J19)</f>
        <v>427.73789583468493</v>
      </c>
      <c r="Y19" s="148">
        <f>-PMT(Rate_of_Return,E5,X19)</f>
        <v>104.76859975438936</v>
      </c>
    </row>
    <row r="20" spans="2:25" x14ac:dyDescent="0.25">
      <c r="C20" s="131" t="s">
        <v>12</v>
      </c>
      <c r="D20" s="131"/>
      <c r="E20" s="131"/>
      <c r="F20" s="132">
        <f>F19/$Y$19</f>
        <v>0.95448445654930525</v>
      </c>
      <c r="G20" s="132">
        <f>G19/$Y$19</f>
        <v>0.97834656796303776</v>
      </c>
      <c r="H20" s="132">
        <f>H19/$Y$19</f>
        <v>1.0028052321621135</v>
      </c>
      <c r="I20" s="132">
        <f>I19/$Y$19</f>
        <v>1.0278753629661663</v>
      </c>
      <c r="J20" s="132">
        <f>J19/$Y$19</f>
        <v>1.0535722470403204</v>
      </c>
      <c r="K20" s="107"/>
      <c r="L20" s="107"/>
      <c r="M20" s="107"/>
      <c r="N20" s="107"/>
      <c r="O20" s="108"/>
      <c r="P20" s="119"/>
      <c r="S20" s="108"/>
      <c r="T20" s="108"/>
      <c r="U20" s="108"/>
      <c r="X20" s="147">
        <f>NPV(Rate_of_Return,F20:J20)</f>
        <v>4.0826917305131261</v>
      </c>
      <c r="Y20" s="147">
        <f>-PMT(Rate_of_Return,E5,X20)</f>
        <v>1</v>
      </c>
    </row>
    <row r="21" spans="2:25" x14ac:dyDescent="0.25">
      <c r="C21" s="102"/>
      <c r="D21" s="102"/>
      <c r="E21" s="129"/>
      <c r="F21" s="129"/>
      <c r="G21" s="129"/>
      <c r="H21" s="129"/>
      <c r="I21" s="129"/>
      <c r="J21" s="129"/>
      <c r="K21" s="129"/>
      <c r="L21" s="129"/>
      <c r="M21" s="130"/>
      <c r="N21" s="130"/>
      <c r="O21" s="130"/>
      <c r="P21" s="107"/>
      <c r="S21" s="107"/>
      <c r="T21" s="107"/>
      <c r="U21" s="108"/>
      <c r="W21" s="102"/>
      <c r="X21" s="107"/>
      <c r="Y21" s="107"/>
    </row>
    <row r="22" spans="2:25" x14ac:dyDescent="0.25">
      <c r="B22" s="120" t="s">
        <v>13</v>
      </c>
      <c r="C22" s="121"/>
      <c r="D22" s="122"/>
      <c r="E22" s="122"/>
      <c r="F22" s="122"/>
      <c r="G22" s="122"/>
      <c r="H22" s="122"/>
      <c r="I22" s="122"/>
      <c r="J22" s="122"/>
      <c r="K22" s="122"/>
      <c r="L22" s="122"/>
      <c r="M22" s="122"/>
      <c r="N22" s="122"/>
      <c r="O22" s="122"/>
      <c r="Y22" s="117"/>
    </row>
    <row r="23" spans="2:25" x14ac:dyDescent="0.25">
      <c r="B23" s="123">
        <v>1</v>
      </c>
      <c r="C23" s="273" t="s">
        <v>111</v>
      </c>
      <c r="D23" s="122"/>
      <c r="E23" s="122"/>
      <c r="F23" s="122"/>
      <c r="G23" s="122"/>
      <c r="H23" s="122"/>
      <c r="I23" s="122"/>
      <c r="J23" s="122"/>
      <c r="K23" s="122"/>
      <c r="L23" s="122"/>
      <c r="M23" s="122"/>
      <c r="N23" s="122"/>
      <c r="O23" s="122"/>
      <c r="Y23" s="113"/>
    </row>
    <row r="24" spans="2:25" x14ac:dyDescent="0.25">
      <c r="B24" s="123">
        <v>2</v>
      </c>
      <c r="C24" s="122" t="s">
        <v>148</v>
      </c>
      <c r="D24" s="122"/>
      <c r="E24" s="122"/>
      <c r="F24" s="122"/>
      <c r="G24" s="122"/>
      <c r="H24" s="122"/>
      <c r="I24" s="122"/>
      <c r="J24" s="122"/>
      <c r="K24" s="122"/>
      <c r="L24" s="122"/>
      <c r="M24" s="122"/>
      <c r="N24" s="122"/>
      <c r="O24" s="122"/>
      <c r="Y24" s="114"/>
    </row>
    <row r="25" spans="2:25" x14ac:dyDescent="0.25">
      <c r="B25" s="123">
        <v>3</v>
      </c>
      <c r="C25" s="122" t="s">
        <v>47</v>
      </c>
      <c r="D25" s="122"/>
      <c r="E25" s="122"/>
      <c r="F25" s="122"/>
      <c r="G25" s="122"/>
      <c r="H25" s="122"/>
      <c r="I25" s="122"/>
      <c r="J25" s="122"/>
      <c r="K25" s="122"/>
      <c r="L25" s="122"/>
      <c r="M25" s="122"/>
      <c r="N25" s="122"/>
      <c r="O25" s="122"/>
      <c r="Y25" s="124"/>
    </row>
    <row r="26" spans="2:25" x14ac:dyDescent="0.25">
      <c r="B26" s="123">
        <v>4</v>
      </c>
      <c r="C26" s="122" t="s">
        <v>126</v>
      </c>
      <c r="D26" s="122"/>
      <c r="E26" s="122"/>
      <c r="F26" s="122"/>
      <c r="G26" s="122"/>
      <c r="H26" s="122"/>
      <c r="I26" s="122"/>
      <c r="J26" s="122"/>
      <c r="K26" s="122"/>
      <c r="L26" s="122"/>
      <c r="M26" s="122"/>
      <c r="N26" s="122"/>
      <c r="O26" s="122"/>
      <c r="Y26" s="124"/>
    </row>
    <row r="27" spans="2:25" x14ac:dyDescent="0.25">
      <c r="B27" s="123">
        <v>5</v>
      </c>
      <c r="C27" s="122" t="s">
        <v>81</v>
      </c>
      <c r="D27" s="122"/>
      <c r="E27" s="122"/>
      <c r="F27" s="122"/>
      <c r="G27" s="122"/>
      <c r="H27" s="122"/>
      <c r="I27" s="122"/>
      <c r="J27" s="122"/>
      <c r="K27" s="122"/>
      <c r="L27" s="122"/>
      <c r="M27" s="122"/>
      <c r="N27" s="122"/>
      <c r="O27" s="122"/>
      <c r="Y27" s="113"/>
    </row>
    <row r="28" spans="2:25" x14ac:dyDescent="0.25">
      <c r="B28" s="123">
        <v>6</v>
      </c>
      <c r="C28" s="122" t="s">
        <v>82</v>
      </c>
      <c r="D28" s="122"/>
      <c r="E28" s="122"/>
      <c r="F28" s="122"/>
      <c r="G28" s="122"/>
      <c r="H28" s="122"/>
      <c r="I28" s="122"/>
      <c r="J28" s="122"/>
      <c r="K28" s="122"/>
      <c r="L28" s="122"/>
      <c r="M28" s="122"/>
      <c r="N28" s="122"/>
      <c r="O28" s="122"/>
      <c r="Y28" s="114"/>
    </row>
    <row r="29" spans="2:25" x14ac:dyDescent="0.25">
      <c r="B29" s="123">
        <v>7</v>
      </c>
      <c r="C29" s="122" t="s">
        <v>83</v>
      </c>
      <c r="D29" s="122"/>
      <c r="E29" s="122"/>
      <c r="F29" s="122"/>
      <c r="G29" s="122"/>
      <c r="H29" s="122"/>
      <c r="I29" s="122"/>
      <c r="J29" s="122"/>
      <c r="K29" s="122"/>
      <c r="L29" s="122"/>
      <c r="M29" s="122"/>
      <c r="N29" s="122"/>
      <c r="O29" s="122"/>
      <c r="P29" s="122"/>
      <c r="Q29" s="122"/>
    </row>
    <row r="30" spans="2:25" x14ac:dyDescent="0.25">
      <c r="B30" s="123">
        <v>8</v>
      </c>
      <c r="C30" s="122" t="s">
        <v>53</v>
      </c>
      <c r="D30" s="122"/>
      <c r="E30" s="122"/>
      <c r="F30" s="122"/>
      <c r="G30" s="122"/>
      <c r="H30" s="122"/>
      <c r="I30" s="122"/>
      <c r="J30" s="122"/>
      <c r="K30" s="122"/>
      <c r="L30" s="122"/>
      <c r="M30" s="122"/>
      <c r="N30" s="122"/>
      <c r="O30" s="122"/>
      <c r="P30" s="122"/>
      <c r="Q30" s="122"/>
    </row>
    <row r="31" spans="2:25" x14ac:dyDescent="0.25">
      <c r="B31" s="123">
        <v>9</v>
      </c>
      <c r="C31" s="122" t="s">
        <v>84</v>
      </c>
      <c r="D31" s="122"/>
      <c r="E31" s="122"/>
      <c r="F31" s="122"/>
      <c r="G31" s="122"/>
      <c r="H31" s="122"/>
      <c r="I31" s="122"/>
      <c r="J31" s="122"/>
      <c r="K31" s="122"/>
      <c r="L31" s="122"/>
      <c r="M31" s="122"/>
      <c r="N31" s="122"/>
      <c r="O31" s="122"/>
      <c r="P31" s="122"/>
      <c r="Q31" s="122"/>
    </row>
    <row r="32" spans="2:25" x14ac:dyDescent="0.25">
      <c r="B32" s="123">
        <v>10</v>
      </c>
      <c r="C32" s="53" t="s">
        <v>85</v>
      </c>
    </row>
    <row r="33" spans="2:20" x14ac:dyDescent="0.25">
      <c r="B33" s="123">
        <v>11</v>
      </c>
      <c r="C33" s="53" t="s">
        <v>104</v>
      </c>
    </row>
    <row r="34" spans="2:20" ht="15.6" x14ac:dyDescent="0.3">
      <c r="B34" s="125"/>
      <c r="C34" s="5"/>
      <c r="D34" s="5"/>
      <c r="E34" s="5"/>
      <c r="F34" s="5"/>
    </row>
    <row r="35" spans="2:20" ht="15.6" x14ac:dyDescent="0.3">
      <c r="B35" s="125"/>
      <c r="C35" s="5"/>
      <c r="D35" s="5"/>
      <c r="E35" s="5"/>
      <c r="F35" s="5"/>
    </row>
    <row r="37" spans="2:20" x14ac:dyDescent="0.25">
      <c r="F37" s="108"/>
      <c r="G37" s="126"/>
      <c r="H37" s="126"/>
      <c r="I37" s="126"/>
      <c r="J37" s="126"/>
      <c r="K37" s="126"/>
      <c r="L37" s="126"/>
      <c r="M37" s="126"/>
      <c r="N37" s="126"/>
      <c r="O37" s="126"/>
      <c r="P37" s="126"/>
      <c r="Q37" s="126"/>
      <c r="R37" s="126"/>
      <c r="S37" s="126"/>
      <c r="T37" s="126"/>
    </row>
    <row r="38" spans="2:20" x14ac:dyDescent="0.25">
      <c r="G38" s="126"/>
      <c r="H38" s="126"/>
      <c r="I38" s="126"/>
      <c r="J38" s="126"/>
      <c r="K38" s="126"/>
      <c r="L38" s="126"/>
      <c r="M38" s="126"/>
      <c r="N38" s="126"/>
      <c r="O38" s="126"/>
      <c r="P38" s="126"/>
      <c r="Q38" s="126"/>
      <c r="R38" s="126"/>
      <c r="S38" s="126"/>
      <c r="T38" s="126"/>
    </row>
    <row r="39" spans="2:20" x14ac:dyDescent="0.25">
      <c r="F39" s="108"/>
      <c r="G39" s="108"/>
      <c r="H39" s="108"/>
      <c r="I39" s="108"/>
      <c r="J39" s="108"/>
      <c r="K39" s="108"/>
      <c r="L39" s="108"/>
      <c r="M39" s="108"/>
      <c r="N39" s="108"/>
      <c r="O39" s="108"/>
      <c r="P39" s="108"/>
      <c r="Q39" s="108"/>
      <c r="R39" s="108"/>
      <c r="S39" s="108"/>
      <c r="T39" s="108"/>
    </row>
    <row r="40" spans="2:20" x14ac:dyDescent="0.25">
      <c r="D40" s="118"/>
    </row>
  </sheetData>
  <dataValidations count="3">
    <dataValidation type="list" allowBlank="1" showInputMessage="1" showErrorMessage="1" sqref="E5">
      <formula1>"1,2,3,4,5,6,7,8,9,10,11,12,13,14,15,16,17,18,19,20,21,22,23,24,25,26,27,28,29,30"</formula1>
    </dataValidation>
    <dataValidation type="list" allowBlank="1" showInputMessage="1" showErrorMessage="1" sqref="G5">
      <formula1>MeasureList</formula1>
    </dataValidation>
    <dataValidation type="decimal" operator="greaterThan" allowBlank="1" showInputMessage="1" showErrorMessage="1" sqref="C5:D5">
      <formula1>0</formula1>
    </dataValidation>
  </dataValidations>
  <pageMargins left="0.75" right="0.5" top="0.76" bottom="0.79" header="0.5" footer="0.26"/>
  <pageSetup scale="35" orientation="landscape" r:id="rId1"/>
  <headerFooter alignWithMargins="0">
    <oddFooter>&amp;L&amp;F&amp;C&amp;A&amp;RPSE Advice No. 2018-48 &amp;D
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D40"/>
  <sheetViews>
    <sheetView workbookViewId="0">
      <selection activeCell="U23" sqref="U23"/>
    </sheetView>
  </sheetViews>
  <sheetFormatPr defaultColWidth="9.109375" defaultRowHeight="15" x14ac:dyDescent="0.25"/>
  <cols>
    <col min="1" max="1" width="2.5546875" style="53" customWidth="1"/>
    <col min="2" max="2" width="5" style="53" customWidth="1"/>
    <col min="3" max="3" width="46.5546875" style="53" customWidth="1"/>
    <col min="4" max="4" width="2.5546875" style="53" customWidth="1"/>
    <col min="5" max="22" width="12.5546875" style="53" customWidth="1"/>
    <col min="23" max="23" width="2.5546875" style="53" customWidth="1"/>
    <col min="24" max="25" width="12.5546875" style="53" customWidth="1"/>
    <col min="26" max="29" width="12.44140625" style="53" customWidth="1"/>
    <col min="30" max="16384" width="9.109375" style="53"/>
  </cols>
  <sheetData>
    <row r="2" spans="2:30" ht="19.5" customHeight="1" x14ac:dyDescent="0.3">
      <c r="C2" s="198" t="s">
        <v>86</v>
      </c>
      <c r="D2" s="198"/>
      <c r="E2" s="198"/>
      <c r="F2" s="198"/>
      <c r="G2" s="198"/>
      <c r="H2" s="198"/>
      <c r="I2" s="198"/>
      <c r="J2" s="198"/>
      <c r="K2" s="198"/>
      <c r="L2" s="198"/>
    </row>
    <row r="3" spans="2:30" ht="15.6" x14ac:dyDescent="0.3">
      <c r="C3" s="42" t="s">
        <v>87</v>
      </c>
    </row>
    <row r="4" spans="2:30" s="99" customFormat="1" ht="45" x14ac:dyDescent="0.25">
      <c r="B4" s="98"/>
      <c r="C4" s="133" t="s">
        <v>0</v>
      </c>
      <c r="D4" s="133"/>
      <c r="E4" s="133" t="s">
        <v>1</v>
      </c>
      <c r="F4" s="133" t="s">
        <v>2</v>
      </c>
      <c r="G4" s="133" t="s">
        <v>3</v>
      </c>
      <c r="H4" s="133" t="s">
        <v>4</v>
      </c>
      <c r="I4" s="133" t="s">
        <v>5</v>
      </c>
      <c r="J4" s="133" t="s">
        <v>6</v>
      </c>
      <c r="K4" s="133" t="s">
        <v>7</v>
      </c>
      <c r="L4" s="134" t="s">
        <v>14</v>
      </c>
      <c r="M4" s="134"/>
    </row>
    <row r="5" spans="2:30" x14ac:dyDescent="0.25">
      <c r="C5" s="136"/>
      <c r="D5" s="137"/>
      <c r="E5" s="138">
        <v>10</v>
      </c>
      <c r="F5" s="276">
        <f>+'Capacity Delivered'!$G$5</f>
        <v>1</v>
      </c>
      <c r="G5" s="139" t="s">
        <v>8</v>
      </c>
      <c r="H5" s="140">
        <f>'Electric EES CE Std Energy'!D18</f>
        <v>4.1676848426425654E-2</v>
      </c>
      <c r="I5" s="141">
        <f>'Baseload Avoided Capacity Calcs'!X16</f>
        <v>2.5317831937651848E-2</v>
      </c>
      <c r="J5" s="141">
        <f>H5+I5</f>
        <v>6.6994680364077505E-2</v>
      </c>
      <c r="K5" s="142">
        <f>J5</f>
        <v>6.6994680364077505E-2</v>
      </c>
      <c r="L5" s="143">
        <f>K5*1000</f>
        <v>66.99468036407751</v>
      </c>
      <c r="M5" s="127"/>
    </row>
    <row r="6" spans="2:30" ht="15.6" x14ac:dyDescent="0.3">
      <c r="C6" s="135"/>
      <c r="D6" s="135"/>
      <c r="E6" s="102"/>
      <c r="F6" s="102"/>
      <c r="G6" s="102"/>
      <c r="H6" s="32">
        <f>H5*1000</f>
        <v>41.676848426425657</v>
      </c>
      <c r="I6" s="32">
        <f t="shared" ref="I6:K6" si="0">I5*1000</f>
        <v>25.317831937651846</v>
      </c>
      <c r="J6" s="32">
        <f t="shared" si="0"/>
        <v>66.99468036407751</v>
      </c>
      <c r="K6" s="32">
        <f t="shared" si="0"/>
        <v>66.99468036407751</v>
      </c>
      <c r="L6" s="104">
        <f>L5*(1-M6)</f>
        <v>64.984839953155188</v>
      </c>
      <c r="M6" s="225">
        <v>0.03</v>
      </c>
      <c r="N6" s="105" t="s">
        <v>40</v>
      </c>
    </row>
    <row r="7" spans="2:30" x14ac:dyDescent="0.25">
      <c r="C7" s="106"/>
      <c r="D7" s="103"/>
      <c r="H7" s="40"/>
      <c r="I7" s="101"/>
      <c r="J7" s="40"/>
      <c r="K7" s="101"/>
      <c r="L7" s="101"/>
      <c r="M7" s="102"/>
    </row>
    <row r="8" spans="2:30" ht="15.6" x14ac:dyDescent="0.3">
      <c r="C8" s="102"/>
      <c r="D8" s="102"/>
      <c r="E8" s="102"/>
      <c r="F8" s="102"/>
      <c r="G8" s="102"/>
      <c r="H8" s="107"/>
      <c r="I8" s="107"/>
      <c r="J8" s="107"/>
      <c r="K8" s="107"/>
      <c r="L8" s="107"/>
      <c r="M8" s="107"/>
      <c r="N8" s="107"/>
      <c r="O8" s="107"/>
      <c r="P8" s="107"/>
      <c r="Q8" s="107"/>
      <c r="R8" s="107"/>
      <c r="U8" s="108"/>
      <c r="V8" s="108"/>
      <c r="X8" s="189" t="s">
        <v>76</v>
      </c>
      <c r="Y8" s="108"/>
      <c r="Z8" s="108"/>
      <c r="AA8" s="108"/>
      <c r="AB8" s="107"/>
      <c r="AC8" s="102"/>
    </row>
    <row r="9" spans="2:30" x14ac:dyDescent="0.25">
      <c r="C9" s="109" t="s">
        <v>9</v>
      </c>
      <c r="D9" s="109"/>
      <c r="E9" s="109"/>
      <c r="F9" s="110">
        <f>+L6</f>
        <v>64.984839953155188</v>
      </c>
      <c r="G9" s="110">
        <f t="shared" ref="G9:O9" si="1">F9</f>
        <v>64.984839953155188</v>
      </c>
      <c r="H9" s="110">
        <f t="shared" si="1"/>
        <v>64.984839953155188</v>
      </c>
      <c r="I9" s="110">
        <f t="shared" si="1"/>
        <v>64.984839953155188</v>
      </c>
      <c r="J9" s="110">
        <f t="shared" si="1"/>
        <v>64.984839953155188</v>
      </c>
      <c r="K9" s="110">
        <f t="shared" si="1"/>
        <v>64.984839953155188</v>
      </c>
      <c r="L9" s="110">
        <f t="shared" si="1"/>
        <v>64.984839953155188</v>
      </c>
      <c r="M9" s="110">
        <f t="shared" si="1"/>
        <v>64.984839953155188</v>
      </c>
      <c r="N9" s="110">
        <f t="shared" si="1"/>
        <v>64.984839953155188</v>
      </c>
      <c r="O9" s="110">
        <f t="shared" si="1"/>
        <v>64.984839953155188</v>
      </c>
      <c r="P9" s="107"/>
      <c r="Q9" s="107"/>
      <c r="R9" s="107"/>
      <c r="U9" s="108"/>
      <c r="V9" s="40"/>
      <c r="X9" s="188">
        <f>NPV(Rate_of_Return,F9:O9)</f>
        <v>453.0696280101555</v>
      </c>
      <c r="Y9" s="188">
        <f>-PMT(Rate_of_Return,10,X9)</f>
        <v>64.984839953155159</v>
      </c>
      <c r="Z9" s="40"/>
      <c r="AA9" s="40"/>
    </row>
    <row r="10" spans="2:30" x14ac:dyDescent="0.25">
      <c r="C10" s="102"/>
      <c r="D10" s="102"/>
      <c r="E10" s="102"/>
      <c r="F10" s="111"/>
      <c r="G10" s="111"/>
      <c r="H10" s="111"/>
      <c r="I10" s="111"/>
      <c r="J10" s="111"/>
      <c r="K10" s="111"/>
      <c r="L10" s="111"/>
      <c r="M10" s="111"/>
      <c r="N10" s="111"/>
      <c r="O10" s="111"/>
      <c r="P10" s="107"/>
      <c r="Q10" s="107"/>
      <c r="R10" s="107"/>
      <c r="U10" s="108"/>
      <c r="V10" s="40"/>
      <c r="X10" s="32"/>
      <c r="Y10" s="32"/>
      <c r="Z10" s="40"/>
      <c r="AA10" s="40"/>
    </row>
    <row r="11" spans="2:30" x14ac:dyDescent="0.25">
      <c r="C11" s="53" t="s">
        <v>58</v>
      </c>
      <c r="F11" s="193">
        <v>1</v>
      </c>
      <c r="G11" s="193">
        <v>2</v>
      </c>
      <c r="H11" s="193">
        <v>3</v>
      </c>
      <c r="I11" s="193">
        <v>4</v>
      </c>
      <c r="J11" s="193">
        <v>5</v>
      </c>
      <c r="K11" s="193">
        <v>6</v>
      </c>
      <c r="L11" s="193">
        <v>7</v>
      </c>
      <c r="M11" s="193">
        <v>8</v>
      </c>
      <c r="N11" s="193">
        <v>9</v>
      </c>
      <c r="O11" s="193">
        <v>10</v>
      </c>
      <c r="P11" s="193">
        <v>11</v>
      </c>
      <c r="Q11" s="193">
        <v>12</v>
      </c>
      <c r="R11" s="107"/>
      <c r="U11" s="108"/>
      <c r="V11" s="40"/>
      <c r="X11" s="40"/>
      <c r="Y11" s="40"/>
      <c r="Z11" s="40"/>
      <c r="AA11" s="40"/>
    </row>
    <row r="12" spans="2:30" ht="15.6" x14ac:dyDescent="0.3">
      <c r="C12" s="102"/>
      <c r="D12" s="100"/>
      <c r="E12" s="102"/>
      <c r="F12" s="112">
        <f>'Energy Prices'!$C$6</f>
        <v>2024</v>
      </c>
      <c r="G12" s="112">
        <f>F12+1</f>
        <v>2025</v>
      </c>
      <c r="H12" s="112">
        <f>G12+1</f>
        <v>2026</v>
      </c>
      <c r="I12" s="112">
        <f t="shared" ref="I12:O12" si="2">H12+1</f>
        <v>2027</v>
      </c>
      <c r="J12" s="112">
        <f t="shared" si="2"/>
        <v>2028</v>
      </c>
      <c r="K12" s="112">
        <f t="shared" si="2"/>
        <v>2029</v>
      </c>
      <c r="L12" s="112">
        <f t="shared" si="2"/>
        <v>2030</v>
      </c>
      <c r="M12" s="112">
        <f t="shared" si="2"/>
        <v>2031</v>
      </c>
      <c r="N12" s="112">
        <f t="shared" si="2"/>
        <v>2032</v>
      </c>
      <c r="O12" s="112">
        <f t="shared" si="2"/>
        <v>2033</v>
      </c>
      <c r="P12" s="112">
        <f t="shared" ref="P12:Q12" si="3">O12+1</f>
        <v>2034</v>
      </c>
      <c r="Q12" s="112">
        <f t="shared" si="3"/>
        <v>2035</v>
      </c>
      <c r="R12" s="107"/>
      <c r="U12" s="108"/>
      <c r="V12" s="191"/>
      <c r="X12" s="189" t="s">
        <v>76</v>
      </c>
      <c r="Y12" s="32"/>
      <c r="Z12" s="108"/>
      <c r="AA12" s="108"/>
    </row>
    <row r="13" spans="2:30" ht="53.1" customHeight="1" x14ac:dyDescent="0.25">
      <c r="B13" s="102"/>
      <c r="C13" s="194" t="s">
        <v>93</v>
      </c>
      <c r="D13" s="102"/>
      <c r="F13" s="144">
        <f>F$9*F$20</f>
        <v>58.8236668565537</v>
      </c>
      <c r="G13" s="145">
        <f t="shared" ref="G13:O13" si="4">G$9*G$20</f>
        <v>60.294258527967536</v>
      </c>
      <c r="H13" s="146">
        <f t="shared" si="4"/>
        <v>61.801614991166716</v>
      </c>
      <c r="I13" s="146">
        <f t="shared" si="4"/>
        <v>63.346655365945878</v>
      </c>
      <c r="J13" s="146">
        <f t="shared" si="4"/>
        <v>64.930321750094521</v>
      </c>
      <c r="K13" s="146">
        <f t="shared" si="4"/>
        <v>66.553579793846879</v>
      </c>
      <c r="L13" s="146">
        <f t="shared" si="4"/>
        <v>68.217419288693051</v>
      </c>
      <c r="M13" s="146">
        <f t="shared" si="4"/>
        <v>69.922854770910362</v>
      </c>
      <c r="N13" s="146">
        <f t="shared" si="4"/>
        <v>71.670926140183113</v>
      </c>
      <c r="O13" s="146">
        <f t="shared" si="4"/>
        <v>73.462699293687692</v>
      </c>
      <c r="P13" s="190">
        <f>O13*1.025</f>
        <v>75.299266776029881</v>
      </c>
      <c r="Q13" s="190">
        <f>P13*1.025</f>
        <v>77.181748445430628</v>
      </c>
      <c r="R13" s="107"/>
      <c r="U13" s="108"/>
      <c r="V13" s="114"/>
      <c r="X13" s="188">
        <f>NPV(Rate_of_Return,F13:O13)</f>
        <v>453.06962801015572</v>
      </c>
      <c r="Y13" s="188">
        <f>-PMT(Rate_of_Return,10,X13)</f>
        <v>64.984839953155202</v>
      </c>
      <c r="Z13" s="114"/>
      <c r="AA13" s="114"/>
      <c r="AD13" s="115"/>
    </row>
    <row r="14" spans="2:30" x14ac:dyDescent="0.25">
      <c r="C14" s="113"/>
      <c r="E14" s="116"/>
      <c r="F14" s="114"/>
      <c r="G14" s="114"/>
      <c r="H14" s="114"/>
      <c r="I14" s="114"/>
      <c r="J14" s="114"/>
      <c r="K14" s="114"/>
      <c r="L14" s="114"/>
      <c r="M14" s="114"/>
      <c r="N14" s="114"/>
      <c r="O14" s="114"/>
      <c r="P14" s="107"/>
      <c r="Q14" s="107"/>
      <c r="R14" s="107"/>
      <c r="U14" s="108"/>
      <c r="V14" s="114"/>
      <c r="X14" s="108"/>
      <c r="Y14" s="108"/>
      <c r="Z14" s="108"/>
      <c r="AA14" s="108"/>
      <c r="AB14" s="107"/>
      <c r="AC14" s="102"/>
    </row>
    <row r="15" spans="2:30" x14ac:dyDescent="0.25">
      <c r="C15" s="117"/>
      <c r="E15" s="116"/>
      <c r="F15" s="114"/>
      <c r="G15" s="114"/>
      <c r="H15" s="114"/>
      <c r="I15" s="114"/>
      <c r="J15" s="114"/>
      <c r="K15" s="114"/>
      <c r="L15" s="114"/>
      <c r="M15" s="114"/>
      <c r="N15" s="114"/>
      <c r="O15" s="114"/>
      <c r="P15" s="107"/>
      <c r="Q15" s="107"/>
      <c r="R15" s="107"/>
      <c r="U15" s="108"/>
      <c r="V15" s="114"/>
      <c r="X15" s="108"/>
      <c r="Y15" s="108"/>
      <c r="Z15" s="108"/>
      <c r="AA15" s="108"/>
      <c r="AB15" s="108"/>
    </row>
    <row r="16" spans="2:30" x14ac:dyDescent="0.25">
      <c r="C16" s="53" t="s">
        <v>10</v>
      </c>
      <c r="P16" s="107"/>
      <c r="Q16" s="107"/>
      <c r="R16" s="107"/>
      <c r="U16" s="108"/>
    </row>
    <row r="17" spans="2:27" x14ac:dyDescent="0.25">
      <c r="P17" s="107"/>
      <c r="Q17" s="107"/>
      <c r="R17" s="107"/>
      <c r="U17" s="108"/>
    </row>
    <row r="18" spans="2:27" ht="15.6" x14ac:dyDescent="0.3">
      <c r="C18" s="102"/>
      <c r="D18" s="102"/>
      <c r="E18" s="102"/>
      <c r="F18" s="102"/>
      <c r="G18" s="102"/>
      <c r="H18" s="102"/>
      <c r="I18" s="102"/>
      <c r="J18" s="102"/>
      <c r="K18" s="102"/>
      <c r="L18" s="102"/>
      <c r="M18" s="102"/>
      <c r="N18" s="102"/>
      <c r="O18" s="102"/>
      <c r="P18" s="107"/>
      <c r="Q18" s="107"/>
      <c r="R18" s="107"/>
      <c r="U18" s="108"/>
      <c r="X18" s="189" t="s">
        <v>76</v>
      </c>
      <c r="Y18" s="102"/>
    </row>
    <row r="19" spans="2:27" x14ac:dyDescent="0.25">
      <c r="C19" s="109" t="s">
        <v>11</v>
      </c>
      <c r="D19" s="109"/>
      <c r="E19" s="109"/>
      <c r="F19" s="128">
        <v>100</v>
      </c>
      <c r="G19" s="128">
        <f t="shared" ref="G19:O19" si="5">F19*1.025</f>
        <v>102.49999999999999</v>
      </c>
      <c r="H19" s="128">
        <f t="shared" si="5"/>
        <v>105.06249999999997</v>
      </c>
      <c r="I19" s="128">
        <f t="shared" si="5"/>
        <v>107.68906249999996</v>
      </c>
      <c r="J19" s="128">
        <f t="shared" si="5"/>
        <v>110.38128906249996</v>
      </c>
      <c r="K19" s="128">
        <f t="shared" si="5"/>
        <v>113.14082128906244</v>
      </c>
      <c r="L19" s="128">
        <f t="shared" si="5"/>
        <v>115.96934182128899</v>
      </c>
      <c r="M19" s="128">
        <f t="shared" si="5"/>
        <v>118.8685753668212</v>
      </c>
      <c r="N19" s="128">
        <f t="shared" si="5"/>
        <v>121.84028975099173</v>
      </c>
      <c r="O19" s="128">
        <f t="shared" si="5"/>
        <v>124.88629699476651</v>
      </c>
      <c r="P19" s="107"/>
      <c r="Q19" s="107"/>
      <c r="R19" s="107"/>
      <c r="U19" s="108"/>
      <c r="V19" s="118"/>
      <c r="X19" s="148">
        <f>NPV(Rate_of_Return,F19:O19)</f>
        <v>770.2165679589524</v>
      </c>
      <c r="Y19" s="148">
        <f>-PMT(Rate_of_Return,10,X19)</f>
        <v>110.47396979114887</v>
      </c>
      <c r="Z19" s="108"/>
      <c r="AA19" s="108"/>
    </row>
    <row r="20" spans="2:27" x14ac:dyDescent="0.25">
      <c r="C20" s="131" t="s">
        <v>12</v>
      </c>
      <c r="D20" s="131"/>
      <c r="E20" s="131"/>
      <c r="F20" s="132">
        <f t="shared" ref="F20:O20" si="6">F19/$Y$19</f>
        <v>0.90519060905523785</v>
      </c>
      <c r="G20" s="132">
        <f t="shared" si="6"/>
        <v>0.92782037428161868</v>
      </c>
      <c r="H20" s="132">
        <f t="shared" si="6"/>
        <v>0.95101588363865908</v>
      </c>
      <c r="I20" s="132">
        <f t="shared" si="6"/>
        <v>0.9747912807296254</v>
      </c>
      <c r="J20" s="132">
        <f t="shared" si="6"/>
        <v>0.99916106274786609</v>
      </c>
      <c r="K20" s="132">
        <f t="shared" si="6"/>
        <v>1.0241400893165626</v>
      </c>
      <c r="L20" s="132">
        <f t="shared" si="6"/>
        <v>1.0497435915494766</v>
      </c>
      <c r="M20" s="132">
        <f t="shared" si="6"/>
        <v>1.0759871813382134</v>
      </c>
      <c r="N20" s="132">
        <f t="shared" si="6"/>
        <v>1.1028868608716687</v>
      </c>
      <c r="O20" s="132">
        <f t="shared" si="6"/>
        <v>1.1304590323934602</v>
      </c>
      <c r="P20" s="107"/>
      <c r="Q20" s="107"/>
      <c r="R20" s="107"/>
      <c r="U20" s="108"/>
      <c r="V20" s="119"/>
      <c r="X20" s="147">
        <f>NPV(Rate_of_Return,F20:O20)</f>
        <v>6.9719280425519923</v>
      </c>
      <c r="Y20" s="147">
        <f>-PMT(Rate_of_Return,10,X20)</f>
        <v>1.0000000000000002</v>
      </c>
      <c r="Z20" s="108"/>
      <c r="AA20" s="108"/>
    </row>
    <row r="21" spans="2:27" x14ac:dyDescent="0.25">
      <c r="C21" s="102"/>
      <c r="D21" s="102"/>
      <c r="E21" s="129"/>
      <c r="F21" s="129"/>
      <c r="G21" s="129"/>
      <c r="H21" s="129"/>
      <c r="I21" s="129"/>
      <c r="J21" s="129"/>
      <c r="K21" s="129"/>
      <c r="L21" s="129"/>
      <c r="M21" s="130"/>
      <c r="N21" s="130"/>
      <c r="O21" s="130"/>
      <c r="P21" s="107"/>
      <c r="Q21" s="107"/>
      <c r="R21" s="107"/>
      <c r="S21" s="107"/>
      <c r="T21" s="107"/>
      <c r="U21" s="108"/>
      <c r="W21" s="102"/>
      <c r="X21" s="102"/>
    </row>
    <row r="22" spans="2:27" x14ac:dyDescent="0.25">
      <c r="B22" s="120" t="s">
        <v>13</v>
      </c>
      <c r="C22" s="121"/>
      <c r="D22" s="122"/>
      <c r="E22" s="122"/>
      <c r="F22" s="122"/>
      <c r="G22" s="122"/>
      <c r="H22" s="122"/>
      <c r="I22" s="122"/>
      <c r="J22" s="122"/>
      <c r="K22" s="122"/>
      <c r="L22" s="122"/>
      <c r="M22" s="122"/>
      <c r="N22" s="122"/>
      <c r="O22" s="122"/>
      <c r="Y22" s="117"/>
    </row>
    <row r="23" spans="2:27" x14ac:dyDescent="0.25">
      <c r="B23" s="123">
        <v>1</v>
      </c>
      <c r="C23" s="273" t="s">
        <v>111</v>
      </c>
      <c r="D23" s="122"/>
      <c r="E23" s="122"/>
      <c r="F23" s="122"/>
      <c r="G23" s="122"/>
      <c r="H23" s="122"/>
      <c r="I23" s="122"/>
      <c r="J23" s="122"/>
      <c r="K23" s="122"/>
      <c r="L23" s="122"/>
      <c r="M23" s="122"/>
      <c r="N23" s="122"/>
      <c r="O23" s="122"/>
      <c r="Y23" s="113"/>
    </row>
    <row r="24" spans="2:27" x14ac:dyDescent="0.25">
      <c r="B24" s="123">
        <v>2</v>
      </c>
      <c r="C24" s="122" t="s">
        <v>148</v>
      </c>
      <c r="D24" s="122"/>
      <c r="E24" s="122"/>
      <c r="F24" s="122"/>
      <c r="G24" s="122"/>
      <c r="H24" s="122"/>
      <c r="I24" s="122"/>
      <c r="J24" s="122"/>
      <c r="K24" s="122"/>
      <c r="L24" s="122"/>
      <c r="M24" s="122"/>
      <c r="N24" s="122"/>
      <c r="O24" s="122"/>
      <c r="Y24" s="114"/>
    </row>
    <row r="25" spans="2:27" x14ac:dyDescent="0.25">
      <c r="B25" s="123">
        <v>3</v>
      </c>
      <c r="C25" s="122" t="s">
        <v>47</v>
      </c>
      <c r="D25" s="122"/>
      <c r="E25" s="122"/>
      <c r="F25" s="122"/>
      <c r="G25" s="122"/>
      <c r="H25" s="122"/>
      <c r="I25" s="122"/>
      <c r="J25" s="122"/>
      <c r="K25" s="122"/>
      <c r="L25" s="122"/>
      <c r="M25" s="122"/>
      <c r="N25" s="122"/>
      <c r="O25" s="122"/>
      <c r="Y25" s="124"/>
    </row>
    <row r="26" spans="2:27" x14ac:dyDescent="0.25">
      <c r="B26" s="123">
        <v>4</v>
      </c>
      <c r="C26" s="122" t="s">
        <v>126</v>
      </c>
      <c r="D26" s="122"/>
      <c r="E26" s="122"/>
      <c r="F26" s="122"/>
      <c r="G26" s="122"/>
      <c r="H26" s="122"/>
      <c r="I26" s="122"/>
      <c r="J26" s="122"/>
      <c r="K26" s="122"/>
      <c r="L26" s="122"/>
      <c r="M26" s="122"/>
      <c r="N26" s="122"/>
      <c r="O26" s="122"/>
      <c r="Y26" s="124"/>
    </row>
    <row r="27" spans="2:27" x14ac:dyDescent="0.25">
      <c r="B27" s="123">
        <v>5</v>
      </c>
      <c r="C27" s="122" t="s">
        <v>81</v>
      </c>
      <c r="D27" s="122"/>
      <c r="E27" s="122"/>
      <c r="F27" s="122"/>
      <c r="G27" s="122"/>
      <c r="H27" s="122"/>
      <c r="I27" s="122"/>
      <c r="J27" s="122"/>
      <c r="K27" s="122"/>
      <c r="L27" s="122"/>
      <c r="M27" s="122"/>
      <c r="N27" s="122"/>
      <c r="O27" s="122"/>
      <c r="Y27" s="113"/>
    </row>
    <row r="28" spans="2:27" x14ac:dyDescent="0.25">
      <c r="B28" s="123">
        <v>6</v>
      </c>
      <c r="C28" s="122" t="s">
        <v>82</v>
      </c>
      <c r="D28" s="122"/>
      <c r="E28" s="122"/>
      <c r="F28" s="122"/>
      <c r="G28" s="122"/>
      <c r="H28" s="122"/>
      <c r="I28" s="122"/>
      <c r="J28" s="122"/>
      <c r="K28" s="122"/>
      <c r="L28" s="122"/>
      <c r="M28" s="122"/>
      <c r="N28" s="122"/>
      <c r="O28" s="122"/>
      <c r="Y28" s="114"/>
    </row>
    <row r="29" spans="2:27" x14ac:dyDescent="0.25">
      <c r="B29" s="123">
        <v>7</v>
      </c>
      <c r="C29" s="122" t="s">
        <v>83</v>
      </c>
      <c r="D29" s="122"/>
      <c r="E29" s="122"/>
      <c r="F29" s="122"/>
      <c r="G29" s="122"/>
      <c r="H29" s="122"/>
      <c r="I29" s="122"/>
      <c r="J29" s="122"/>
      <c r="K29" s="122"/>
      <c r="L29" s="122"/>
      <c r="M29" s="122"/>
      <c r="N29" s="122"/>
      <c r="O29" s="122"/>
      <c r="P29" s="122"/>
      <c r="Q29" s="122"/>
    </row>
    <row r="30" spans="2:27" x14ac:dyDescent="0.25">
      <c r="B30" s="123">
        <v>8</v>
      </c>
      <c r="C30" s="122" t="s">
        <v>53</v>
      </c>
      <c r="D30" s="122"/>
      <c r="E30" s="122"/>
      <c r="F30" s="122"/>
      <c r="G30" s="122"/>
      <c r="H30" s="122"/>
      <c r="I30" s="122"/>
      <c r="J30" s="122"/>
      <c r="K30" s="122"/>
      <c r="L30" s="122"/>
      <c r="M30" s="122"/>
      <c r="N30" s="122"/>
      <c r="O30" s="122"/>
      <c r="P30" s="122"/>
      <c r="Q30" s="122"/>
    </row>
    <row r="31" spans="2:27" x14ac:dyDescent="0.25">
      <c r="B31" s="123">
        <v>9</v>
      </c>
      <c r="C31" s="122" t="s">
        <v>84</v>
      </c>
      <c r="D31" s="122"/>
      <c r="E31" s="122"/>
      <c r="F31" s="122"/>
      <c r="G31" s="122"/>
      <c r="H31" s="122"/>
      <c r="I31" s="122"/>
      <c r="J31" s="122"/>
      <c r="K31" s="122"/>
      <c r="L31" s="122"/>
      <c r="M31" s="122"/>
      <c r="N31" s="122"/>
      <c r="O31" s="122"/>
      <c r="P31" s="122"/>
      <c r="Q31" s="122"/>
    </row>
    <row r="32" spans="2:27" x14ac:dyDescent="0.25">
      <c r="B32" s="123">
        <v>10</v>
      </c>
      <c r="C32" s="53" t="s">
        <v>85</v>
      </c>
    </row>
    <row r="33" spans="2:20" x14ac:dyDescent="0.25">
      <c r="B33" s="123">
        <v>11</v>
      </c>
      <c r="C33" s="53" t="s">
        <v>104</v>
      </c>
    </row>
    <row r="34" spans="2:20" ht="15.6" x14ac:dyDescent="0.3">
      <c r="B34" s="125"/>
      <c r="C34" s="5"/>
      <c r="D34" s="5"/>
      <c r="E34" s="5"/>
      <c r="F34" s="5"/>
    </row>
    <row r="35" spans="2:20" ht="15.6" x14ac:dyDescent="0.3">
      <c r="B35" s="125"/>
      <c r="C35" s="5"/>
      <c r="D35" s="5"/>
      <c r="E35" s="5"/>
      <c r="F35" s="5"/>
    </row>
    <row r="37" spans="2:20" x14ac:dyDescent="0.25">
      <c r="F37" s="108"/>
      <c r="G37" s="126"/>
      <c r="H37" s="126"/>
      <c r="I37" s="126"/>
      <c r="J37" s="126"/>
      <c r="K37" s="126"/>
      <c r="L37" s="126"/>
      <c r="M37" s="126"/>
      <c r="N37" s="126"/>
      <c r="O37" s="126"/>
      <c r="P37" s="126"/>
      <c r="Q37" s="126"/>
      <c r="R37" s="126"/>
      <c r="S37" s="126"/>
      <c r="T37" s="126"/>
    </row>
    <row r="38" spans="2:20" x14ac:dyDescent="0.25">
      <c r="G38" s="126"/>
      <c r="H38" s="126"/>
      <c r="I38" s="126"/>
      <c r="J38" s="126"/>
      <c r="K38" s="126"/>
      <c r="L38" s="126"/>
      <c r="M38" s="126"/>
      <c r="N38" s="126"/>
      <c r="O38" s="126"/>
      <c r="P38" s="126"/>
      <c r="Q38" s="126"/>
      <c r="R38" s="126"/>
      <c r="S38" s="126"/>
      <c r="T38" s="126"/>
    </row>
    <row r="39" spans="2:20" x14ac:dyDescent="0.25">
      <c r="F39" s="108"/>
      <c r="G39" s="108"/>
      <c r="H39" s="108"/>
      <c r="I39" s="108"/>
      <c r="J39" s="108"/>
      <c r="K39" s="108"/>
      <c r="L39" s="108"/>
      <c r="M39" s="108"/>
      <c r="N39" s="108"/>
      <c r="O39" s="108"/>
      <c r="P39" s="108"/>
      <c r="Q39" s="108"/>
      <c r="R39" s="108"/>
      <c r="S39" s="108"/>
      <c r="T39" s="108"/>
    </row>
    <row r="40" spans="2:20" x14ac:dyDescent="0.25">
      <c r="D40" s="118"/>
    </row>
  </sheetData>
  <dataValidations count="3">
    <dataValidation type="decimal" operator="greaterThan" allowBlank="1" showInputMessage="1" showErrorMessage="1" sqref="C5:D5">
      <formula1>0</formula1>
    </dataValidation>
    <dataValidation type="list" allowBlank="1" showInputMessage="1" showErrorMessage="1" sqref="G5">
      <formula1>MeasureList</formula1>
    </dataValidation>
    <dataValidation type="list" allowBlank="1" showInputMessage="1" showErrorMessage="1" sqref="E5">
      <formula1>"1,2,3,4,5,6,7,8,9,10,11,12,13,14,15,16,17,18,19,20,21,22,23,24,25,26,27,28,29,30"</formula1>
    </dataValidation>
  </dataValidations>
  <pageMargins left="0.75" right="0.5" top="0.76" bottom="0.79" header="0.5" footer="0.26"/>
  <pageSetup scale="35" orientation="landscape" r:id="rId1"/>
  <headerFooter alignWithMargins="0">
    <oddFooter>&amp;L&amp;F&amp;C&amp;A&amp;RPSE Advice No. 2018-48 &amp;D
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E40"/>
  <sheetViews>
    <sheetView workbookViewId="0">
      <selection activeCell="K15" sqref="K15"/>
    </sheetView>
  </sheetViews>
  <sheetFormatPr defaultColWidth="9.109375" defaultRowHeight="15" x14ac:dyDescent="0.25"/>
  <cols>
    <col min="1" max="1" width="2.5546875" style="53" customWidth="1"/>
    <col min="2" max="2" width="5" style="53" customWidth="1"/>
    <col min="3" max="3" width="46.5546875" style="53" customWidth="1"/>
    <col min="4" max="4" width="2.5546875" style="53" customWidth="1"/>
    <col min="5" max="22" width="12.5546875" style="53" customWidth="1"/>
    <col min="23" max="23" width="2.5546875" style="53" customWidth="1"/>
    <col min="24" max="25" width="12.5546875" style="53" customWidth="1"/>
    <col min="26" max="30" width="12.44140625" style="53" customWidth="1"/>
    <col min="31" max="16384" width="9.109375" style="53"/>
  </cols>
  <sheetData>
    <row r="2" spans="2:31" ht="19.5" customHeight="1" x14ac:dyDescent="0.3">
      <c r="C2" s="198" t="s">
        <v>86</v>
      </c>
      <c r="D2" s="198"/>
      <c r="E2" s="198"/>
      <c r="F2" s="198"/>
      <c r="G2" s="198"/>
      <c r="H2" s="198"/>
      <c r="I2" s="198"/>
      <c r="J2" s="198"/>
      <c r="K2" s="198"/>
      <c r="L2" s="198"/>
    </row>
    <row r="3" spans="2:31" ht="15.6" x14ac:dyDescent="0.3">
      <c r="C3" s="42" t="s">
        <v>87</v>
      </c>
    </row>
    <row r="4" spans="2:31" s="99" customFormat="1" ht="45" x14ac:dyDescent="0.25">
      <c r="B4" s="98"/>
      <c r="C4" s="133" t="s">
        <v>0</v>
      </c>
      <c r="D4" s="133"/>
      <c r="E4" s="133" t="s">
        <v>1</v>
      </c>
      <c r="F4" s="133" t="s">
        <v>2</v>
      </c>
      <c r="G4" s="133" t="s">
        <v>3</v>
      </c>
      <c r="H4" s="133" t="s">
        <v>4</v>
      </c>
      <c r="I4" s="133" t="s">
        <v>5</v>
      </c>
      <c r="J4" s="133" t="s">
        <v>6</v>
      </c>
      <c r="K4" s="133" t="s">
        <v>7</v>
      </c>
      <c r="L4" s="134" t="s">
        <v>14</v>
      </c>
      <c r="M4" s="134"/>
    </row>
    <row r="5" spans="2:31" x14ac:dyDescent="0.25">
      <c r="C5" s="136"/>
      <c r="D5" s="137"/>
      <c r="E5" s="138">
        <v>15</v>
      </c>
      <c r="F5" s="276">
        <f>+'Capacity Delivered'!$G$5</f>
        <v>1</v>
      </c>
      <c r="G5" s="139" t="s">
        <v>8</v>
      </c>
      <c r="H5" s="140">
        <f>'Electric EES CE Std Energy'!D23</f>
        <v>4.3823684792235862E-2</v>
      </c>
      <c r="I5" s="141">
        <f>'Baseload Avoided Capacity Calcs'!X21</f>
        <v>2.5867443676560384E-2</v>
      </c>
      <c r="J5" s="141">
        <f>H5+I5</f>
        <v>6.9691128468796243E-2</v>
      </c>
      <c r="K5" s="142">
        <f>J5</f>
        <v>6.9691128468796243E-2</v>
      </c>
      <c r="L5" s="143">
        <f>K5*1000</f>
        <v>69.691128468796236</v>
      </c>
      <c r="M5" s="127"/>
    </row>
    <row r="6" spans="2:31" ht="15.6" x14ac:dyDescent="0.3">
      <c r="C6" s="135"/>
      <c r="D6" s="135"/>
      <c r="E6" s="102"/>
      <c r="F6" s="102"/>
      <c r="G6" s="102"/>
      <c r="H6" s="32">
        <f>H5*1000</f>
        <v>43.823684792235859</v>
      </c>
      <c r="I6" s="32">
        <f t="shared" ref="I6:K6" si="0">I5*1000</f>
        <v>25.867443676560384</v>
      </c>
      <c r="J6" s="32">
        <f t="shared" si="0"/>
        <v>69.691128468796236</v>
      </c>
      <c r="K6" s="32">
        <f t="shared" si="0"/>
        <v>69.691128468796236</v>
      </c>
      <c r="L6" s="104">
        <f>L5*(1-M6)</f>
        <v>67.600394614732352</v>
      </c>
      <c r="M6" s="225">
        <v>0.03</v>
      </c>
      <c r="N6" s="105" t="s">
        <v>40</v>
      </c>
    </row>
    <row r="7" spans="2:31" x14ac:dyDescent="0.25">
      <c r="C7" s="106"/>
      <c r="D7" s="103"/>
      <c r="H7" s="40"/>
      <c r="I7" s="101"/>
      <c r="J7" s="40"/>
      <c r="K7" s="101"/>
      <c r="L7" s="101"/>
      <c r="M7" s="102"/>
    </row>
    <row r="8" spans="2:31" ht="15.6" x14ac:dyDescent="0.3">
      <c r="C8" s="102"/>
      <c r="D8" s="102"/>
      <c r="E8" s="102"/>
      <c r="F8" s="102"/>
      <c r="G8" s="102"/>
      <c r="H8" s="107"/>
      <c r="I8" s="107"/>
      <c r="J8" s="107"/>
      <c r="K8" s="107"/>
      <c r="L8" s="107"/>
      <c r="M8" s="107"/>
      <c r="N8" s="107"/>
      <c r="O8" s="107"/>
      <c r="P8" s="107"/>
      <c r="Q8" s="107"/>
      <c r="R8" s="107"/>
      <c r="S8" s="107"/>
      <c r="T8" s="107"/>
      <c r="U8" s="108"/>
      <c r="V8" s="108"/>
      <c r="W8" s="108"/>
      <c r="X8" s="189" t="s">
        <v>76</v>
      </c>
      <c r="Y8" s="108"/>
      <c r="Z8" s="108"/>
      <c r="AA8" s="108"/>
      <c r="AB8" s="108"/>
      <c r="AC8" s="107"/>
      <c r="AD8" s="102"/>
    </row>
    <row r="9" spans="2:31" x14ac:dyDescent="0.25">
      <c r="C9" s="109" t="s">
        <v>9</v>
      </c>
      <c r="D9" s="109"/>
      <c r="E9" s="109"/>
      <c r="F9" s="110">
        <f>+L6</f>
        <v>67.600394614732352</v>
      </c>
      <c r="G9" s="110">
        <f t="shared" ref="G9:T9" si="1">F9</f>
        <v>67.600394614732352</v>
      </c>
      <c r="H9" s="110">
        <f t="shared" si="1"/>
        <v>67.600394614732352</v>
      </c>
      <c r="I9" s="110">
        <f t="shared" si="1"/>
        <v>67.600394614732352</v>
      </c>
      <c r="J9" s="110">
        <f t="shared" si="1"/>
        <v>67.600394614732352</v>
      </c>
      <c r="K9" s="110">
        <f t="shared" si="1"/>
        <v>67.600394614732352</v>
      </c>
      <c r="L9" s="110">
        <f t="shared" si="1"/>
        <v>67.600394614732352</v>
      </c>
      <c r="M9" s="110">
        <f t="shared" si="1"/>
        <v>67.600394614732352</v>
      </c>
      <c r="N9" s="110">
        <f t="shared" si="1"/>
        <v>67.600394614732352</v>
      </c>
      <c r="O9" s="110">
        <f t="shared" si="1"/>
        <v>67.600394614732352</v>
      </c>
      <c r="P9" s="110">
        <f t="shared" si="1"/>
        <v>67.600394614732352</v>
      </c>
      <c r="Q9" s="110">
        <f t="shared" si="1"/>
        <v>67.600394614732352</v>
      </c>
      <c r="R9" s="110">
        <f t="shared" si="1"/>
        <v>67.600394614732352</v>
      </c>
      <c r="S9" s="110">
        <f t="shared" si="1"/>
        <v>67.600394614732352</v>
      </c>
      <c r="T9" s="110">
        <f t="shared" si="1"/>
        <v>67.600394614732352</v>
      </c>
      <c r="U9" s="40"/>
      <c r="V9" s="40"/>
      <c r="W9" s="40"/>
      <c r="X9" s="188">
        <f>NPV(Rate_of_Return,F9:T9)</f>
        <v>609.52441290661557</v>
      </c>
      <c r="Y9" s="188">
        <f>-PMT(Rate_of_Return,15,X9)</f>
        <v>67.600394614732323</v>
      </c>
      <c r="Z9" s="40"/>
      <c r="AA9" s="40"/>
      <c r="AB9" s="40"/>
    </row>
    <row r="10" spans="2:31" x14ac:dyDescent="0.25">
      <c r="C10" s="102"/>
      <c r="D10" s="102"/>
      <c r="E10" s="102"/>
      <c r="F10" s="111"/>
      <c r="G10" s="111"/>
      <c r="H10" s="111"/>
      <c r="I10" s="111"/>
      <c r="J10" s="111"/>
      <c r="K10" s="111"/>
      <c r="L10" s="111"/>
      <c r="M10" s="111"/>
      <c r="N10" s="111"/>
      <c r="O10" s="111"/>
      <c r="P10" s="111"/>
      <c r="Q10" s="111"/>
      <c r="R10" s="111"/>
      <c r="S10" s="111"/>
      <c r="T10" s="111"/>
      <c r="U10" s="40"/>
      <c r="V10" s="40"/>
      <c r="W10" s="40"/>
      <c r="X10" s="32"/>
      <c r="Y10" s="32"/>
      <c r="Z10" s="40"/>
      <c r="AA10" s="40"/>
      <c r="AB10" s="40"/>
    </row>
    <row r="11" spans="2:31" x14ac:dyDescent="0.25">
      <c r="C11" s="53" t="s">
        <v>58</v>
      </c>
      <c r="F11" s="193">
        <v>1</v>
      </c>
      <c r="G11" s="193">
        <v>2</v>
      </c>
      <c r="H11" s="193">
        <v>3</v>
      </c>
      <c r="I11" s="193">
        <v>4</v>
      </c>
      <c r="J11" s="193">
        <v>5</v>
      </c>
      <c r="K11" s="193">
        <v>6</v>
      </c>
      <c r="L11" s="193">
        <v>7</v>
      </c>
      <c r="M11" s="193">
        <v>8</v>
      </c>
      <c r="N11" s="193">
        <v>9</v>
      </c>
      <c r="O11" s="193">
        <v>10</v>
      </c>
      <c r="P11" s="193">
        <v>11</v>
      </c>
      <c r="Q11" s="193">
        <v>12</v>
      </c>
      <c r="R11" s="193">
        <v>13</v>
      </c>
      <c r="S11" s="193">
        <v>14</v>
      </c>
      <c r="T11" s="193">
        <v>15</v>
      </c>
      <c r="U11" s="193">
        <v>16</v>
      </c>
      <c r="V11" s="193">
        <v>17</v>
      </c>
      <c r="W11" s="40"/>
      <c r="X11" s="40"/>
      <c r="Y11" s="40"/>
      <c r="Z11" s="40"/>
      <c r="AA11" s="40"/>
      <c r="AB11" s="40"/>
    </row>
    <row r="12" spans="2:31" ht="15.6" x14ac:dyDescent="0.3">
      <c r="C12" s="102"/>
      <c r="D12" s="100"/>
      <c r="E12" s="102"/>
      <c r="F12" s="112">
        <f>'Energy Prices'!$C$6</f>
        <v>2024</v>
      </c>
      <c r="G12" s="112">
        <f>F12+1</f>
        <v>2025</v>
      </c>
      <c r="H12" s="112">
        <f>G12+1</f>
        <v>2026</v>
      </c>
      <c r="I12" s="112">
        <f t="shared" ref="I12:T12" si="2">H12+1</f>
        <v>2027</v>
      </c>
      <c r="J12" s="112">
        <f t="shared" si="2"/>
        <v>2028</v>
      </c>
      <c r="K12" s="112">
        <f t="shared" si="2"/>
        <v>2029</v>
      </c>
      <c r="L12" s="112">
        <f t="shared" si="2"/>
        <v>2030</v>
      </c>
      <c r="M12" s="112">
        <f t="shared" si="2"/>
        <v>2031</v>
      </c>
      <c r="N12" s="112">
        <f t="shared" si="2"/>
        <v>2032</v>
      </c>
      <c r="O12" s="112">
        <f t="shared" si="2"/>
        <v>2033</v>
      </c>
      <c r="P12" s="112">
        <f t="shared" si="2"/>
        <v>2034</v>
      </c>
      <c r="Q12" s="112">
        <f t="shared" si="2"/>
        <v>2035</v>
      </c>
      <c r="R12" s="112">
        <f t="shared" si="2"/>
        <v>2036</v>
      </c>
      <c r="S12" s="112">
        <f t="shared" si="2"/>
        <v>2037</v>
      </c>
      <c r="T12" s="112">
        <f t="shared" si="2"/>
        <v>2038</v>
      </c>
      <c r="U12" s="112">
        <f>T12+1</f>
        <v>2039</v>
      </c>
      <c r="V12" s="112">
        <f>U12+1</f>
        <v>2040</v>
      </c>
      <c r="W12" s="191"/>
      <c r="X12" s="189" t="s">
        <v>76</v>
      </c>
      <c r="Y12" s="32"/>
      <c r="Z12" s="108"/>
      <c r="AA12" s="108"/>
      <c r="AB12" s="108"/>
    </row>
    <row r="13" spans="2:31" ht="52.5" customHeight="1" x14ac:dyDescent="0.25">
      <c r="B13" s="102"/>
      <c r="C13" s="194" t="s">
        <v>93</v>
      </c>
      <c r="D13" s="102"/>
      <c r="F13" s="144">
        <f>F$9*F$20</f>
        <v>58.35950600456907</v>
      </c>
      <c r="G13" s="145">
        <f t="shared" ref="G13:T13" si="3">G$9*G$20</f>
        <v>59.818493654683287</v>
      </c>
      <c r="H13" s="146">
        <f t="shared" si="3"/>
        <v>61.31395599605036</v>
      </c>
      <c r="I13" s="146">
        <f t="shared" si="3"/>
        <v>62.846804895951621</v>
      </c>
      <c r="J13" s="146">
        <f t="shared" si="3"/>
        <v>64.417975018350404</v>
      </c>
      <c r="K13" s="146">
        <f t="shared" si="3"/>
        <v>66.028424393809161</v>
      </c>
      <c r="L13" s="146">
        <f t="shared" si="3"/>
        <v>67.67913500365438</v>
      </c>
      <c r="M13" s="146">
        <f t="shared" si="3"/>
        <v>69.371113378745733</v>
      </c>
      <c r="N13" s="146">
        <f t="shared" si="3"/>
        <v>71.105391213214361</v>
      </c>
      <c r="O13" s="146">
        <f t="shared" si="3"/>
        <v>72.88302599354472</v>
      </c>
      <c r="P13" s="146">
        <f t="shared" si="3"/>
        <v>74.70510164338333</v>
      </c>
      <c r="Q13" s="146">
        <f t="shared" si="3"/>
        <v>76.572729184467903</v>
      </c>
      <c r="R13" s="146">
        <f t="shared" si="3"/>
        <v>78.487047414079598</v>
      </c>
      <c r="S13" s="146">
        <f t="shared" si="3"/>
        <v>80.449223599431576</v>
      </c>
      <c r="T13" s="146">
        <f t="shared" si="3"/>
        <v>82.460454189417362</v>
      </c>
      <c r="U13" s="190">
        <f>T13*1.025</f>
        <v>84.521965544152792</v>
      </c>
      <c r="V13" s="190">
        <f>U13*1.025</f>
        <v>86.635014682756605</v>
      </c>
      <c r="W13" s="114"/>
      <c r="X13" s="188">
        <f>NPV(Rate_of_Return,F13:T13)</f>
        <v>609.52441290661591</v>
      </c>
      <c r="Y13" s="188">
        <f>-PMT(Rate_of_Return,15,X13)</f>
        <v>67.600394614732352</v>
      </c>
      <c r="Z13" s="114"/>
      <c r="AA13" s="114"/>
      <c r="AB13" s="114"/>
      <c r="AE13" s="115"/>
    </row>
    <row r="14" spans="2:31" x14ac:dyDescent="0.25">
      <c r="C14" s="113"/>
      <c r="E14" s="116"/>
      <c r="F14" s="114"/>
      <c r="G14" s="114"/>
      <c r="H14" s="114"/>
      <c r="I14" s="114"/>
      <c r="J14" s="114"/>
      <c r="K14" s="114"/>
      <c r="L14" s="114"/>
      <c r="M14" s="114"/>
      <c r="N14" s="114"/>
      <c r="O14" s="114"/>
      <c r="P14" s="114"/>
      <c r="Q14" s="114"/>
      <c r="R14" s="114"/>
      <c r="S14" s="114"/>
      <c r="T14" s="114"/>
      <c r="U14" s="114"/>
      <c r="V14" s="114"/>
      <c r="W14" s="114"/>
      <c r="X14" s="108"/>
      <c r="Y14" s="108"/>
      <c r="Z14" s="108"/>
      <c r="AA14" s="108"/>
      <c r="AB14" s="108"/>
      <c r="AC14" s="107"/>
      <c r="AD14" s="102"/>
    </row>
    <row r="15" spans="2:31" x14ac:dyDescent="0.25">
      <c r="C15" s="117"/>
      <c r="E15" s="116"/>
      <c r="F15" s="114"/>
      <c r="G15" s="114"/>
      <c r="H15" s="114"/>
      <c r="I15" s="114"/>
      <c r="J15" s="114"/>
      <c r="K15" s="114"/>
      <c r="L15" s="114"/>
      <c r="M15" s="114"/>
      <c r="N15" s="114"/>
      <c r="O15" s="114"/>
      <c r="P15" s="114"/>
      <c r="Q15" s="114"/>
      <c r="R15" s="114"/>
      <c r="S15" s="114"/>
      <c r="T15" s="114"/>
      <c r="U15" s="114"/>
      <c r="V15" s="114"/>
      <c r="W15" s="114"/>
      <c r="X15" s="108"/>
      <c r="Y15" s="108"/>
      <c r="Z15" s="108"/>
      <c r="AA15" s="108"/>
      <c r="AB15" s="108"/>
      <c r="AC15" s="108"/>
    </row>
    <row r="16" spans="2:31" x14ac:dyDescent="0.25">
      <c r="C16" s="53" t="s">
        <v>10</v>
      </c>
      <c r="Q16" s="108"/>
      <c r="R16" s="108"/>
    </row>
    <row r="17" spans="2:28" x14ac:dyDescent="0.25">
      <c r="Q17" s="108"/>
      <c r="R17" s="108"/>
    </row>
    <row r="18" spans="2:28" ht="15.6" x14ac:dyDescent="0.3">
      <c r="C18" s="102"/>
      <c r="D18" s="102"/>
      <c r="E18" s="102"/>
      <c r="F18" s="102"/>
      <c r="G18" s="102"/>
      <c r="H18" s="102"/>
      <c r="I18" s="102"/>
      <c r="J18" s="102"/>
      <c r="K18" s="102"/>
      <c r="L18" s="102"/>
      <c r="M18" s="102"/>
      <c r="N18" s="102"/>
      <c r="O18" s="102"/>
      <c r="P18" s="102"/>
      <c r="Q18" s="107"/>
      <c r="R18" s="107"/>
      <c r="S18" s="102"/>
      <c r="T18" s="102"/>
      <c r="X18" s="189" t="s">
        <v>76</v>
      </c>
      <c r="Y18" s="102"/>
    </row>
    <row r="19" spans="2:28" x14ac:dyDescent="0.25">
      <c r="C19" s="109" t="s">
        <v>11</v>
      </c>
      <c r="D19" s="109"/>
      <c r="E19" s="109"/>
      <c r="F19" s="128">
        <v>100</v>
      </c>
      <c r="G19" s="128">
        <f t="shared" ref="G19:T19" si="4">F19*1.025</f>
        <v>102.49999999999999</v>
      </c>
      <c r="H19" s="128">
        <f t="shared" si="4"/>
        <v>105.06249999999997</v>
      </c>
      <c r="I19" s="128">
        <f t="shared" si="4"/>
        <v>107.68906249999996</v>
      </c>
      <c r="J19" s="128">
        <f t="shared" si="4"/>
        <v>110.38128906249996</v>
      </c>
      <c r="K19" s="128">
        <f t="shared" si="4"/>
        <v>113.14082128906244</v>
      </c>
      <c r="L19" s="128">
        <f t="shared" si="4"/>
        <v>115.96934182128899</v>
      </c>
      <c r="M19" s="128">
        <f t="shared" si="4"/>
        <v>118.8685753668212</v>
      </c>
      <c r="N19" s="128">
        <f t="shared" si="4"/>
        <v>121.84028975099173</v>
      </c>
      <c r="O19" s="128">
        <f t="shared" si="4"/>
        <v>124.88629699476651</v>
      </c>
      <c r="P19" s="128">
        <f t="shared" si="4"/>
        <v>128.00845441963565</v>
      </c>
      <c r="Q19" s="128">
        <f t="shared" si="4"/>
        <v>131.20866578012652</v>
      </c>
      <c r="R19" s="128">
        <f t="shared" si="4"/>
        <v>134.48888242462968</v>
      </c>
      <c r="S19" s="128">
        <f t="shared" si="4"/>
        <v>137.8511044852454</v>
      </c>
      <c r="T19" s="128">
        <f t="shared" si="4"/>
        <v>141.29738209737653</v>
      </c>
      <c r="U19" s="118"/>
      <c r="V19" s="118"/>
      <c r="W19" s="118"/>
      <c r="X19" s="148">
        <f>NPV(Rate_of_Return,F19:T19)</f>
        <v>1044.4303844156857</v>
      </c>
      <c r="Y19" s="148">
        <f>-PMT(Rate_of_Return,15,X19)</f>
        <v>115.83441883390822</v>
      </c>
      <c r="Z19" s="108"/>
      <c r="AA19" s="108"/>
      <c r="AB19" s="108"/>
    </row>
    <row r="20" spans="2:28" x14ac:dyDescent="0.25">
      <c r="C20" s="131" t="s">
        <v>12</v>
      </c>
      <c r="D20" s="131"/>
      <c r="E20" s="131"/>
      <c r="F20" s="132">
        <f>F19/$Y$19</f>
        <v>0.86330126232503701</v>
      </c>
      <c r="G20" s="132">
        <f t="shared" ref="G20:T20" si="5">G19/$Y$19</f>
        <v>0.88488379388316274</v>
      </c>
      <c r="H20" s="132">
        <f t="shared" si="5"/>
        <v>0.90700588873024168</v>
      </c>
      <c r="I20" s="132">
        <f t="shared" si="5"/>
        <v>0.92968103594849771</v>
      </c>
      <c r="J20" s="132">
        <f t="shared" si="5"/>
        <v>0.9529230618472101</v>
      </c>
      <c r="K20" s="132">
        <f t="shared" si="5"/>
        <v>0.9767461383933902</v>
      </c>
      <c r="L20" s="132">
        <f t="shared" si="5"/>
        <v>1.0011647918532249</v>
      </c>
      <c r="M20" s="132">
        <f t="shared" si="5"/>
        <v>1.0261939116495553</v>
      </c>
      <c r="N20" s="132">
        <f t="shared" si="5"/>
        <v>1.0518487594407941</v>
      </c>
      <c r="O20" s="132">
        <f t="shared" si="5"/>
        <v>1.078144978426814</v>
      </c>
      <c r="P20" s="132">
        <f t="shared" si="5"/>
        <v>1.1050986028874841</v>
      </c>
      <c r="Q20" s="132">
        <f t="shared" si="5"/>
        <v>1.1327260679596711</v>
      </c>
      <c r="R20" s="132">
        <f t="shared" si="5"/>
        <v>1.1610442196586628</v>
      </c>
      <c r="S20" s="132">
        <f t="shared" si="5"/>
        <v>1.1900703251501292</v>
      </c>
      <c r="T20" s="132">
        <f t="shared" si="5"/>
        <v>1.2198220832788824</v>
      </c>
      <c r="U20" s="119"/>
      <c r="V20" s="119"/>
      <c r="W20" s="119"/>
      <c r="X20" s="147">
        <f>NPV(Rate_of_Return,F20:T20)</f>
        <v>9.0165806927668495</v>
      </c>
      <c r="Y20" s="147">
        <f>-PMT(Rate_of_Return,15,X20)</f>
        <v>0.99999999999999978</v>
      </c>
      <c r="Z20" s="108"/>
      <c r="AA20" s="108"/>
      <c r="AB20" s="108"/>
    </row>
    <row r="21" spans="2:28" x14ac:dyDescent="0.25">
      <c r="C21" s="102"/>
      <c r="D21" s="102"/>
      <c r="E21" s="129"/>
      <c r="F21" s="129"/>
      <c r="G21" s="129"/>
      <c r="H21" s="129"/>
      <c r="I21" s="129"/>
      <c r="J21" s="129"/>
      <c r="K21" s="129"/>
      <c r="L21" s="129"/>
      <c r="M21" s="130"/>
      <c r="N21" s="130"/>
      <c r="O21" s="130"/>
      <c r="P21" s="130"/>
      <c r="Q21" s="130"/>
      <c r="R21" s="130"/>
      <c r="S21" s="130"/>
      <c r="T21" s="130"/>
      <c r="X21" s="102"/>
      <c r="Y21" s="102"/>
    </row>
    <row r="22" spans="2:28" x14ac:dyDescent="0.25">
      <c r="B22" s="120" t="s">
        <v>13</v>
      </c>
      <c r="C22" s="121"/>
      <c r="D22" s="122"/>
      <c r="E22" s="122"/>
      <c r="F22" s="122"/>
      <c r="G22" s="122"/>
      <c r="H22" s="122"/>
      <c r="I22" s="122"/>
      <c r="J22" s="122"/>
      <c r="K22" s="122"/>
      <c r="L22" s="122"/>
      <c r="M22" s="122"/>
      <c r="N22" s="122"/>
      <c r="O22" s="122"/>
      <c r="Z22" s="117"/>
    </row>
    <row r="23" spans="2:28" x14ac:dyDescent="0.25">
      <c r="B23" s="123">
        <v>1</v>
      </c>
      <c r="C23" s="273" t="s">
        <v>111</v>
      </c>
      <c r="D23" s="122"/>
      <c r="E23" s="122"/>
      <c r="F23" s="122"/>
      <c r="G23" s="122"/>
      <c r="H23" s="122"/>
      <c r="I23" s="122"/>
      <c r="J23" s="122"/>
      <c r="K23" s="122"/>
      <c r="L23" s="122"/>
      <c r="M23" s="122"/>
      <c r="N23" s="122"/>
      <c r="O23" s="122"/>
      <c r="Z23" s="113"/>
    </row>
    <row r="24" spans="2:28" x14ac:dyDescent="0.25">
      <c r="B24" s="123">
        <v>2</v>
      </c>
      <c r="C24" s="122" t="s">
        <v>148</v>
      </c>
      <c r="D24" s="122"/>
      <c r="E24" s="122"/>
      <c r="F24" s="122"/>
      <c r="G24" s="122"/>
      <c r="H24" s="122"/>
      <c r="I24" s="122"/>
      <c r="J24" s="122"/>
      <c r="K24" s="122"/>
      <c r="L24" s="122"/>
      <c r="M24" s="122"/>
      <c r="N24" s="122"/>
      <c r="O24" s="122"/>
      <c r="Z24" s="114"/>
    </row>
    <row r="25" spans="2:28" x14ac:dyDescent="0.25">
      <c r="B25" s="123">
        <v>3</v>
      </c>
      <c r="C25" s="122" t="s">
        <v>47</v>
      </c>
      <c r="D25" s="122"/>
      <c r="E25" s="122"/>
      <c r="F25" s="122"/>
      <c r="G25" s="122"/>
      <c r="H25" s="122"/>
      <c r="I25" s="122"/>
      <c r="J25" s="122"/>
      <c r="K25" s="122"/>
      <c r="L25" s="122"/>
      <c r="M25" s="122"/>
      <c r="N25" s="122"/>
      <c r="O25" s="122"/>
      <c r="Z25" s="124"/>
    </row>
    <row r="26" spans="2:28" x14ac:dyDescent="0.25">
      <c r="B26" s="123">
        <v>4</v>
      </c>
      <c r="C26" s="122" t="s">
        <v>126</v>
      </c>
      <c r="D26" s="122"/>
      <c r="E26" s="122"/>
      <c r="F26" s="122"/>
      <c r="G26" s="122"/>
      <c r="H26" s="122"/>
      <c r="I26" s="122"/>
      <c r="J26" s="122"/>
      <c r="K26" s="122"/>
      <c r="L26" s="122"/>
      <c r="M26" s="122"/>
      <c r="N26" s="122"/>
      <c r="O26" s="122"/>
      <c r="Z26" s="124"/>
    </row>
    <row r="27" spans="2:28" x14ac:dyDescent="0.25">
      <c r="B27" s="123">
        <v>5</v>
      </c>
      <c r="C27" s="122" t="s">
        <v>81</v>
      </c>
      <c r="D27" s="122"/>
      <c r="E27" s="122"/>
      <c r="F27" s="122"/>
      <c r="G27" s="122"/>
      <c r="H27" s="122"/>
      <c r="I27" s="122"/>
      <c r="J27" s="122"/>
      <c r="K27" s="122"/>
      <c r="L27" s="122"/>
      <c r="M27" s="122"/>
      <c r="N27" s="122"/>
      <c r="O27" s="122"/>
      <c r="Z27" s="113"/>
    </row>
    <row r="28" spans="2:28" x14ac:dyDescent="0.25">
      <c r="B28" s="123">
        <v>6</v>
      </c>
      <c r="C28" s="122" t="s">
        <v>82</v>
      </c>
      <c r="D28" s="122"/>
      <c r="E28" s="122"/>
      <c r="F28" s="122"/>
      <c r="G28" s="122"/>
      <c r="H28" s="122"/>
      <c r="I28" s="122"/>
      <c r="J28" s="122"/>
      <c r="K28" s="122"/>
      <c r="L28" s="122"/>
      <c r="M28" s="122"/>
      <c r="N28" s="122"/>
      <c r="O28" s="122"/>
      <c r="Z28" s="114"/>
    </row>
    <row r="29" spans="2:28" x14ac:dyDescent="0.25">
      <c r="B29" s="123">
        <v>7</v>
      </c>
      <c r="C29" s="122" t="s">
        <v>83</v>
      </c>
      <c r="D29" s="122"/>
      <c r="E29" s="122"/>
      <c r="F29" s="122"/>
      <c r="G29" s="122"/>
      <c r="H29" s="122"/>
      <c r="I29" s="122"/>
      <c r="J29" s="122"/>
      <c r="K29" s="122"/>
      <c r="L29" s="122"/>
      <c r="M29" s="122"/>
      <c r="N29" s="122"/>
      <c r="O29" s="122"/>
      <c r="P29" s="122"/>
      <c r="Q29" s="122"/>
    </row>
    <row r="30" spans="2:28" x14ac:dyDescent="0.25">
      <c r="B30" s="123">
        <v>8</v>
      </c>
      <c r="C30" s="122" t="s">
        <v>53</v>
      </c>
      <c r="D30" s="122"/>
      <c r="E30" s="122"/>
      <c r="F30" s="122"/>
      <c r="G30" s="122"/>
      <c r="H30" s="122"/>
      <c r="I30" s="122"/>
      <c r="J30" s="122"/>
      <c r="K30" s="122"/>
      <c r="L30" s="122"/>
      <c r="M30" s="122"/>
      <c r="N30" s="122"/>
      <c r="O30" s="122"/>
      <c r="P30" s="122"/>
      <c r="Q30" s="122"/>
    </row>
    <row r="31" spans="2:28" x14ac:dyDescent="0.25">
      <c r="B31" s="123">
        <v>9</v>
      </c>
      <c r="C31" s="122" t="s">
        <v>84</v>
      </c>
      <c r="D31" s="122"/>
      <c r="E31" s="122"/>
      <c r="F31" s="122"/>
      <c r="G31" s="122"/>
      <c r="H31" s="122"/>
      <c r="I31" s="122"/>
      <c r="J31" s="122"/>
      <c r="K31" s="122"/>
      <c r="L31" s="122"/>
      <c r="M31" s="122"/>
      <c r="N31" s="122"/>
      <c r="O31" s="122"/>
      <c r="P31" s="122"/>
      <c r="Q31" s="122"/>
    </row>
    <row r="32" spans="2:28" x14ac:dyDescent="0.25">
      <c r="B32" s="123">
        <v>10</v>
      </c>
      <c r="C32" s="53" t="s">
        <v>85</v>
      </c>
    </row>
    <row r="33" spans="2:20" x14ac:dyDescent="0.25">
      <c r="B33" s="123">
        <v>11</v>
      </c>
      <c r="C33" s="53" t="s">
        <v>104</v>
      </c>
    </row>
    <row r="34" spans="2:20" ht="15.6" x14ac:dyDescent="0.3">
      <c r="B34" s="125"/>
      <c r="C34" s="5"/>
      <c r="D34" s="5"/>
      <c r="E34" s="5"/>
      <c r="F34" s="5"/>
    </row>
    <row r="35" spans="2:20" ht="15.6" x14ac:dyDescent="0.3">
      <c r="B35" s="125"/>
      <c r="C35" s="5"/>
      <c r="D35" s="5"/>
      <c r="E35" s="5"/>
      <c r="F35" s="5"/>
    </row>
    <row r="37" spans="2:20" x14ac:dyDescent="0.25">
      <c r="F37" s="108"/>
      <c r="G37" s="126"/>
      <c r="H37" s="126"/>
      <c r="I37" s="126"/>
      <c r="J37" s="126"/>
      <c r="K37" s="126"/>
      <c r="L37" s="126"/>
      <c r="M37" s="126"/>
      <c r="N37" s="126"/>
      <c r="O37" s="126"/>
      <c r="P37" s="126"/>
      <c r="Q37" s="126"/>
      <c r="R37" s="126"/>
      <c r="S37" s="126"/>
      <c r="T37" s="126"/>
    </row>
    <row r="38" spans="2:20" x14ac:dyDescent="0.25">
      <c r="G38" s="126"/>
      <c r="H38" s="126"/>
      <c r="I38" s="126"/>
      <c r="J38" s="126"/>
      <c r="K38" s="126"/>
      <c r="L38" s="126"/>
      <c r="M38" s="126"/>
      <c r="N38" s="126"/>
      <c r="O38" s="126"/>
      <c r="P38" s="126"/>
      <c r="Q38" s="126"/>
      <c r="R38" s="126"/>
      <c r="S38" s="126"/>
      <c r="T38" s="126"/>
    </row>
    <row r="39" spans="2:20" x14ac:dyDescent="0.25">
      <c r="F39" s="108"/>
      <c r="G39" s="108"/>
      <c r="H39" s="108"/>
      <c r="I39" s="108"/>
      <c r="J39" s="108"/>
      <c r="K39" s="108"/>
      <c r="L39" s="108"/>
      <c r="M39" s="108"/>
      <c r="N39" s="108"/>
      <c r="O39" s="108"/>
      <c r="P39" s="108"/>
      <c r="Q39" s="108"/>
      <c r="R39" s="108"/>
      <c r="S39" s="108"/>
      <c r="T39" s="108"/>
    </row>
    <row r="40" spans="2:20" x14ac:dyDescent="0.25">
      <c r="D40" s="118"/>
    </row>
  </sheetData>
  <phoneticPr fontId="8" type="noConversion"/>
  <dataValidations count="3">
    <dataValidation type="list" allowBlank="1" showInputMessage="1" showErrorMessage="1" sqref="E5">
      <formula1>"1,2,3,4,5,6,7,8,9,10,11,12,13,14,15,16,17,18,19,20,21,22,23,24,25,26,27,28,29,30"</formula1>
    </dataValidation>
    <dataValidation type="list" allowBlank="1" showInputMessage="1" showErrorMessage="1" sqref="G5">
      <formula1>MeasureList</formula1>
    </dataValidation>
    <dataValidation type="decimal" operator="greaterThan" allowBlank="1" showInputMessage="1" showErrorMessage="1" sqref="C5:D5">
      <formula1>0</formula1>
    </dataValidation>
  </dataValidations>
  <pageMargins left="0.75" right="0.5" top="0.76" bottom="0.79" header="0.5" footer="0.26"/>
  <pageSetup scale="34" orientation="landscape" r:id="rId1"/>
  <headerFooter alignWithMargins="0">
    <oddFooter>&amp;L&amp;F&amp;C&amp;A&amp;RPSE Advice No. 2018-48 &amp;D
Page &amp;P of &amp;N</oddFooter>
  </headerFooter>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D40"/>
  <sheetViews>
    <sheetView topLeftCell="A18" workbookViewId="0">
      <selection activeCell="C26" sqref="C26"/>
    </sheetView>
  </sheetViews>
  <sheetFormatPr defaultColWidth="9.109375" defaultRowHeight="15" x14ac:dyDescent="0.25"/>
  <cols>
    <col min="1" max="1" width="2.5546875" style="53" customWidth="1"/>
    <col min="2" max="2" width="5" style="53" customWidth="1"/>
    <col min="3" max="3" width="46.5546875" style="53" customWidth="1"/>
    <col min="4" max="4" width="2.5546875" style="53" customWidth="1"/>
    <col min="5" max="22" width="12.5546875" style="53" customWidth="1"/>
    <col min="23" max="23" width="2.5546875" style="53" customWidth="1"/>
    <col min="24" max="25" width="12.5546875" style="53" customWidth="1"/>
    <col min="26" max="29" width="12.44140625" style="53" customWidth="1"/>
    <col min="30" max="16384" width="9.109375" style="53"/>
  </cols>
  <sheetData>
    <row r="2" spans="2:30" ht="19.5" customHeight="1" x14ac:dyDescent="0.3">
      <c r="C2" s="198" t="s">
        <v>86</v>
      </c>
      <c r="D2" s="198"/>
      <c r="E2" s="198"/>
      <c r="F2" s="198"/>
      <c r="G2" s="198"/>
      <c r="H2" s="198"/>
      <c r="I2" s="198"/>
      <c r="J2" s="198"/>
      <c r="K2" s="198"/>
      <c r="L2" s="198"/>
    </row>
    <row r="3" spans="2:30" ht="15.6" x14ac:dyDescent="0.3">
      <c r="C3" s="42" t="s">
        <v>45</v>
      </c>
    </row>
    <row r="4" spans="2:30" s="99" customFormat="1" ht="45" x14ac:dyDescent="0.25">
      <c r="B4" s="98"/>
      <c r="C4" s="133" t="s">
        <v>0</v>
      </c>
      <c r="D4" s="133"/>
      <c r="E4" s="133" t="s">
        <v>1</v>
      </c>
      <c r="F4" s="133" t="s">
        <v>2</v>
      </c>
      <c r="G4" s="133" t="s">
        <v>3</v>
      </c>
      <c r="H4" s="133" t="s">
        <v>4</v>
      </c>
      <c r="I4" s="133" t="s">
        <v>5</v>
      </c>
      <c r="J4" s="133" t="s">
        <v>6</v>
      </c>
      <c r="K4" s="133" t="s">
        <v>7</v>
      </c>
      <c r="L4" s="134" t="s">
        <v>14</v>
      </c>
      <c r="M4" s="134"/>
    </row>
    <row r="5" spans="2:30" x14ac:dyDescent="0.25">
      <c r="C5" s="136"/>
      <c r="D5" s="137"/>
      <c r="E5" s="138">
        <v>10</v>
      </c>
      <c r="F5" s="276">
        <f>+'Capacity Delivered'!$H$5</f>
        <v>0.13</v>
      </c>
      <c r="G5" s="139" t="s">
        <v>8</v>
      </c>
      <c r="H5" s="140">
        <f>'Electric EES CE Std Energy'!D18</f>
        <v>4.1676848426425654E-2</v>
      </c>
      <c r="I5" s="141">
        <f>'Wind Avoided Capacity Calcs'!X16</f>
        <v>1.529789396689421E-2</v>
      </c>
      <c r="J5" s="141">
        <f>H5+I5</f>
        <v>5.6974742393319865E-2</v>
      </c>
      <c r="K5" s="142">
        <f>J5</f>
        <v>5.6974742393319865E-2</v>
      </c>
      <c r="L5" s="143">
        <f>K5*1000</f>
        <v>56.974742393319865</v>
      </c>
      <c r="M5" s="127"/>
    </row>
    <row r="6" spans="2:30" ht="15.6" x14ac:dyDescent="0.3">
      <c r="C6" s="135"/>
      <c r="D6" s="135"/>
      <c r="E6" s="102"/>
      <c r="F6" s="102"/>
      <c r="G6" s="102"/>
      <c r="H6" s="32">
        <f>H5*1000</f>
        <v>41.676848426425657</v>
      </c>
      <c r="I6" s="32">
        <f t="shared" ref="I6:K6" si="0">I5*1000</f>
        <v>15.297893966894211</v>
      </c>
      <c r="J6" s="32">
        <f t="shared" si="0"/>
        <v>56.974742393319865</v>
      </c>
      <c r="K6" s="32">
        <f t="shared" si="0"/>
        <v>56.974742393319865</v>
      </c>
      <c r="L6" s="104">
        <f>L5*(1-M6)</f>
        <v>55.265500121520269</v>
      </c>
      <c r="M6" s="225">
        <v>0.03</v>
      </c>
      <c r="N6" s="105" t="s">
        <v>40</v>
      </c>
    </row>
    <row r="7" spans="2:30" x14ac:dyDescent="0.25">
      <c r="C7" s="106"/>
      <c r="D7" s="103"/>
      <c r="H7" s="40"/>
      <c r="I7" s="101"/>
      <c r="J7" s="40"/>
      <c r="K7" s="101"/>
      <c r="L7" s="101"/>
      <c r="M7" s="102"/>
    </row>
    <row r="8" spans="2:30" ht="15.6" x14ac:dyDescent="0.3">
      <c r="C8" s="102"/>
      <c r="D8" s="102"/>
      <c r="E8" s="102"/>
      <c r="F8" s="102"/>
      <c r="G8" s="102"/>
      <c r="H8" s="107"/>
      <c r="I8" s="107"/>
      <c r="J8" s="107"/>
      <c r="K8" s="107"/>
      <c r="L8" s="107"/>
      <c r="M8" s="107"/>
      <c r="N8" s="107"/>
      <c r="O8" s="107"/>
      <c r="P8" s="107"/>
      <c r="Q8" s="107"/>
      <c r="R8" s="107"/>
      <c r="U8" s="108"/>
      <c r="V8" s="108"/>
      <c r="X8" s="189" t="s">
        <v>76</v>
      </c>
      <c r="Y8" s="108"/>
      <c r="Z8" s="108"/>
      <c r="AA8" s="108"/>
      <c r="AB8" s="108"/>
    </row>
    <row r="9" spans="2:30" x14ac:dyDescent="0.25">
      <c r="C9" s="109" t="s">
        <v>9</v>
      </c>
      <c r="D9" s="109"/>
      <c r="E9" s="109"/>
      <c r="F9" s="110">
        <f>+L6</f>
        <v>55.265500121520269</v>
      </c>
      <c r="G9" s="110">
        <f t="shared" ref="G9:O9" si="1">F9</f>
        <v>55.265500121520269</v>
      </c>
      <c r="H9" s="110">
        <f t="shared" si="1"/>
        <v>55.265500121520269</v>
      </c>
      <c r="I9" s="110">
        <f t="shared" si="1"/>
        <v>55.265500121520269</v>
      </c>
      <c r="J9" s="110">
        <f t="shared" si="1"/>
        <v>55.265500121520269</v>
      </c>
      <c r="K9" s="110">
        <f t="shared" si="1"/>
        <v>55.265500121520269</v>
      </c>
      <c r="L9" s="110">
        <f t="shared" si="1"/>
        <v>55.265500121520269</v>
      </c>
      <c r="M9" s="110">
        <f t="shared" si="1"/>
        <v>55.265500121520269</v>
      </c>
      <c r="N9" s="110">
        <f t="shared" si="1"/>
        <v>55.265500121520269</v>
      </c>
      <c r="O9" s="110">
        <f t="shared" si="1"/>
        <v>55.265500121520269</v>
      </c>
      <c r="P9" s="107"/>
      <c r="Q9" s="107"/>
      <c r="R9" s="107"/>
      <c r="U9" s="108"/>
      <c r="V9" s="40"/>
      <c r="X9" s="188">
        <f>NPV(Rate_of_Return,F9:O9)</f>
        <v>385.3070900828875</v>
      </c>
      <c r="Y9" s="188">
        <f>-PMT(Rate_of_Return,$E$5,X9)</f>
        <v>55.265500121520247</v>
      </c>
      <c r="Z9" s="40"/>
      <c r="AA9" s="40"/>
    </row>
    <row r="10" spans="2:30" x14ac:dyDescent="0.25">
      <c r="C10" s="102"/>
      <c r="D10" s="102"/>
      <c r="E10" s="102"/>
      <c r="F10" s="111"/>
      <c r="G10" s="111"/>
      <c r="H10" s="111"/>
      <c r="I10" s="111"/>
      <c r="J10" s="111"/>
      <c r="K10" s="111"/>
      <c r="L10" s="111"/>
      <c r="M10" s="111"/>
      <c r="N10" s="111"/>
      <c r="O10" s="111"/>
      <c r="P10" s="107"/>
      <c r="Q10" s="107"/>
      <c r="R10" s="107"/>
      <c r="U10" s="108"/>
      <c r="V10" s="40"/>
      <c r="X10" s="32"/>
      <c r="Y10" s="32"/>
      <c r="Z10" s="40"/>
      <c r="AA10" s="40"/>
    </row>
    <row r="11" spans="2:30" x14ac:dyDescent="0.25">
      <c r="C11" s="53" t="s">
        <v>58</v>
      </c>
      <c r="F11" s="193">
        <v>1</v>
      </c>
      <c r="G11" s="193">
        <v>2</v>
      </c>
      <c r="H11" s="193">
        <v>3</v>
      </c>
      <c r="I11" s="193">
        <v>4</v>
      </c>
      <c r="J11" s="193">
        <v>5</v>
      </c>
      <c r="K11" s="193">
        <v>6</v>
      </c>
      <c r="L11" s="193">
        <v>7</v>
      </c>
      <c r="M11" s="193">
        <v>8</v>
      </c>
      <c r="N11" s="193">
        <v>9</v>
      </c>
      <c r="O11" s="193">
        <v>10</v>
      </c>
      <c r="P11" s="193">
        <v>11</v>
      </c>
      <c r="Q11" s="193">
        <v>12</v>
      </c>
      <c r="R11" s="107"/>
      <c r="U11" s="108"/>
      <c r="V11" s="40"/>
      <c r="X11" s="40"/>
      <c r="Y11" s="40"/>
      <c r="Z11" s="40"/>
      <c r="AA11" s="40"/>
    </row>
    <row r="12" spans="2:30" ht="15.6" x14ac:dyDescent="0.3">
      <c r="C12" s="102"/>
      <c r="D12" s="100"/>
      <c r="E12" s="102"/>
      <c r="F12" s="112">
        <f>'Energy Prices'!$C$6</f>
        <v>2024</v>
      </c>
      <c r="G12" s="112">
        <f>F12+1</f>
        <v>2025</v>
      </c>
      <c r="H12" s="112">
        <f>G12+1</f>
        <v>2026</v>
      </c>
      <c r="I12" s="112">
        <f t="shared" ref="I12:O12" si="2">H12+1</f>
        <v>2027</v>
      </c>
      <c r="J12" s="112">
        <f t="shared" si="2"/>
        <v>2028</v>
      </c>
      <c r="K12" s="112">
        <f t="shared" si="2"/>
        <v>2029</v>
      </c>
      <c r="L12" s="112">
        <f t="shared" si="2"/>
        <v>2030</v>
      </c>
      <c r="M12" s="112">
        <f t="shared" si="2"/>
        <v>2031</v>
      </c>
      <c r="N12" s="112">
        <f t="shared" si="2"/>
        <v>2032</v>
      </c>
      <c r="O12" s="112">
        <f t="shared" si="2"/>
        <v>2033</v>
      </c>
      <c r="P12" s="112">
        <f>O12+1</f>
        <v>2034</v>
      </c>
      <c r="Q12" s="112">
        <f>P12+1</f>
        <v>2035</v>
      </c>
      <c r="R12" s="107"/>
      <c r="U12" s="108"/>
      <c r="V12" s="191"/>
      <c r="X12" s="189" t="s">
        <v>76</v>
      </c>
      <c r="Y12" s="32"/>
      <c r="Z12" s="108"/>
      <c r="AA12" s="108"/>
    </row>
    <row r="13" spans="2:30" ht="53.1" customHeight="1" x14ac:dyDescent="0.25">
      <c r="B13" s="102"/>
      <c r="C13" s="195" t="s">
        <v>79</v>
      </c>
      <c r="D13" s="102"/>
      <c r="F13" s="144">
        <f t="shared" ref="F13:O13" si="3">F$9*F$20</f>
        <v>50.025811714741252</v>
      </c>
      <c r="G13" s="145">
        <f t="shared" si="3"/>
        <v>51.276457007609778</v>
      </c>
      <c r="H13" s="146">
        <f t="shared" si="3"/>
        <v>52.558368432800016</v>
      </c>
      <c r="I13" s="146">
        <f t="shared" si="3"/>
        <v>53.872327643620011</v>
      </c>
      <c r="J13" s="146">
        <f t="shared" si="3"/>
        <v>55.219135834710514</v>
      </c>
      <c r="K13" s="146">
        <f t="shared" si="3"/>
        <v>56.599614230578268</v>
      </c>
      <c r="L13" s="146">
        <f t="shared" si="3"/>
        <v>58.01460458634272</v>
      </c>
      <c r="M13" s="146">
        <f t="shared" si="3"/>
        <v>59.46496970100128</v>
      </c>
      <c r="N13" s="146">
        <f t="shared" si="3"/>
        <v>60.951593943526312</v>
      </c>
      <c r="O13" s="146">
        <f t="shared" si="3"/>
        <v>62.475383792114464</v>
      </c>
      <c r="P13" s="190">
        <f>O13*1.025</f>
        <v>64.037268386917319</v>
      </c>
      <c r="Q13" s="190">
        <f>P13*1.025</f>
        <v>65.638200096590239</v>
      </c>
      <c r="R13" s="107"/>
      <c r="U13" s="108"/>
      <c r="V13" s="114"/>
      <c r="X13" s="188">
        <f>NPV(Rate_of_Return,F13:O13)</f>
        <v>385.30709008288761</v>
      </c>
      <c r="Y13" s="188">
        <f>-PMT(Rate_of_Return,$E$5,X13)</f>
        <v>55.265500121520269</v>
      </c>
      <c r="Z13" s="114"/>
      <c r="AA13" s="114"/>
      <c r="AD13" s="115"/>
    </row>
    <row r="14" spans="2:30" x14ac:dyDescent="0.25">
      <c r="C14" s="113"/>
      <c r="E14" s="116"/>
      <c r="F14" s="114"/>
      <c r="G14" s="114"/>
      <c r="H14" s="114"/>
      <c r="I14" s="114"/>
      <c r="J14" s="114"/>
      <c r="K14" s="114"/>
      <c r="L14" s="114"/>
      <c r="M14" s="114"/>
      <c r="N14" s="114"/>
      <c r="O14" s="114"/>
      <c r="P14" s="107"/>
      <c r="Q14" s="107"/>
      <c r="R14" s="107"/>
      <c r="U14" s="108"/>
      <c r="V14" s="114"/>
      <c r="X14" s="108"/>
      <c r="Y14" s="108"/>
      <c r="Z14" s="108"/>
      <c r="AA14" s="108"/>
      <c r="AB14" s="108"/>
    </row>
    <row r="15" spans="2:30" x14ac:dyDescent="0.25">
      <c r="C15" s="117"/>
      <c r="E15" s="116"/>
      <c r="F15" s="114"/>
      <c r="G15" s="114"/>
      <c r="H15" s="114"/>
      <c r="I15" s="114"/>
      <c r="J15" s="114"/>
      <c r="K15" s="114"/>
      <c r="L15" s="114"/>
      <c r="M15" s="114"/>
      <c r="N15" s="114"/>
      <c r="O15" s="114"/>
      <c r="P15" s="107"/>
      <c r="Q15" s="107"/>
      <c r="R15" s="107"/>
      <c r="U15" s="108"/>
      <c r="V15" s="114"/>
      <c r="X15" s="108"/>
      <c r="Y15" s="108"/>
      <c r="Z15" s="108"/>
      <c r="AA15" s="108"/>
      <c r="AB15" s="108"/>
    </row>
    <row r="16" spans="2:30" x14ac:dyDescent="0.25">
      <c r="C16" s="53" t="s">
        <v>10</v>
      </c>
      <c r="P16" s="107"/>
      <c r="Q16" s="107"/>
      <c r="R16" s="107"/>
      <c r="U16" s="108"/>
    </row>
    <row r="17" spans="2:27" x14ac:dyDescent="0.25">
      <c r="P17" s="107"/>
      <c r="Q17" s="107"/>
      <c r="R17" s="107"/>
      <c r="U17" s="108"/>
    </row>
    <row r="18" spans="2:27" ht="15.6" x14ac:dyDescent="0.3">
      <c r="C18" s="102"/>
      <c r="D18" s="102"/>
      <c r="E18" s="102"/>
      <c r="F18" s="102"/>
      <c r="G18" s="102"/>
      <c r="H18" s="102"/>
      <c r="I18" s="102"/>
      <c r="J18" s="102"/>
      <c r="K18" s="102"/>
      <c r="L18" s="102"/>
      <c r="M18" s="102"/>
      <c r="N18" s="102"/>
      <c r="O18" s="102"/>
      <c r="P18" s="107"/>
      <c r="Q18" s="107"/>
      <c r="R18" s="107"/>
      <c r="U18" s="108"/>
      <c r="X18" s="189" t="s">
        <v>76</v>
      </c>
      <c r="Y18" s="102"/>
    </row>
    <row r="19" spans="2:27" x14ac:dyDescent="0.25">
      <c r="C19" s="109" t="s">
        <v>11</v>
      </c>
      <c r="D19" s="109"/>
      <c r="E19" s="109"/>
      <c r="F19" s="128">
        <v>100</v>
      </c>
      <c r="G19" s="128">
        <f t="shared" ref="G19:O19" si="4">F19*1.025</f>
        <v>102.49999999999999</v>
      </c>
      <c r="H19" s="128">
        <f t="shared" si="4"/>
        <v>105.06249999999997</v>
      </c>
      <c r="I19" s="128">
        <f t="shared" si="4"/>
        <v>107.68906249999996</v>
      </c>
      <c r="J19" s="128">
        <f t="shared" si="4"/>
        <v>110.38128906249996</v>
      </c>
      <c r="K19" s="128">
        <f t="shared" si="4"/>
        <v>113.14082128906244</v>
      </c>
      <c r="L19" s="128">
        <f>K19*1.025</f>
        <v>115.96934182128899</v>
      </c>
      <c r="M19" s="128">
        <f t="shared" si="4"/>
        <v>118.8685753668212</v>
      </c>
      <c r="N19" s="128">
        <f t="shared" si="4"/>
        <v>121.84028975099173</v>
      </c>
      <c r="O19" s="128">
        <f t="shared" si="4"/>
        <v>124.88629699476651</v>
      </c>
      <c r="P19" s="107"/>
      <c r="Q19" s="107"/>
      <c r="R19" s="107"/>
      <c r="U19" s="108"/>
      <c r="V19" s="118"/>
      <c r="X19" s="188">
        <f>NPV(Rate_of_Return,F19:O19)</f>
        <v>770.2165679589524</v>
      </c>
      <c r="Y19" s="188">
        <f>-PMT(Rate_of_Return,$E$5,X19)</f>
        <v>110.47396979114887</v>
      </c>
      <c r="Z19" s="108"/>
      <c r="AA19" s="108"/>
    </row>
    <row r="20" spans="2:27" x14ac:dyDescent="0.25">
      <c r="C20" s="131" t="s">
        <v>12</v>
      </c>
      <c r="D20" s="131"/>
      <c r="E20" s="131"/>
      <c r="F20" s="132">
        <f t="shared" ref="F20:O20" si="5">F19/$Y$19</f>
        <v>0.90519060905523785</v>
      </c>
      <c r="G20" s="132">
        <f t="shared" si="5"/>
        <v>0.92782037428161868</v>
      </c>
      <c r="H20" s="132">
        <f t="shared" si="5"/>
        <v>0.95101588363865908</v>
      </c>
      <c r="I20" s="132">
        <f t="shared" si="5"/>
        <v>0.9747912807296254</v>
      </c>
      <c r="J20" s="132">
        <f t="shared" si="5"/>
        <v>0.99916106274786609</v>
      </c>
      <c r="K20" s="132">
        <f t="shared" si="5"/>
        <v>1.0241400893165626</v>
      </c>
      <c r="L20" s="132">
        <f t="shared" si="5"/>
        <v>1.0497435915494766</v>
      </c>
      <c r="M20" s="132">
        <f t="shared" si="5"/>
        <v>1.0759871813382134</v>
      </c>
      <c r="N20" s="132">
        <f t="shared" si="5"/>
        <v>1.1028868608716687</v>
      </c>
      <c r="O20" s="132">
        <f t="shared" si="5"/>
        <v>1.1304590323934602</v>
      </c>
      <c r="P20" s="107"/>
      <c r="Q20" s="107"/>
      <c r="R20" s="107"/>
      <c r="U20" s="108"/>
      <c r="V20" s="119"/>
      <c r="X20" s="188">
        <f>NPV(Rate_of_Return,F20:O20)</f>
        <v>6.9719280425519923</v>
      </c>
      <c r="Y20" s="188">
        <f>-PMT(Rate_of_Return,$E$5,X20)</f>
        <v>1.0000000000000002</v>
      </c>
      <c r="Z20" s="108"/>
      <c r="AA20" s="108"/>
    </row>
    <row r="21" spans="2:27" x14ac:dyDescent="0.25">
      <c r="C21" s="102"/>
      <c r="D21" s="102"/>
      <c r="E21" s="129"/>
      <c r="F21" s="129"/>
      <c r="G21" s="129"/>
      <c r="H21" s="129"/>
      <c r="I21" s="129"/>
      <c r="J21" s="129"/>
      <c r="K21" s="129"/>
      <c r="L21" s="129"/>
      <c r="M21" s="130"/>
      <c r="N21" s="130"/>
      <c r="O21" s="130"/>
      <c r="P21" s="130"/>
      <c r="Q21" s="130"/>
      <c r="R21" s="130"/>
      <c r="S21" s="130"/>
      <c r="T21" s="130"/>
      <c r="W21" s="102"/>
      <c r="X21" s="102"/>
    </row>
    <row r="22" spans="2:27" x14ac:dyDescent="0.25">
      <c r="B22" s="120" t="s">
        <v>13</v>
      </c>
      <c r="C22" s="121"/>
      <c r="D22" s="122"/>
      <c r="E22" s="122"/>
      <c r="F22" s="122"/>
      <c r="G22" s="122"/>
      <c r="H22" s="122"/>
      <c r="I22" s="122"/>
      <c r="J22" s="122"/>
      <c r="K22" s="122"/>
      <c r="L22" s="122"/>
      <c r="M22" s="122"/>
      <c r="N22" s="122"/>
      <c r="O22" s="122"/>
      <c r="Y22" s="117"/>
    </row>
    <row r="23" spans="2:27" x14ac:dyDescent="0.25">
      <c r="B23" s="123">
        <v>1</v>
      </c>
      <c r="C23" s="273" t="s">
        <v>111</v>
      </c>
      <c r="D23" s="122"/>
      <c r="E23" s="122"/>
      <c r="F23" s="122"/>
      <c r="G23" s="122"/>
      <c r="H23" s="122"/>
      <c r="I23" s="122"/>
      <c r="J23" s="122"/>
      <c r="K23" s="122"/>
      <c r="L23" s="122"/>
      <c r="M23" s="122"/>
      <c r="N23" s="122"/>
      <c r="O23" s="122"/>
      <c r="Y23" s="113"/>
    </row>
    <row r="24" spans="2:27" x14ac:dyDescent="0.25">
      <c r="B24" s="123">
        <v>2</v>
      </c>
      <c r="C24" s="122" t="s">
        <v>148</v>
      </c>
      <c r="D24" s="122"/>
      <c r="E24" s="122"/>
      <c r="F24" s="122"/>
      <c r="G24" s="122"/>
      <c r="H24" s="122"/>
      <c r="I24" s="122"/>
      <c r="J24" s="122"/>
      <c r="K24" s="122"/>
      <c r="L24" s="122"/>
      <c r="M24" s="122"/>
      <c r="N24" s="122"/>
      <c r="O24" s="122"/>
      <c r="Y24" s="114"/>
    </row>
    <row r="25" spans="2:27" x14ac:dyDescent="0.25">
      <c r="B25" s="123">
        <v>3</v>
      </c>
      <c r="C25" s="122" t="s">
        <v>47</v>
      </c>
      <c r="D25" s="122"/>
      <c r="E25" s="122"/>
      <c r="F25" s="122"/>
      <c r="G25" s="122"/>
      <c r="H25" s="122"/>
      <c r="I25" s="122"/>
      <c r="J25" s="122"/>
      <c r="K25" s="122"/>
      <c r="L25" s="122"/>
      <c r="M25" s="122"/>
      <c r="N25" s="122"/>
      <c r="O25" s="122"/>
      <c r="Y25" s="124"/>
    </row>
    <row r="26" spans="2:27" x14ac:dyDescent="0.25">
      <c r="B26" s="123">
        <v>4</v>
      </c>
      <c r="C26" s="122" t="s">
        <v>160</v>
      </c>
      <c r="D26" s="122"/>
      <c r="E26" s="122"/>
      <c r="F26" s="122"/>
      <c r="G26" s="122"/>
      <c r="H26" s="122"/>
      <c r="I26" s="122"/>
      <c r="J26" s="122"/>
      <c r="K26" s="122"/>
      <c r="L26" s="122"/>
      <c r="M26" s="122"/>
      <c r="N26" s="122"/>
      <c r="O26" s="122"/>
      <c r="Y26" s="124"/>
    </row>
    <row r="27" spans="2:27" x14ac:dyDescent="0.25">
      <c r="B27" s="123">
        <v>5</v>
      </c>
      <c r="C27" s="122" t="s">
        <v>81</v>
      </c>
      <c r="D27" s="122"/>
      <c r="E27" s="122"/>
      <c r="F27" s="122"/>
      <c r="G27" s="122"/>
      <c r="H27" s="122"/>
      <c r="I27" s="122"/>
      <c r="J27" s="122"/>
      <c r="K27" s="122"/>
      <c r="L27" s="122"/>
      <c r="M27" s="122"/>
      <c r="N27" s="122"/>
      <c r="O27" s="122"/>
      <c r="Y27" s="113"/>
    </row>
    <row r="28" spans="2:27" x14ac:dyDescent="0.25">
      <c r="B28" s="123">
        <v>6</v>
      </c>
      <c r="C28" s="122" t="s">
        <v>82</v>
      </c>
      <c r="D28" s="122"/>
      <c r="E28" s="122"/>
      <c r="F28" s="122"/>
      <c r="G28" s="122"/>
      <c r="H28" s="122"/>
      <c r="I28" s="122"/>
      <c r="J28" s="122"/>
      <c r="K28" s="122"/>
      <c r="L28" s="122"/>
      <c r="M28" s="122"/>
      <c r="N28" s="122"/>
      <c r="O28" s="122"/>
      <c r="Y28" s="114"/>
    </row>
    <row r="29" spans="2:27" x14ac:dyDescent="0.25">
      <c r="B29" s="123">
        <v>7</v>
      </c>
      <c r="C29" s="122" t="s">
        <v>83</v>
      </c>
      <c r="D29" s="122"/>
      <c r="E29" s="122"/>
      <c r="F29" s="122"/>
      <c r="G29" s="122"/>
      <c r="H29" s="122"/>
      <c r="I29" s="122"/>
      <c r="J29" s="122"/>
      <c r="K29" s="122"/>
      <c r="L29" s="122"/>
      <c r="M29" s="122"/>
      <c r="N29" s="122"/>
      <c r="O29" s="122"/>
      <c r="P29" s="122"/>
      <c r="Q29" s="122"/>
    </row>
    <row r="30" spans="2:27" x14ac:dyDescent="0.25">
      <c r="B30" s="123">
        <v>8</v>
      </c>
      <c r="C30" s="122" t="s">
        <v>53</v>
      </c>
      <c r="D30" s="122"/>
      <c r="E30" s="122"/>
      <c r="F30" s="122"/>
      <c r="G30" s="122"/>
      <c r="H30" s="122"/>
      <c r="I30" s="122"/>
      <c r="J30" s="122"/>
      <c r="K30" s="122"/>
      <c r="L30" s="122"/>
      <c r="M30" s="122"/>
      <c r="N30" s="122"/>
      <c r="O30" s="122"/>
      <c r="P30" s="122"/>
      <c r="Q30" s="122"/>
    </row>
    <row r="31" spans="2:27" x14ac:dyDescent="0.25">
      <c r="B31" s="123">
        <v>9</v>
      </c>
      <c r="C31" s="122" t="s">
        <v>84</v>
      </c>
      <c r="D31" s="122"/>
      <c r="E31" s="122"/>
      <c r="F31" s="122"/>
      <c r="G31" s="122"/>
      <c r="H31" s="122"/>
      <c r="I31" s="122"/>
      <c r="J31" s="122"/>
      <c r="K31" s="122"/>
      <c r="L31" s="122"/>
      <c r="M31" s="122"/>
      <c r="N31" s="122"/>
      <c r="O31" s="122"/>
      <c r="P31" s="122"/>
      <c r="Q31" s="122"/>
    </row>
    <row r="32" spans="2:27" x14ac:dyDescent="0.25">
      <c r="B32" s="123">
        <v>10</v>
      </c>
      <c r="C32" s="53" t="s">
        <v>85</v>
      </c>
    </row>
    <row r="33" spans="2:20" x14ac:dyDescent="0.25">
      <c r="B33" s="123">
        <v>11</v>
      </c>
      <c r="C33" s="53" t="s">
        <v>104</v>
      </c>
    </row>
    <row r="34" spans="2:20" ht="15.6" x14ac:dyDescent="0.3">
      <c r="B34" s="125"/>
      <c r="C34" s="5"/>
      <c r="D34" s="5"/>
      <c r="E34" s="5"/>
      <c r="F34" s="5"/>
    </row>
    <row r="35" spans="2:20" ht="15.6" x14ac:dyDescent="0.3">
      <c r="B35" s="125"/>
      <c r="C35" s="192"/>
      <c r="D35" s="5"/>
      <c r="E35" s="5"/>
      <c r="F35" s="5"/>
    </row>
    <row r="37" spans="2:20" x14ac:dyDescent="0.25">
      <c r="F37" s="108"/>
      <c r="G37" s="126"/>
      <c r="H37" s="126"/>
      <c r="I37" s="126"/>
      <c r="J37" s="126"/>
      <c r="K37" s="126"/>
      <c r="L37" s="126"/>
      <c r="M37" s="126"/>
      <c r="N37" s="126"/>
      <c r="O37" s="126"/>
      <c r="P37" s="126"/>
      <c r="Q37" s="126"/>
      <c r="R37" s="126"/>
      <c r="S37" s="126"/>
      <c r="T37" s="126"/>
    </row>
    <row r="38" spans="2:20" x14ac:dyDescent="0.25">
      <c r="G38" s="126"/>
      <c r="H38" s="126"/>
      <c r="I38" s="126"/>
      <c r="J38" s="126"/>
      <c r="K38" s="126"/>
      <c r="L38" s="126"/>
      <c r="M38" s="126"/>
      <c r="N38" s="126"/>
      <c r="O38" s="126"/>
      <c r="P38" s="126"/>
      <c r="Q38" s="126"/>
      <c r="R38" s="126"/>
      <c r="S38" s="126"/>
      <c r="T38" s="126"/>
    </row>
    <row r="39" spans="2:20" x14ac:dyDescent="0.25">
      <c r="F39" s="108"/>
      <c r="G39" s="108"/>
      <c r="H39" s="108"/>
      <c r="I39" s="108"/>
      <c r="J39" s="108"/>
      <c r="K39" s="108"/>
      <c r="L39" s="108"/>
      <c r="M39" s="108"/>
      <c r="N39" s="108"/>
      <c r="O39" s="108"/>
      <c r="P39" s="108"/>
      <c r="Q39" s="108"/>
      <c r="R39" s="108"/>
      <c r="S39" s="108"/>
      <c r="T39" s="108"/>
    </row>
    <row r="40" spans="2:20" x14ac:dyDescent="0.25">
      <c r="D40" s="118"/>
    </row>
  </sheetData>
  <dataValidations count="3">
    <dataValidation type="decimal" operator="greaterThan" allowBlank="1" showInputMessage="1" showErrorMessage="1" sqref="C5:D5">
      <formula1>0</formula1>
    </dataValidation>
    <dataValidation type="list" allowBlank="1" showInputMessage="1" showErrorMessage="1" sqref="E5">
      <formula1>"1,2,3,4,5,6,7,8,9,10,11,12,13,14,15,16,17,18,19,20,21,22,23,24,25,26,27,28,29,30"</formula1>
    </dataValidation>
    <dataValidation type="list" allowBlank="1" showInputMessage="1" showErrorMessage="1" sqref="G5">
      <formula1>MeasureList</formula1>
    </dataValidation>
  </dataValidations>
  <pageMargins left="0.75" right="0.5" top="0.76" bottom="0.79" header="0.5" footer="0.26"/>
  <pageSetup scale="35" orientation="landscape" r:id="rId1"/>
  <headerFooter alignWithMargins="0">
    <oddFooter>&amp;L&amp;F&amp;C&amp;A&amp;RPSE Advice No. 2018-48 &amp;D
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E40"/>
  <sheetViews>
    <sheetView topLeftCell="A14" workbookViewId="0">
      <selection activeCell="O34" sqref="O34"/>
    </sheetView>
  </sheetViews>
  <sheetFormatPr defaultColWidth="9.109375" defaultRowHeight="15" x14ac:dyDescent="0.25"/>
  <cols>
    <col min="1" max="1" width="2.5546875" style="53" customWidth="1"/>
    <col min="2" max="2" width="5" style="53" customWidth="1"/>
    <col min="3" max="3" width="46.5546875" style="53" customWidth="1"/>
    <col min="4" max="4" width="2.5546875" style="53" customWidth="1"/>
    <col min="5" max="22" width="12.5546875" style="53" customWidth="1"/>
    <col min="23" max="23" width="2.5546875" style="53" customWidth="1"/>
    <col min="24" max="25" width="12.5546875" style="53" customWidth="1"/>
    <col min="26" max="30" width="12.44140625" style="53" customWidth="1"/>
    <col min="31" max="16384" width="9.109375" style="53"/>
  </cols>
  <sheetData>
    <row r="2" spans="2:31" ht="19.5" customHeight="1" x14ac:dyDescent="0.3">
      <c r="C2" s="198" t="s">
        <v>86</v>
      </c>
      <c r="D2" s="198"/>
      <c r="E2" s="198"/>
      <c r="F2" s="198"/>
      <c r="G2" s="198"/>
      <c r="H2" s="198"/>
      <c r="I2" s="198"/>
      <c r="J2" s="198"/>
      <c r="K2" s="198"/>
      <c r="L2" s="198"/>
    </row>
    <row r="3" spans="2:31" ht="15.6" x14ac:dyDescent="0.3">
      <c r="C3" s="42" t="s">
        <v>45</v>
      </c>
    </row>
    <row r="4" spans="2:31" s="99" customFormat="1" ht="45" x14ac:dyDescent="0.25">
      <c r="B4" s="98"/>
      <c r="C4" s="133" t="s">
        <v>0</v>
      </c>
      <c r="D4" s="133"/>
      <c r="E4" s="133" t="s">
        <v>1</v>
      </c>
      <c r="F4" s="133" t="s">
        <v>2</v>
      </c>
      <c r="G4" s="133" t="s">
        <v>3</v>
      </c>
      <c r="H4" s="133" t="s">
        <v>4</v>
      </c>
      <c r="I4" s="133" t="s">
        <v>5</v>
      </c>
      <c r="J4" s="133" t="s">
        <v>6</v>
      </c>
      <c r="K4" s="133" t="s">
        <v>7</v>
      </c>
      <c r="L4" s="134" t="s">
        <v>14</v>
      </c>
      <c r="M4" s="134"/>
    </row>
    <row r="5" spans="2:31" x14ac:dyDescent="0.25">
      <c r="C5" s="136"/>
      <c r="D5" s="137"/>
      <c r="E5" s="138">
        <v>15</v>
      </c>
      <c r="F5" s="276">
        <f>+'Capacity Delivered'!$H$5</f>
        <v>0.13</v>
      </c>
      <c r="G5" s="139" t="s">
        <v>8</v>
      </c>
      <c r="H5" s="140">
        <f>'Electric EES CE Std Energy'!D23</f>
        <v>4.3823684792235862E-2</v>
      </c>
      <c r="I5" s="141">
        <f>'Wind Avoided Capacity Calcs'!X21</f>
        <v>1.5820053820951356E-2</v>
      </c>
      <c r="J5" s="141">
        <f>H5+I5</f>
        <v>5.9643738613187218E-2</v>
      </c>
      <c r="K5" s="142">
        <f>J5</f>
        <v>5.9643738613187218E-2</v>
      </c>
      <c r="L5" s="143">
        <f>K5*1000</f>
        <v>59.643738613187217</v>
      </c>
      <c r="M5" s="127"/>
    </row>
    <row r="6" spans="2:31" ht="15.6" x14ac:dyDescent="0.3">
      <c r="C6" s="135"/>
      <c r="D6" s="135"/>
      <c r="E6" s="102"/>
      <c r="F6" s="102"/>
      <c r="G6" s="102"/>
      <c r="H6" s="32">
        <f>H5*1000</f>
        <v>43.823684792235859</v>
      </c>
      <c r="I6" s="32">
        <f t="shared" ref="I6:K6" si="0">I5*1000</f>
        <v>15.820053820951356</v>
      </c>
      <c r="J6" s="32">
        <f t="shared" si="0"/>
        <v>59.643738613187217</v>
      </c>
      <c r="K6" s="32">
        <f t="shared" si="0"/>
        <v>59.643738613187217</v>
      </c>
      <c r="L6" s="104">
        <f>L5*(1-M6)</f>
        <v>57.8544264547916</v>
      </c>
      <c r="M6" s="225">
        <v>0.03</v>
      </c>
      <c r="N6" s="105" t="s">
        <v>40</v>
      </c>
    </row>
    <row r="7" spans="2:31" x14ac:dyDescent="0.25">
      <c r="C7" s="106"/>
      <c r="D7" s="103"/>
      <c r="H7" s="40"/>
      <c r="I7" s="101"/>
      <c r="J7" s="40"/>
      <c r="K7" s="101"/>
      <c r="L7" s="101"/>
      <c r="M7" s="102"/>
    </row>
    <row r="8" spans="2:31" ht="15.6" x14ac:dyDescent="0.3">
      <c r="C8" s="102"/>
      <c r="D8" s="102"/>
      <c r="E8" s="102"/>
      <c r="F8" s="102"/>
      <c r="G8" s="102"/>
      <c r="H8" s="107"/>
      <c r="I8" s="107"/>
      <c r="J8" s="107"/>
      <c r="K8" s="107"/>
      <c r="L8" s="107"/>
      <c r="M8" s="107"/>
      <c r="N8" s="107"/>
      <c r="O8" s="107"/>
      <c r="P8" s="107"/>
      <c r="Q8" s="107"/>
      <c r="R8" s="107"/>
      <c r="S8" s="107"/>
      <c r="T8" s="107"/>
      <c r="U8" s="108"/>
      <c r="V8" s="108"/>
      <c r="W8" s="108"/>
      <c r="X8" s="189" t="s">
        <v>76</v>
      </c>
      <c r="Y8" s="108"/>
      <c r="Z8" s="108"/>
      <c r="AA8" s="108"/>
      <c r="AB8" s="108"/>
      <c r="AC8" s="108"/>
    </row>
    <row r="9" spans="2:31" x14ac:dyDescent="0.25">
      <c r="C9" s="109" t="s">
        <v>9</v>
      </c>
      <c r="D9" s="109"/>
      <c r="E9" s="109"/>
      <c r="F9" s="110">
        <f>+L6</f>
        <v>57.8544264547916</v>
      </c>
      <c r="G9" s="110">
        <f t="shared" ref="G9:T9" si="1">F9</f>
        <v>57.8544264547916</v>
      </c>
      <c r="H9" s="110">
        <f t="shared" si="1"/>
        <v>57.8544264547916</v>
      </c>
      <c r="I9" s="110">
        <f t="shared" si="1"/>
        <v>57.8544264547916</v>
      </c>
      <c r="J9" s="110">
        <f t="shared" si="1"/>
        <v>57.8544264547916</v>
      </c>
      <c r="K9" s="110">
        <f t="shared" si="1"/>
        <v>57.8544264547916</v>
      </c>
      <c r="L9" s="110">
        <f t="shared" si="1"/>
        <v>57.8544264547916</v>
      </c>
      <c r="M9" s="110">
        <f t="shared" si="1"/>
        <v>57.8544264547916</v>
      </c>
      <c r="N9" s="110">
        <f t="shared" si="1"/>
        <v>57.8544264547916</v>
      </c>
      <c r="O9" s="110">
        <f t="shared" si="1"/>
        <v>57.8544264547916</v>
      </c>
      <c r="P9" s="110">
        <f t="shared" si="1"/>
        <v>57.8544264547916</v>
      </c>
      <c r="Q9" s="110">
        <f t="shared" si="1"/>
        <v>57.8544264547916</v>
      </c>
      <c r="R9" s="110">
        <f t="shared" si="1"/>
        <v>57.8544264547916</v>
      </c>
      <c r="S9" s="110">
        <f t="shared" si="1"/>
        <v>57.8544264547916</v>
      </c>
      <c r="T9" s="110">
        <f t="shared" si="1"/>
        <v>57.8544264547916</v>
      </c>
      <c r="U9" s="40"/>
      <c r="V9" s="40"/>
      <c r="W9" s="40"/>
      <c r="X9" s="188">
        <f>NPV(Rate_of_Return,F9:T9)</f>
        <v>521.64910456337338</v>
      </c>
      <c r="Y9" s="188">
        <f>-PMT(Rate_of_Return,15,X9)</f>
        <v>57.854426454791572</v>
      </c>
      <c r="Z9" s="40"/>
      <c r="AA9" s="40"/>
      <c r="AB9" s="40"/>
    </row>
    <row r="10" spans="2:31" x14ac:dyDescent="0.25">
      <c r="C10" s="102"/>
      <c r="D10" s="102"/>
      <c r="E10" s="102"/>
      <c r="F10" s="111"/>
      <c r="G10" s="111"/>
      <c r="H10" s="111"/>
      <c r="I10" s="111"/>
      <c r="J10" s="111"/>
      <c r="K10" s="111"/>
      <c r="L10" s="111"/>
      <c r="M10" s="111"/>
      <c r="N10" s="111"/>
      <c r="O10" s="111"/>
      <c r="P10" s="111"/>
      <c r="Q10" s="111"/>
      <c r="R10" s="111"/>
      <c r="S10" s="111"/>
      <c r="T10" s="111"/>
      <c r="U10" s="40"/>
      <c r="V10" s="40"/>
      <c r="W10" s="40"/>
      <c r="X10" s="32"/>
      <c r="Y10" s="32"/>
      <c r="Z10" s="40"/>
      <c r="AA10" s="40"/>
      <c r="AB10" s="40"/>
    </row>
    <row r="11" spans="2:31" x14ac:dyDescent="0.25">
      <c r="C11" s="53" t="s">
        <v>58</v>
      </c>
      <c r="F11" s="193">
        <v>1</v>
      </c>
      <c r="G11" s="193">
        <v>2</v>
      </c>
      <c r="H11" s="193">
        <v>3</v>
      </c>
      <c r="I11" s="193">
        <v>4</v>
      </c>
      <c r="J11" s="193">
        <v>5</v>
      </c>
      <c r="K11" s="193">
        <v>6</v>
      </c>
      <c r="L11" s="193">
        <v>7</v>
      </c>
      <c r="M11" s="193">
        <v>8</v>
      </c>
      <c r="N11" s="193">
        <v>9</v>
      </c>
      <c r="O11" s="193">
        <v>10</v>
      </c>
      <c r="P11" s="193">
        <v>11</v>
      </c>
      <c r="Q11" s="193">
        <v>12</v>
      </c>
      <c r="R11" s="193">
        <v>13</v>
      </c>
      <c r="S11" s="193">
        <v>14</v>
      </c>
      <c r="T11" s="193">
        <v>15</v>
      </c>
      <c r="U11" s="193">
        <v>16</v>
      </c>
      <c r="V11" s="193">
        <v>17</v>
      </c>
      <c r="W11" s="40"/>
      <c r="X11" s="40"/>
      <c r="Y11" s="40"/>
      <c r="Z11" s="40"/>
      <c r="AA11" s="40"/>
      <c r="AB11" s="40"/>
    </row>
    <row r="12" spans="2:31" ht="15.6" x14ac:dyDescent="0.3">
      <c r="C12" s="102"/>
      <c r="D12" s="100"/>
      <c r="E12" s="102"/>
      <c r="F12" s="112">
        <f>'Energy Prices'!$C$6</f>
        <v>2024</v>
      </c>
      <c r="G12" s="112">
        <f>F12+1</f>
        <v>2025</v>
      </c>
      <c r="H12" s="112">
        <f>G12+1</f>
        <v>2026</v>
      </c>
      <c r="I12" s="112">
        <f t="shared" ref="I12:T12" si="2">H12+1</f>
        <v>2027</v>
      </c>
      <c r="J12" s="112">
        <f t="shared" si="2"/>
        <v>2028</v>
      </c>
      <c r="K12" s="112">
        <f t="shared" si="2"/>
        <v>2029</v>
      </c>
      <c r="L12" s="112">
        <f t="shared" si="2"/>
        <v>2030</v>
      </c>
      <c r="M12" s="112">
        <f t="shared" si="2"/>
        <v>2031</v>
      </c>
      <c r="N12" s="112">
        <f t="shared" si="2"/>
        <v>2032</v>
      </c>
      <c r="O12" s="112">
        <f t="shared" si="2"/>
        <v>2033</v>
      </c>
      <c r="P12" s="112">
        <f t="shared" si="2"/>
        <v>2034</v>
      </c>
      <c r="Q12" s="112">
        <f t="shared" si="2"/>
        <v>2035</v>
      </c>
      <c r="R12" s="112">
        <f t="shared" si="2"/>
        <v>2036</v>
      </c>
      <c r="S12" s="112">
        <f t="shared" si="2"/>
        <v>2037</v>
      </c>
      <c r="T12" s="112">
        <f t="shared" si="2"/>
        <v>2038</v>
      </c>
      <c r="U12" s="112">
        <f>T12+1</f>
        <v>2039</v>
      </c>
      <c r="V12" s="112">
        <f>U12+1</f>
        <v>2040</v>
      </c>
      <c r="W12" s="191"/>
      <c r="X12" s="189" t="s">
        <v>76</v>
      </c>
      <c r="Y12" s="32"/>
      <c r="Z12" s="108"/>
      <c r="AA12" s="108"/>
      <c r="AB12" s="108"/>
    </row>
    <row r="13" spans="2:31" ht="53.1" customHeight="1" x14ac:dyDescent="0.25">
      <c r="B13" s="102"/>
      <c r="C13" s="195" t="s">
        <v>79</v>
      </c>
      <c r="D13" s="102"/>
      <c r="F13" s="144">
        <f t="shared" ref="F13:T13" si="3">F$9*F$20</f>
        <v>49.945799389512601</v>
      </c>
      <c r="G13" s="145">
        <f t="shared" si="3"/>
        <v>51.194444374250409</v>
      </c>
      <c r="H13" s="146">
        <f t="shared" si="3"/>
        <v>52.474305483606663</v>
      </c>
      <c r="I13" s="146">
        <f t="shared" si="3"/>
        <v>53.786163120696827</v>
      </c>
      <c r="J13" s="146">
        <f t="shared" si="3"/>
        <v>55.130817198714247</v>
      </c>
      <c r="K13" s="146">
        <f t="shared" si="3"/>
        <v>56.509087628682089</v>
      </c>
      <c r="L13" s="146">
        <f t="shared" si="3"/>
        <v>57.921814819399145</v>
      </c>
      <c r="M13" s="146">
        <f t="shared" si="3"/>
        <v>59.369860189884108</v>
      </c>
      <c r="N13" s="146">
        <f t="shared" si="3"/>
        <v>60.854106694631206</v>
      </c>
      <c r="O13" s="146">
        <f t="shared" si="3"/>
        <v>62.375459361996988</v>
      </c>
      <c r="P13" s="146">
        <f t="shared" si="3"/>
        <v>63.934845846046898</v>
      </c>
      <c r="Q13" s="146">
        <f t="shared" si="3"/>
        <v>65.533216992198064</v>
      </c>
      <c r="R13" s="146">
        <f t="shared" si="3"/>
        <v>67.171547417003012</v>
      </c>
      <c r="S13" s="146">
        <f t="shared" si="3"/>
        <v>68.850836102428076</v>
      </c>
      <c r="T13" s="146">
        <f t="shared" si="3"/>
        <v>70.57210700498878</v>
      </c>
      <c r="U13" s="190">
        <f>T13*1.025</f>
        <v>72.336409680113491</v>
      </c>
      <c r="V13" s="190">
        <f>U13*1.025</f>
        <v>74.144819922116326</v>
      </c>
      <c r="W13" s="114"/>
      <c r="X13" s="188">
        <f>NPV(Rate_of_Return,F13:T13)</f>
        <v>521.64910456337361</v>
      </c>
      <c r="Y13" s="188">
        <f>-PMT(Rate_of_Return,15,X13)</f>
        <v>57.854426454791593</v>
      </c>
      <c r="Z13" s="114"/>
      <c r="AA13" s="114"/>
      <c r="AB13" s="114"/>
      <c r="AE13" s="115"/>
    </row>
    <row r="14" spans="2:31" x14ac:dyDescent="0.25">
      <c r="C14" s="113"/>
      <c r="E14" s="116"/>
      <c r="F14" s="114"/>
      <c r="G14" s="114"/>
      <c r="H14" s="114"/>
      <c r="I14" s="114"/>
      <c r="J14" s="114"/>
      <c r="K14" s="114"/>
      <c r="L14" s="114"/>
      <c r="M14" s="114"/>
      <c r="N14" s="114"/>
      <c r="O14" s="114"/>
      <c r="P14" s="114"/>
      <c r="Q14" s="114"/>
      <c r="R14" s="114"/>
      <c r="S14" s="114"/>
      <c r="T14" s="114"/>
      <c r="U14" s="114"/>
      <c r="V14" s="114"/>
      <c r="W14" s="114"/>
      <c r="X14" s="108"/>
      <c r="Y14" s="108"/>
      <c r="Z14" s="108"/>
      <c r="AA14" s="108"/>
      <c r="AB14" s="108"/>
      <c r="AC14" s="108"/>
    </row>
    <row r="15" spans="2:31" x14ac:dyDescent="0.25">
      <c r="C15" s="117"/>
      <c r="E15" s="116"/>
      <c r="F15" s="114"/>
      <c r="G15" s="114"/>
      <c r="H15" s="114"/>
      <c r="I15" s="114"/>
      <c r="J15" s="114"/>
      <c r="K15" s="114"/>
      <c r="L15" s="114"/>
      <c r="M15" s="114"/>
      <c r="N15" s="114"/>
      <c r="O15" s="114"/>
      <c r="P15" s="114"/>
      <c r="Q15" s="114"/>
      <c r="R15" s="114"/>
      <c r="S15" s="114"/>
      <c r="T15" s="114"/>
      <c r="U15" s="114"/>
      <c r="V15" s="114"/>
      <c r="W15" s="114"/>
      <c r="X15" s="108"/>
      <c r="Y15" s="108"/>
      <c r="Z15" s="108"/>
      <c r="AA15" s="108"/>
      <c r="AB15" s="108"/>
      <c r="AC15" s="108"/>
    </row>
    <row r="16" spans="2:31" x14ac:dyDescent="0.25">
      <c r="C16" s="53" t="s">
        <v>10</v>
      </c>
      <c r="Q16" s="108"/>
      <c r="R16" s="108"/>
    </row>
    <row r="17" spans="2:28" x14ac:dyDescent="0.25">
      <c r="Q17" s="108"/>
      <c r="R17" s="108"/>
    </row>
    <row r="18" spans="2:28" ht="15.6" x14ac:dyDescent="0.3">
      <c r="C18" s="102"/>
      <c r="D18" s="102"/>
      <c r="E18" s="102"/>
      <c r="F18" s="102"/>
      <c r="G18" s="102"/>
      <c r="H18" s="102"/>
      <c r="I18" s="102"/>
      <c r="J18" s="102"/>
      <c r="K18" s="102"/>
      <c r="L18" s="102"/>
      <c r="M18" s="102"/>
      <c r="N18" s="102"/>
      <c r="O18" s="102"/>
      <c r="P18" s="102"/>
      <c r="Q18" s="107"/>
      <c r="R18" s="107"/>
      <c r="S18" s="102"/>
      <c r="T18" s="102"/>
      <c r="X18" s="189" t="s">
        <v>76</v>
      </c>
      <c r="Y18" s="102"/>
    </row>
    <row r="19" spans="2:28" x14ac:dyDescent="0.25">
      <c r="C19" s="109" t="s">
        <v>11</v>
      </c>
      <c r="D19" s="109"/>
      <c r="E19" s="109"/>
      <c r="F19" s="128">
        <v>100</v>
      </c>
      <c r="G19" s="128">
        <f t="shared" ref="G19:T19" si="4">F19*1.025</f>
        <v>102.49999999999999</v>
      </c>
      <c r="H19" s="128">
        <f t="shared" si="4"/>
        <v>105.06249999999997</v>
      </c>
      <c r="I19" s="128">
        <f t="shared" si="4"/>
        <v>107.68906249999996</v>
      </c>
      <c r="J19" s="128">
        <f t="shared" si="4"/>
        <v>110.38128906249996</v>
      </c>
      <c r="K19" s="128">
        <f t="shared" si="4"/>
        <v>113.14082128906244</v>
      </c>
      <c r="L19" s="128">
        <f>K19*1.025</f>
        <v>115.96934182128899</v>
      </c>
      <c r="M19" s="128">
        <f t="shared" si="4"/>
        <v>118.8685753668212</v>
      </c>
      <c r="N19" s="128">
        <f t="shared" si="4"/>
        <v>121.84028975099173</v>
      </c>
      <c r="O19" s="128">
        <f t="shared" si="4"/>
        <v>124.88629699476651</v>
      </c>
      <c r="P19" s="128">
        <f t="shared" si="4"/>
        <v>128.00845441963565</v>
      </c>
      <c r="Q19" s="128">
        <f t="shared" si="4"/>
        <v>131.20866578012652</v>
      </c>
      <c r="R19" s="128">
        <f t="shared" si="4"/>
        <v>134.48888242462968</v>
      </c>
      <c r="S19" s="128">
        <f t="shared" si="4"/>
        <v>137.8511044852454</v>
      </c>
      <c r="T19" s="128">
        <f t="shared" si="4"/>
        <v>141.29738209737653</v>
      </c>
      <c r="U19" s="118"/>
      <c r="V19" s="118"/>
      <c r="W19" s="118"/>
      <c r="X19" s="148">
        <f>NPV(Rate_of_Return,F19:T19)</f>
        <v>1044.4303844156857</v>
      </c>
      <c r="Y19" s="148">
        <f>-PMT(Rate_of_Return,15,X19)</f>
        <v>115.83441883390822</v>
      </c>
      <c r="Z19" s="108"/>
      <c r="AA19" s="108"/>
      <c r="AB19" s="108"/>
    </row>
    <row r="20" spans="2:28" x14ac:dyDescent="0.25">
      <c r="C20" s="131" t="s">
        <v>12</v>
      </c>
      <c r="D20" s="131"/>
      <c r="E20" s="131"/>
      <c r="F20" s="132">
        <f>F19/$Y$19</f>
        <v>0.86330126232503701</v>
      </c>
      <c r="G20" s="132">
        <f t="shared" ref="G20:T20" si="5">G19/$Y$19</f>
        <v>0.88488379388316274</v>
      </c>
      <c r="H20" s="132">
        <f t="shared" si="5"/>
        <v>0.90700588873024168</v>
      </c>
      <c r="I20" s="132">
        <f t="shared" si="5"/>
        <v>0.92968103594849771</v>
      </c>
      <c r="J20" s="132">
        <f t="shared" si="5"/>
        <v>0.9529230618472101</v>
      </c>
      <c r="K20" s="132">
        <f t="shared" si="5"/>
        <v>0.9767461383933902</v>
      </c>
      <c r="L20" s="132">
        <f t="shared" si="5"/>
        <v>1.0011647918532249</v>
      </c>
      <c r="M20" s="132">
        <f t="shared" si="5"/>
        <v>1.0261939116495553</v>
      </c>
      <c r="N20" s="132">
        <f t="shared" si="5"/>
        <v>1.0518487594407941</v>
      </c>
      <c r="O20" s="132">
        <f t="shared" si="5"/>
        <v>1.078144978426814</v>
      </c>
      <c r="P20" s="132">
        <f t="shared" si="5"/>
        <v>1.1050986028874841</v>
      </c>
      <c r="Q20" s="132">
        <f t="shared" si="5"/>
        <v>1.1327260679596711</v>
      </c>
      <c r="R20" s="132">
        <f t="shared" si="5"/>
        <v>1.1610442196586628</v>
      </c>
      <c r="S20" s="132">
        <f t="shared" si="5"/>
        <v>1.1900703251501292</v>
      </c>
      <c r="T20" s="132">
        <f t="shared" si="5"/>
        <v>1.2198220832788824</v>
      </c>
      <c r="U20" s="119"/>
      <c r="V20" s="119"/>
      <c r="W20" s="119"/>
      <c r="X20" s="147">
        <f>NPV(Rate_of_Return,F20:T20)</f>
        <v>9.0165806927668495</v>
      </c>
      <c r="Y20" s="147">
        <f>-PMT(Rate_of_Return,15,X20)</f>
        <v>0.99999999999999978</v>
      </c>
      <c r="Z20" s="108"/>
      <c r="AA20" s="108"/>
      <c r="AB20" s="108"/>
    </row>
    <row r="21" spans="2:28" x14ac:dyDescent="0.25">
      <c r="C21" s="102"/>
      <c r="D21" s="102"/>
      <c r="E21" s="129"/>
      <c r="F21" s="129"/>
      <c r="G21" s="129"/>
      <c r="H21" s="129"/>
      <c r="I21" s="129"/>
      <c r="J21" s="129"/>
      <c r="K21" s="129"/>
      <c r="L21" s="129"/>
      <c r="M21" s="130"/>
      <c r="N21" s="130"/>
      <c r="O21" s="130"/>
      <c r="P21" s="130"/>
      <c r="Q21" s="130"/>
      <c r="R21" s="130"/>
      <c r="S21" s="130"/>
      <c r="T21" s="130"/>
      <c r="X21" s="102"/>
      <c r="Y21" s="102"/>
    </row>
    <row r="22" spans="2:28" x14ac:dyDescent="0.25">
      <c r="B22" s="120" t="s">
        <v>13</v>
      </c>
      <c r="C22" s="121"/>
      <c r="D22" s="122"/>
      <c r="E22" s="122"/>
      <c r="F22" s="122"/>
      <c r="G22" s="122"/>
      <c r="H22" s="122"/>
      <c r="I22" s="122"/>
      <c r="J22" s="122"/>
      <c r="K22" s="122"/>
      <c r="L22" s="122"/>
      <c r="M22" s="122"/>
      <c r="N22" s="122"/>
      <c r="O22" s="122"/>
      <c r="Z22" s="117"/>
    </row>
    <row r="23" spans="2:28" x14ac:dyDescent="0.25">
      <c r="B23" s="123">
        <v>1</v>
      </c>
      <c r="C23" s="273" t="s">
        <v>111</v>
      </c>
      <c r="D23" s="122"/>
      <c r="E23" s="122"/>
      <c r="F23" s="122"/>
      <c r="G23" s="122"/>
      <c r="H23" s="122"/>
      <c r="I23" s="122"/>
      <c r="J23" s="122"/>
      <c r="K23" s="122"/>
      <c r="L23" s="122"/>
      <c r="M23" s="122"/>
      <c r="N23" s="122"/>
      <c r="O23" s="122"/>
      <c r="Z23" s="113"/>
    </row>
    <row r="24" spans="2:28" x14ac:dyDescent="0.25">
      <c r="B24" s="123">
        <v>2</v>
      </c>
      <c r="C24" s="122" t="s">
        <v>148</v>
      </c>
      <c r="D24" s="122"/>
      <c r="E24" s="122"/>
      <c r="F24" s="122"/>
      <c r="G24" s="122"/>
      <c r="H24" s="122"/>
      <c r="I24" s="122"/>
      <c r="J24" s="122"/>
      <c r="K24" s="122"/>
      <c r="L24" s="122"/>
      <c r="M24" s="122"/>
      <c r="N24" s="122"/>
      <c r="O24" s="122"/>
      <c r="Z24" s="114"/>
    </row>
    <row r="25" spans="2:28" x14ac:dyDescent="0.25">
      <c r="B25" s="123">
        <v>3</v>
      </c>
      <c r="C25" s="122" t="s">
        <v>47</v>
      </c>
      <c r="D25" s="122"/>
      <c r="E25" s="122"/>
      <c r="F25" s="122"/>
      <c r="G25" s="122"/>
      <c r="H25" s="122"/>
      <c r="I25" s="122"/>
      <c r="J25" s="122"/>
      <c r="K25" s="122"/>
      <c r="L25" s="122"/>
      <c r="M25" s="122"/>
      <c r="N25" s="122"/>
      <c r="O25" s="122"/>
      <c r="Z25" s="124"/>
    </row>
    <row r="26" spans="2:28" x14ac:dyDescent="0.25">
      <c r="B26" s="123">
        <v>4</v>
      </c>
      <c r="C26" s="122" t="s">
        <v>160</v>
      </c>
      <c r="D26" s="122"/>
      <c r="E26" s="122"/>
      <c r="F26" s="122"/>
      <c r="G26" s="122"/>
      <c r="H26" s="122"/>
      <c r="I26" s="122"/>
      <c r="J26" s="122"/>
      <c r="K26" s="122"/>
      <c r="L26" s="122"/>
      <c r="M26" s="122"/>
      <c r="N26" s="122"/>
      <c r="O26" s="122"/>
      <c r="Z26" s="124"/>
    </row>
    <row r="27" spans="2:28" x14ac:dyDescent="0.25">
      <c r="B27" s="123">
        <v>5</v>
      </c>
      <c r="C27" s="122" t="s">
        <v>81</v>
      </c>
      <c r="D27" s="122"/>
      <c r="E27" s="122"/>
      <c r="F27" s="122"/>
      <c r="G27" s="122"/>
      <c r="H27" s="122"/>
      <c r="I27" s="122"/>
      <c r="J27" s="122"/>
      <c r="K27" s="122"/>
      <c r="L27" s="122"/>
      <c r="M27" s="122"/>
      <c r="N27" s="122"/>
      <c r="O27" s="122"/>
      <c r="Z27" s="113"/>
    </row>
    <row r="28" spans="2:28" x14ac:dyDescent="0.25">
      <c r="B28" s="123">
        <v>6</v>
      </c>
      <c r="C28" s="122" t="s">
        <v>82</v>
      </c>
      <c r="D28" s="122"/>
      <c r="E28" s="122"/>
      <c r="F28" s="122"/>
      <c r="G28" s="122"/>
      <c r="H28" s="122"/>
      <c r="I28" s="122"/>
      <c r="J28" s="122"/>
      <c r="K28" s="122"/>
      <c r="L28" s="122"/>
      <c r="M28" s="122"/>
      <c r="N28" s="122"/>
      <c r="O28" s="122"/>
      <c r="Z28" s="114"/>
    </row>
    <row r="29" spans="2:28" x14ac:dyDescent="0.25">
      <c r="B29" s="123">
        <v>7</v>
      </c>
      <c r="C29" s="122" t="s">
        <v>83</v>
      </c>
      <c r="D29" s="122"/>
      <c r="E29" s="122"/>
      <c r="F29" s="122"/>
      <c r="G29" s="122"/>
      <c r="H29" s="122"/>
      <c r="I29" s="122"/>
      <c r="J29" s="122"/>
      <c r="K29" s="122"/>
      <c r="L29" s="122"/>
      <c r="M29" s="122"/>
      <c r="N29" s="122"/>
      <c r="O29" s="122"/>
      <c r="P29" s="122"/>
      <c r="Q29" s="122"/>
    </row>
    <row r="30" spans="2:28" x14ac:dyDescent="0.25">
      <c r="B30" s="123">
        <v>8</v>
      </c>
      <c r="C30" s="122" t="s">
        <v>53</v>
      </c>
      <c r="D30" s="122"/>
      <c r="E30" s="122"/>
      <c r="F30" s="122"/>
      <c r="G30" s="122"/>
      <c r="H30" s="122"/>
      <c r="I30" s="122"/>
      <c r="J30" s="122"/>
      <c r="K30" s="122"/>
      <c r="L30" s="122"/>
      <c r="M30" s="122"/>
      <c r="N30" s="122"/>
      <c r="O30" s="122"/>
      <c r="P30" s="122"/>
      <c r="Q30" s="122"/>
    </row>
    <row r="31" spans="2:28" x14ac:dyDescent="0.25">
      <c r="B31" s="123">
        <v>9</v>
      </c>
      <c r="C31" s="122" t="s">
        <v>84</v>
      </c>
      <c r="D31" s="122"/>
      <c r="E31" s="122"/>
      <c r="F31" s="122"/>
      <c r="G31" s="122"/>
      <c r="H31" s="122"/>
      <c r="I31" s="122"/>
      <c r="J31" s="122"/>
      <c r="K31" s="122"/>
      <c r="L31" s="122"/>
      <c r="M31" s="122"/>
      <c r="N31" s="122"/>
      <c r="O31" s="122"/>
      <c r="P31" s="122"/>
      <c r="Q31" s="122"/>
    </row>
    <row r="32" spans="2:28" x14ac:dyDescent="0.25">
      <c r="B32" s="123">
        <v>10</v>
      </c>
      <c r="C32" s="53" t="s">
        <v>85</v>
      </c>
    </row>
    <row r="33" spans="2:20" x14ac:dyDescent="0.25">
      <c r="B33" s="123">
        <v>11</v>
      </c>
      <c r="C33" s="53" t="s">
        <v>104</v>
      </c>
    </row>
    <row r="34" spans="2:20" ht="15.6" x14ac:dyDescent="0.3">
      <c r="B34" s="125"/>
      <c r="C34" s="5"/>
      <c r="D34" s="5"/>
      <c r="E34" s="5"/>
      <c r="F34" s="5"/>
    </row>
    <row r="35" spans="2:20" ht="15.6" x14ac:dyDescent="0.3">
      <c r="B35" s="125"/>
      <c r="C35" s="192"/>
      <c r="D35" s="5"/>
      <c r="E35" s="5"/>
      <c r="F35" s="5"/>
    </row>
    <row r="37" spans="2:20" x14ac:dyDescent="0.25">
      <c r="F37" s="108"/>
      <c r="G37" s="126"/>
      <c r="H37" s="126"/>
      <c r="I37" s="126"/>
      <c r="J37" s="126"/>
      <c r="K37" s="126"/>
      <c r="L37" s="126"/>
      <c r="M37" s="126"/>
      <c r="N37" s="126"/>
      <c r="O37" s="126"/>
      <c r="P37" s="126"/>
      <c r="Q37" s="126"/>
      <c r="R37" s="126"/>
      <c r="S37" s="126"/>
      <c r="T37" s="126"/>
    </row>
    <row r="38" spans="2:20" x14ac:dyDescent="0.25">
      <c r="G38" s="126"/>
      <c r="H38" s="126"/>
      <c r="I38" s="126"/>
      <c r="J38" s="126"/>
      <c r="K38" s="126"/>
      <c r="L38" s="126"/>
      <c r="M38" s="126"/>
      <c r="N38" s="126"/>
      <c r="O38" s="126"/>
      <c r="P38" s="126"/>
      <c r="Q38" s="126"/>
      <c r="R38" s="126"/>
      <c r="S38" s="126"/>
      <c r="T38" s="126"/>
    </row>
    <row r="39" spans="2:20" x14ac:dyDescent="0.25">
      <c r="F39" s="108"/>
      <c r="G39" s="108"/>
      <c r="H39" s="108"/>
      <c r="I39" s="108"/>
      <c r="J39" s="108"/>
      <c r="K39" s="108"/>
      <c r="L39" s="108"/>
      <c r="M39" s="108"/>
      <c r="N39" s="108"/>
      <c r="O39" s="108"/>
      <c r="P39" s="108"/>
      <c r="Q39" s="108"/>
      <c r="R39" s="108"/>
      <c r="S39" s="108"/>
      <c r="T39" s="108"/>
    </row>
    <row r="40" spans="2:20" x14ac:dyDescent="0.25">
      <c r="D40" s="118"/>
    </row>
  </sheetData>
  <dataValidations count="3">
    <dataValidation type="list" allowBlank="1" showInputMessage="1" showErrorMessage="1" sqref="G5">
      <formula1>MeasureList</formula1>
    </dataValidation>
    <dataValidation type="list" allowBlank="1" showInputMessage="1" showErrorMessage="1" sqref="E5">
      <formula1>"1,2,3,4,5,6,7,8,9,10,11,12,13,14,15,16,17,18,19,20,21,22,23,24,25,26,27,28,29,30"</formula1>
    </dataValidation>
    <dataValidation type="decimal" operator="greaterThan" allowBlank="1" showInputMessage="1" showErrorMessage="1" sqref="C5:D5">
      <formula1>0</formula1>
    </dataValidation>
  </dataValidations>
  <pageMargins left="0.75" right="0.5" top="0.76" bottom="0.79" header="0.5" footer="0.26"/>
  <pageSetup scale="34" orientation="landscape" r:id="rId1"/>
  <headerFooter alignWithMargins="0">
    <oddFooter>&amp;L&amp;F&amp;C&amp;A&amp;RPSE Advice No. 2018-48 &amp;D
Page &amp;P of &amp;N</oddFooter>
  </headerFooter>
  <customProperties>
    <customPr name="_pios_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D40"/>
  <sheetViews>
    <sheetView topLeftCell="A16" workbookViewId="0">
      <selection activeCell="C26" sqref="C26"/>
    </sheetView>
  </sheetViews>
  <sheetFormatPr defaultColWidth="9.109375" defaultRowHeight="15" x14ac:dyDescent="0.25"/>
  <cols>
    <col min="1" max="1" width="2.5546875" style="53" customWidth="1"/>
    <col min="2" max="2" width="5" style="53" customWidth="1"/>
    <col min="3" max="3" width="46.5546875" style="53" customWidth="1"/>
    <col min="4" max="4" width="2.5546875" style="53" customWidth="1"/>
    <col min="5" max="17" width="12.5546875" style="53" customWidth="1"/>
    <col min="18" max="20" width="12.5546875" customWidth="1"/>
    <col min="21" max="22" width="12.5546875" style="53" customWidth="1"/>
    <col min="23" max="23" width="2.5546875" style="53" customWidth="1"/>
    <col min="24" max="25" width="12.5546875" style="53" customWidth="1"/>
    <col min="26" max="29" width="12.44140625" style="53" customWidth="1"/>
    <col min="30" max="16384" width="9.109375" style="53"/>
  </cols>
  <sheetData>
    <row r="2" spans="2:30" ht="19.5" customHeight="1" x14ac:dyDescent="0.3">
      <c r="C2" s="198" t="s">
        <v>86</v>
      </c>
      <c r="D2" s="198"/>
      <c r="E2" s="198"/>
      <c r="F2" s="198"/>
      <c r="G2" s="198"/>
      <c r="H2" s="198"/>
      <c r="I2" s="198"/>
      <c r="J2" s="198"/>
      <c r="K2" s="198"/>
      <c r="L2" s="198"/>
    </row>
    <row r="3" spans="2:30" ht="15.6" x14ac:dyDescent="0.3">
      <c r="C3" s="42" t="s">
        <v>46</v>
      </c>
    </row>
    <row r="4" spans="2:30" s="99" customFormat="1" ht="45" x14ac:dyDescent="0.25">
      <c r="B4" s="98"/>
      <c r="C4" s="133" t="s">
        <v>0</v>
      </c>
      <c r="D4" s="133"/>
      <c r="E4" s="133" t="s">
        <v>1</v>
      </c>
      <c r="F4" s="133" t="s">
        <v>2</v>
      </c>
      <c r="G4" s="133" t="s">
        <v>3</v>
      </c>
      <c r="H4" s="133" t="s">
        <v>4</v>
      </c>
      <c r="I4" s="133" t="s">
        <v>5</v>
      </c>
      <c r="J4" s="133" t="s">
        <v>6</v>
      </c>
      <c r="K4" s="133" t="s">
        <v>7</v>
      </c>
      <c r="L4" s="134" t="s">
        <v>14</v>
      </c>
      <c r="M4" s="134"/>
    </row>
    <row r="5" spans="2:30" x14ac:dyDescent="0.25">
      <c r="C5" s="136"/>
      <c r="D5" s="137"/>
      <c r="E5" s="138">
        <v>10</v>
      </c>
      <c r="F5" s="276">
        <f>+'Capacity Delivered'!$I$5</f>
        <v>0.04</v>
      </c>
      <c r="G5" s="139" t="s">
        <v>8</v>
      </c>
      <c r="H5" s="140">
        <f>'Electric EES CE Std Energy'!D18</f>
        <v>4.1676848426425654E-2</v>
      </c>
      <c r="I5" s="141">
        <f>'Solar Avoided Capacity Calcs'!X16</f>
        <v>1.2342012265520707E-2</v>
      </c>
      <c r="J5" s="141">
        <f>H5+I5</f>
        <v>5.4018860691946363E-2</v>
      </c>
      <c r="K5" s="142">
        <f>J5</f>
        <v>5.4018860691946363E-2</v>
      </c>
      <c r="L5" s="143">
        <f>K5*1000</f>
        <v>54.018860691946365</v>
      </c>
      <c r="M5" s="127"/>
    </row>
    <row r="6" spans="2:30" ht="15.6" x14ac:dyDescent="0.3">
      <c r="C6" s="135"/>
      <c r="D6" s="135"/>
      <c r="E6" s="102"/>
      <c r="F6" s="102"/>
      <c r="G6" s="102"/>
      <c r="H6" s="32">
        <f>H5*1000</f>
        <v>41.676848426425657</v>
      </c>
      <c r="I6" s="32">
        <f t="shared" ref="I6:K6" si="0">I5*1000</f>
        <v>12.342012265520708</v>
      </c>
      <c r="J6" s="32">
        <f t="shared" si="0"/>
        <v>54.018860691946365</v>
      </c>
      <c r="K6" s="32">
        <f t="shared" si="0"/>
        <v>54.018860691946365</v>
      </c>
      <c r="L6" s="104">
        <f>L5*(1-M6)</f>
        <v>52.398294871187971</v>
      </c>
      <c r="M6" s="225">
        <v>0.03</v>
      </c>
      <c r="N6" s="105" t="s">
        <v>40</v>
      </c>
    </row>
    <row r="7" spans="2:30" x14ac:dyDescent="0.25">
      <c r="C7" s="106"/>
      <c r="D7" s="103"/>
      <c r="H7" s="40"/>
      <c r="I7" s="101"/>
      <c r="J7" s="40"/>
      <c r="K7" s="101"/>
      <c r="L7" s="101"/>
      <c r="M7" s="102"/>
    </row>
    <row r="8" spans="2:30" ht="15.6" x14ac:dyDescent="0.3">
      <c r="C8" s="102"/>
      <c r="D8" s="102"/>
      <c r="E8" s="102"/>
      <c r="F8" s="102"/>
      <c r="G8" s="102"/>
      <c r="H8" s="107"/>
      <c r="I8" s="107"/>
      <c r="J8" s="107"/>
      <c r="K8" s="107"/>
      <c r="L8" s="107"/>
      <c r="M8" s="107"/>
      <c r="N8" s="107"/>
      <c r="O8" s="107"/>
      <c r="P8" s="107"/>
      <c r="Q8" s="107"/>
      <c r="U8" s="108"/>
      <c r="V8" s="108"/>
      <c r="W8" s="107"/>
      <c r="X8" s="189" t="s">
        <v>76</v>
      </c>
      <c r="Y8" s="108"/>
      <c r="Z8" s="108"/>
    </row>
    <row r="9" spans="2:30" x14ac:dyDescent="0.25">
      <c r="C9" s="109" t="s">
        <v>9</v>
      </c>
      <c r="D9" s="109"/>
      <c r="E9" s="109"/>
      <c r="F9" s="110">
        <f>+L6</f>
        <v>52.398294871187971</v>
      </c>
      <c r="G9" s="110">
        <f t="shared" ref="G9:O9" si="1">F9</f>
        <v>52.398294871187971</v>
      </c>
      <c r="H9" s="110">
        <f t="shared" si="1"/>
        <v>52.398294871187971</v>
      </c>
      <c r="I9" s="110">
        <f t="shared" si="1"/>
        <v>52.398294871187971</v>
      </c>
      <c r="J9" s="110">
        <f t="shared" si="1"/>
        <v>52.398294871187971</v>
      </c>
      <c r="K9" s="110">
        <f t="shared" si="1"/>
        <v>52.398294871187971</v>
      </c>
      <c r="L9" s="110">
        <f t="shared" si="1"/>
        <v>52.398294871187971</v>
      </c>
      <c r="M9" s="110">
        <f t="shared" si="1"/>
        <v>52.398294871187971</v>
      </c>
      <c r="N9" s="110">
        <f t="shared" si="1"/>
        <v>52.398294871187971</v>
      </c>
      <c r="O9" s="110">
        <f t="shared" si="1"/>
        <v>52.398294871187971</v>
      </c>
      <c r="V9" s="40"/>
      <c r="X9" s="188">
        <f>NPV(Rate_of_Return,F9:O9)</f>
        <v>365.31714139434354</v>
      </c>
      <c r="Y9" s="188">
        <f>-PMT(Rate_of_Return,$E$5,X9)</f>
        <v>52.398294871187964</v>
      </c>
      <c r="Z9" s="40"/>
    </row>
    <row r="10" spans="2:30" x14ac:dyDescent="0.25">
      <c r="C10" s="102"/>
      <c r="D10" s="102"/>
      <c r="E10" s="102"/>
      <c r="F10" s="111"/>
      <c r="G10" s="111"/>
      <c r="H10" s="111"/>
      <c r="I10" s="111"/>
      <c r="J10" s="111"/>
      <c r="K10" s="111"/>
      <c r="L10" s="111"/>
      <c r="M10" s="111"/>
      <c r="N10" s="111"/>
      <c r="O10" s="111"/>
      <c r="P10" s="107"/>
      <c r="Q10" s="107"/>
      <c r="U10" s="108"/>
      <c r="V10" s="40"/>
      <c r="W10" s="107"/>
      <c r="X10" s="32"/>
      <c r="Y10" s="32"/>
      <c r="Z10" s="40"/>
    </row>
    <row r="11" spans="2:30" x14ac:dyDescent="0.25">
      <c r="C11" s="53" t="s">
        <v>58</v>
      </c>
      <c r="F11" s="193">
        <v>1</v>
      </c>
      <c r="G11" s="193">
        <v>2</v>
      </c>
      <c r="H11" s="193">
        <v>3</v>
      </c>
      <c r="I11" s="193">
        <v>4</v>
      </c>
      <c r="J11" s="193">
        <v>5</v>
      </c>
      <c r="K11" s="193">
        <v>6</v>
      </c>
      <c r="L11" s="193">
        <v>7</v>
      </c>
      <c r="M11" s="193">
        <v>8</v>
      </c>
      <c r="N11" s="193">
        <v>9</v>
      </c>
      <c r="O11" s="193">
        <v>10</v>
      </c>
      <c r="P11" s="193">
        <v>11</v>
      </c>
      <c r="Q11" s="193">
        <v>12</v>
      </c>
      <c r="V11" s="40"/>
      <c r="X11" s="40"/>
      <c r="Y11" s="40"/>
      <c r="Z11" s="40"/>
    </row>
    <row r="12" spans="2:30" ht="15.6" x14ac:dyDescent="0.3">
      <c r="C12" s="102"/>
      <c r="D12" s="100"/>
      <c r="E12" s="102"/>
      <c r="F12" s="112">
        <f>'Energy Prices'!$C$6</f>
        <v>2024</v>
      </c>
      <c r="G12" s="112">
        <f>F12+1</f>
        <v>2025</v>
      </c>
      <c r="H12" s="112">
        <f>G12+1</f>
        <v>2026</v>
      </c>
      <c r="I12" s="112">
        <f t="shared" ref="I12:O12" si="2">H12+1</f>
        <v>2027</v>
      </c>
      <c r="J12" s="112">
        <f t="shared" si="2"/>
        <v>2028</v>
      </c>
      <c r="K12" s="112">
        <f t="shared" si="2"/>
        <v>2029</v>
      </c>
      <c r="L12" s="112">
        <f t="shared" si="2"/>
        <v>2030</v>
      </c>
      <c r="M12" s="112">
        <f t="shared" si="2"/>
        <v>2031</v>
      </c>
      <c r="N12" s="112">
        <f t="shared" si="2"/>
        <v>2032</v>
      </c>
      <c r="O12" s="112">
        <f t="shared" si="2"/>
        <v>2033</v>
      </c>
      <c r="P12" s="112">
        <f>O12+1</f>
        <v>2034</v>
      </c>
      <c r="Q12" s="112">
        <f>P12+1</f>
        <v>2035</v>
      </c>
      <c r="U12" s="108"/>
      <c r="V12" s="191"/>
      <c r="W12" s="107"/>
      <c r="X12" s="189" t="s">
        <v>76</v>
      </c>
      <c r="Y12" s="32"/>
      <c r="Z12" s="108"/>
    </row>
    <row r="13" spans="2:30" ht="53.1" customHeight="1" x14ac:dyDescent="0.25">
      <c r="B13" s="102"/>
      <c r="C13" s="194" t="s">
        <v>80</v>
      </c>
      <c r="D13" s="102"/>
      <c r="F13" s="144">
        <f t="shared" ref="F13:O13" si="3">F$9*F$20</f>
        <v>47.430444447906588</v>
      </c>
      <c r="G13" s="145">
        <f t="shared" si="3"/>
        <v>48.616205559104245</v>
      </c>
      <c r="H13" s="146">
        <f t="shared" si="3"/>
        <v>49.831610698081846</v>
      </c>
      <c r="I13" s="146">
        <f t="shared" si="3"/>
        <v>51.077400965533883</v>
      </c>
      <c r="J13" s="146">
        <f t="shared" si="3"/>
        <v>52.354335989672236</v>
      </c>
      <c r="K13" s="146">
        <f t="shared" si="3"/>
        <v>53.663194389414038</v>
      </c>
      <c r="L13" s="146">
        <f t="shared" si="3"/>
        <v>55.004774249149378</v>
      </c>
      <c r="M13" s="146">
        <f t="shared" si="3"/>
        <v>56.379893605378108</v>
      </c>
      <c r="N13" s="146">
        <f t="shared" si="3"/>
        <v>57.789390945512558</v>
      </c>
      <c r="O13" s="146">
        <f t="shared" si="3"/>
        <v>59.234125719150363</v>
      </c>
      <c r="P13" s="190">
        <f>O13*1.025</f>
        <v>60.714978862129115</v>
      </c>
      <c r="Q13" s="190">
        <f>P13*1.025</f>
        <v>62.232853333682336</v>
      </c>
      <c r="V13" s="114"/>
      <c r="X13" s="188">
        <f>NPV(Rate_of_Return,F13:O13)</f>
        <v>365.31714139434359</v>
      </c>
      <c r="Y13" s="188">
        <f>-PMT(Rate_of_Return,$E$5,X13)</f>
        <v>52.398294871187971</v>
      </c>
      <c r="Z13" s="114"/>
      <c r="AD13" s="115"/>
    </row>
    <row r="14" spans="2:30" x14ac:dyDescent="0.25">
      <c r="C14" s="113"/>
      <c r="E14" s="116"/>
      <c r="F14" s="114"/>
      <c r="G14" s="114"/>
      <c r="H14" s="114"/>
      <c r="I14" s="114"/>
      <c r="J14" s="114"/>
      <c r="K14" s="114"/>
      <c r="L14" s="114"/>
      <c r="M14" s="114"/>
      <c r="N14" s="114"/>
      <c r="O14" s="114"/>
      <c r="P14" s="107"/>
      <c r="Q14" s="107"/>
      <c r="U14" s="108"/>
      <c r="V14" s="114"/>
      <c r="W14" s="107"/>
      <c r="X14" s="108"/>
      <c r="Y14" s="108"/>
      <c r="Z14" s="108"/>
    </row>
    <row r="15" spans="2:30" x14ac:dyDescent="0.25">
      <c r="C15" s="117"/>
      <c r="E15" s="116"/>
      <c r="F15" s="114"/>
      <c r="G15" s="114"/>
      <c r="H15" s="114"/>
      <c r="I15" s="114"/>
      <c r="J15" s="114"/>
      <c r="K15" s="114"/>
      <c r="L15" s="114"/>
      <c r="M15" s="114"/>
      <c r="N15" s="114"/>
      <c r="O15" s="114"/>
      <c r="V15" s="114"/>
      <c r="X15" s="108"/>
      <c r="Y15" s="108"/>
      <c r="Z15" s="108"/>
    </row>
    <row r="16" spans="2:30" x14ac:dyDescent="0.25">
      <c r="C16" s="53" t="s">
        <v>10</v>
      </c>
      <c r="P16" s="107"/>
      <c r="Q16" s="107"/>
      <c r="U16" s="108"/>
      <c r="W16" s="107"/>
    </row>
    <row r="18" spans="2:26" ht="15.6" x14ac:dyDescent="0.3">
      <c r="C18" s="102"/>
      <c r="D18" s="102"/>
      <c r="E18" s="102"/>
      <c r="F18" s="102"/>
      <c r="G18" s="102"/>
      <c r="H18" s="102"/>
      <c r="I18" s="102"/>
      <c r="J18" s="102"/>
      <c r="K18" s="102"/>
      <c r="L18" s="102"/>
      <c r="M18" s="102"/>
      <c r="N18" s="102"/>
      <c r="O18" s="102"/>
      <c r="P18" s="107"/>
      <c r="Q18" s="107"/>
      <c r="U18" s="108"/>
      <c r="W18" s="107"/>
      <c r="X18" s="189" t="s">
        <v>76</v>
      </c>
      <c r="Y18" s="102"/>
    </row>
    <row r="19" spans="2:26" x14ac:dyDescent="0.25">
      <c r="C19" s="109" t="s">
        <v>11</v>
      </c>
      <c r="D19" s="109"/>
      <c r="E19" s="109"/>
      <c r="F19" s="128">
        <v>100</v>
      </c>
      <c r="G19" s="128">
        <f t="shared" ref="G19:O19" si="4">F19*1.025</f>
        <v>102.49999999999999</v>
      </c>
      <c r="H19" s="128">
        <f t="shared" si="4"/>
        <v>105.06249999999997</v>
      </c>
      <c r="I19" s="128">
        <f t="shared" si="4"/>
        <v>107.68906249999996</v>
      </c>
      <c r="J19" s="128">
        <f t="shared" si="4"/>
        <v>110.38128906249996</v>
      </c>
      <c r="K19" s="128">
        <f t="shared" si="4"/>
        <v>113.14082128906244</v>
      </c>
      <c r="L19" s="128">
        <f t="shared" si="4"/>
        <v>115.96934182128899</v>
      </c>
      <c r="M19" s="128">
        <f t="shared" si="4"/>
        <v>118.8685753668212</v>
      </c>
      <c r="N19" s="128">
        <f t="shared" si="4"/>
        <v>121.84028975099173</v>
      </c>
      <c r="O19" s="128">
        <f t="shared" si="4"/>
        <v>124.88629699476651</v>
      </c>
      <c r="V19" s="118"/>
      <c r="X19" s="188">
        <f>NPV(Rate_of_Return,F19:O19)</f>
        <v>770.2165679589524</v>
      </c>
      <c r="Y19" s="188">
        <f>-PMT(Rate_of_Return,$E$5,X19)</f>
        <v>110.47396979114887</v>
      </c>
      <c r="Z19" s="108"/>
    </row>
    <row r="20" spans="2:26" x14ac:dyDescent="0.25">
      <c r="C20" s="131" t="s">
        <v>12</v>
      </c>
      <c r="D20" s="131"/>
      <c r="E20" s="131"/>
      <c r="F20" s="132">
        <f t="shared" ref="F20:O20" si="5">F19/$Y$19</f>
        <v>0.90519060905523785</v>
      </c>
      <c r="G20" s="132">
        <f t="shared" si="5"/>
        <v>0.92782037428161868</v>
      </c>
      <c r="H20" s="132">
        <f t="shared" si="5"/>
        <v>0.95101588363865908</v>
      </c>
      <c r="I20" s="132">
        <f t="shared" si="5"/>
        <v>0.9747912807296254</v>
      </c>
      <c r="J20" s="132">
        <f t="shared" si="5"/>
        <v>0.99916106274786609</v>
      </c>
      <c r="K20" s="132">
        <f t="shared" si="5"/>
        <v>1.0241400893165626</v>
      </c>
      <c r="L20" s="132">
        <f t="shared" si="5"/>
        <v>1.0497435915494766</v>
      </c>
      <c r="M20" s="132">
        <f t="shared" si="5"/>
        <v>1.0759871813382134</v>
      </c>
      <c r="N20" s="132">
        <f t="shared" si="5"/>
        <v>1.1028868608716687</v>
      </c>
      <c r="O20" s="132">
        <f t="shared" si="5"/>
        <v>1.1304590323934602</v>
      </c>
      <c r="P20" s="107"/>
      <c r="Q20" s="107"/>
      <c r="U20" s="108"/>
      <c r="V20" s="119"/>
      <c r="W20" s="107"/>
      <c r="X20" s="188">
        <f>NPV(Rate_of_Return,F20:O20)</f>
        <v>6.9719280425519923</v>
      </c>
      <c r="Y20" s="188">
        <f>-PMT(Rate_of_Return,$E$5,X20)</f>
        <v>1.0000000000000002</v>
      </c>
      <c r="Z20" s="108"/>
    </row>
    <row r="21" spans="2:26" x14ac:dyDescent="0.25">
      <c r="C21" s="102"/>
      <c r="D21" s="102"/>
      <c r="E21" s="129"/>
      <c r="F21" s="129"/>
      <c r="G21" s="129"/>
      <c r="H21" s="129"/>
      <c r="I21" s="129"/>
      <c r="J21" s="129"/>
      <c r="K21" s="129"/>
      <c r="L21" s="129"/>
      <c r="M21" s="130"/>
      <c r="N21" s="130"/>
      <c r="O21" s="130"/>
      <c r="P21" s="130"/>
      <c r="Q21" s="130"/>
      <c r="W21" s="130"/>
      <c r="X21" s="130"/>
      <c r="Y21" s="130"/>
    </row>
    <row r="22" spans="2:26" x14ac:dyDescent="0.25">
      <c r="B22" s="120" t="s">
        <v>13</v>
      </c>
      <c r="C22" s="121"/>
      <c r="D22" s="122"/>
      <c r="E22" s="122"/>
      <c r="F22" s="122"/>
      <c r="G22" s="122"/>
      <c r="H22" s="122"/>
      <c r="I22" s="122"/>
      <c r="J22" s="122"/>
      <c r="K22" s="122"/>
      <c r="L22" s="122"/>
      <c r="M22" s="122"/>
      <c r="N22" s="122"/>
      <c r="O22" s="122"/>
    </row>
    <row r="23" spans="2:26" x14ac:dyDescent="0.25">
      <c r="B23" s="123">
        <v>1</v>
      </c>
      <c r="C23" s="273" t="s">
        <v>111</v>
      </c>
      <c r="D23" s="122"/>
      <c r="E23" s="122"/>
      <c r="F23" s="122"/>
      <c r="G23" s="122"/>
      <c r="H23" s="122"/>
      <c r="I23" s="122"/>
      <c r="J23" s="122"/>
      <c r="K23" s="122"/>
      <c r="L23" s="122"/>
      <c r="M23" s="122"/>
      <c r="N23" s="122"/>
      <c r="O23" s="122"/>
    </row>
    <row r="24" spans="2:26" x14ac:dyDescent="0.25">
      <c r="B24" s="123">
        <v>2</v>
      </c>
      <c r="C24" s="122" t="s">
        <v>148</v>
      </c>
      <c r="D24" s="122"/>
      <c r="E24" s="122"/>
      <c r="F24" s="122"/>
      <c r="G24" s="122"/>
      <c r="H24" s="122"/>
      <c r="I24" s="122"/>
      <c r="J24" s="122"/>
      <c r="K24" s="122"/>
      <c r="L24" s="122"/>
      <c r="M24" s="122"/>
      <c r="N24" s="122"/>
      <c r="O24" s="122"/>
    </row>
    <row r="25" spans="2:26" x14ac:dyDescent="0.25">
      <c r="B25" s="123">
        <v>3</v>
      </c>
      <c r="C25" s="122" t="s">
        <v>47</v>
      </c>
      <c r="D25" s="122"/>
      <c r="E25" s="122"/>
      <c r="F25" s="122"/>
      <c r="G25" s="122"/>
      <c r="H25" s="122"/>
      <c r="I25" s="122"/>
      <c r="J25" s="122"/>
      <c r="K25" s="122"/>
      <c r="L25" s="122"/>
      <c r="M25" s="122"/>
      <c r="N25" s="122"/>
      <c r="O25" s="122"/>
    </row>
    <row r="26" spans="2:26" x14ac:dyDescent="0.25">
      <c r="B26" s="123">
        <v>4</v>
      </c>
      <c r="C26" s="122" t="s">
        <v>161</v>
      </c>
      <c r="D26" s="122"/>
      <c r="E26" s="122"/>
      <c r="F26" s="122"/>
      <c r="G26" s="122"/>
      <c r="H26" s="122"/>
      <c r="I26" s="122"/>
      <c r="J26" s="122"/>
      <c r="K26" s="122"/>
      <c r="L26" s="122"/>
      <c r="M26" s="122"/>
      <c r="N26" s="122"/>
      <c r="O26" s="122"/>
    </row>
    <row r="27" spans="2:26" x14ac:dyDescent="0.25">
      <c r="B27" s="123">
        <v>5</v>
      </c>
      <c r="C27" s="122" t="s">
        <v>81</v>
      </c>
      <c r="D27" s="122"/>
      <c r="E27" s="122"/>
      <c r="F27" s="122"/>
      <c r="G27" s="122"/>
      <c r="H27" s="122"/>
      <c r="I27" s="122"/>
      <c r="J27" s="122"/>
      <c r="K27" s="122"/>
      <c r="L27" s="122"/>
      <c r="M27" s="122"/>
      <c r="N27" s="122"/>
      <c r="O27" s="122"/>
    </row>
    <row r="28" spans="2:26" x14ac:dyDescent="0.25">
      <c r="B28" s="123">
        <v>6</v>
      </c>
      <c r="C28" s="122" t="s">
        <v>82</v>
      </c>
      <c r="D28" s="122"/>
      <c r="E28" s="122"/>
      <c r="F28" s="122"/>
      <c r="G28" s="122"/>
      <c r="H28" s="122"/>
      <c r="I28" s="122"/>
      <c r="J28" s="122"/>
      <c r="K28" s="122"/>
      <c r="L28" s="122"/>
      <c r="M28" s="122"/>
      <c r="N28" s="122"/>
      <c r="O28" s="122"/>
    </row>
    <row r="29" spans="2:26" x14ac:dyDescent="0.25">
      <c r="B29" s="123">
        <v>7</v>
      </c>
      <c r="C29" s="122" t="s">
        <v>83</v>
      </c>
      <c r="D29" s="122"/>
      <c r="E29" s="122"/>
      <c r="F29" s="122"/>
      <c r="G29" s="122"/>
      <c r="H29" s="122"/>
      <c r="I29" s="122"/>
      <c r="J29" s="122"/>
      <c r="K29" s="122"/>
      <c r="L29" s="122"/>
      <c r="M29" s="122"/>
      <c r="N29" s="122"/>
      <c r="O29" s="122"/>
      <c r="P29" s="122"/>
      <c r="Q29" s="122"/>
    </row>
    <row r="30" spans="2:26" x14ac:dyDescent="0.25">
      <c r="B30" s="123">
        <v>8</v>
      </c>
      <c r="C30" s="122" t="s">
        <v>53</v>
      </c>
      <c r="D30" s="122"/>
      <c r="E30" s="122"/>
      <c r="F30" s="122"/>
      <c r="G30" s="122"/>
      <c r="H30" s="122"/>
      <c r="I30" s="122"/>
      <c r="J30" s="122"/>
      <c r="K30" s="122"/>
      <c r="L30" s="122"/>
      <c r="M30" s="122"/>
      <c r="N30" s="122"/>
      <c r="O30" s="122"/>
      <c r="P30" s="122"/>
      <c r="Q30" s="122"/>
    </row>
    <row r="31" spans="2:26" x14ac:dyDescent="0.25">
      <c r="B31" s="123">
        <v>9</v>
      </c>
      <c r="C31" s="122" t="s">
        <v>84</v>
      </c>
      <c r="D31" s="122"/>
      <c r="E31" s="122"/>
      <c r="F31" s="122"/>
      <c r="G31" s="122"/>
      <c r="H31" s="122"/>
      <c r="I31" s="122"/>
      <c r="J31" s="122"/>
      <c r="K31" s="122"/>
      <c r="L31" s="122"/>
      <c r="M31" s="122"/>
      <c r="N31" s="122"/>
      <c r="O31" s="122"/>
      <c r="P31" s="122"/>
      <c r="Q31" s="122"/>
    </row>
    <row r="32" spans="2:26" x14ac:dyDescent="0.25">
      <c r="B32" s="123">
        <v>10</v>
      </c>
      <c r="C32" s="53" t="s">
        <v>85</v>
      </c>
    </row>
    <row r="33" spans="2:25" x14ac:dyDescent="0.25">
      <c r="B33" s="123">
        <v>11</v>
      </c>
      <c r="C33" s="53" t="s">
        <v>104</v>
      </c>
    </row>
    <row r="34" spans="2:25" ht="15.6" x14ac:dyDescent="0.3">
      <c r="B34" s="125"/>
      <c r="C34" s="5"/>
      <c r="D34" s="5"/>
      <c r="E34" s="5"/>
      <c r="F34" s="5"/>
    </row>
    <row r="35" spans="2:25" ht="15.6" x14ac:dyDescent="0.3">
      <c r="B35" s="125"/>
      <c r="C35" s="5"/>
      <c r="D35" s="5"/>
      <c r="E35" s="5"/>
      <c r="F35" s="5"/>
    </row>
    <row r="37" spans="2:25" x14ac:dyDescent="0.25">
      <c r="F37" s="108"/>
      <c r="G37" s="126"/>
      <c r="H37" s="126"/>
      <c r="I37" s="126"/>
      <c r="J37" s="126"/>
      <c r="K37" s="126"/>
      <c r="L37" s="126"/>
      <c r="M37" s="126"/>
      <c r="N37" s="126"/>
      <c r="O37" s="126"/>
      <c r="P37" s="126"/>
      <c r="Q37" s="126"/>
      <c r="W37" s="126"/>
      <c r="X37" s="126"/>
      <c r="Y37" s="126"/>
    </row>
    <row r="38" spans="2:25" x14ac:dyDescent="0.25">
      <c r="G38" s="126"/>
      <c r="H38" s="126"/>
      <c r="I38" s="126"/>
      <c r="J38" s="126"/>
      <c r="K38" s="126"/>
      <c r="L38" s="126"/>
      <c r="M38" s="126"/>
      <c r="N38" s="126"/>
      <c r="O38" s="126"/>
      <c r="P38" s="126"/>
      <c r="Q38" s="126"/>
      <c r="W38" s="126"/>
      <c r="X38" s="126"/>
      <c r="Y38" s="126"/>
    </row>
    <row r="39" spans="2:25" x14ac:dyDescent="0.25">
      <c r="F39" s="108"/>
      <c r="G39" s="108"/>
      <c r="H39" s="108"/>
      <c r="I39" s="108"/>
      <c r="J39" s="108"/>
      <c r="K39" s="108"/>
      <c r="L39" s="108"/>
      <c r="M39" s="108"/>
      <c r="N39" s="108"/>
      <c r="O39" s="108"/>
      <c r="P39" s="108"/>
      <c r="Q39" s="108"/>
      <c r="W39" s="108"/>
      <c r="X39" s="108"/>
      <c r="Y39" s="108"/>
    </row>
    <row r="40" spans="2:25" x14ac:dyDescent="0.25">
      <c r="D40" s="118"/>
    </row>
  </sheetData>
  <dataValidations count="3">
    <dataValidation type="decimal" operator="greaterThan" allowBlank="1" showInputMessage="1" showErrorMessage="1" sqref="C5:D5">
      <formula1>0</formula1>
    </dataValidation>
    <dataValidation type="list" allowBlank="1" showInputMessage="1" showErrorMessage="1" sqref="G5">
      <formula1>MeasureList</formula1>
    </dataValidation>
    <dataValidation type="list" allowBlank="1" showInputMessage="1" showErrorMessage="1" sqref="E5">
      <formula1>"1,2,3,4,5,6,7,8,9,10,11,12,13,14,15,16,17,18,19,20,21,22,23,24,25,26,27,28,29,30"</formula1>
    </dataValidation>
  </dataValidations>
  <pageMargins left="0.75" right="0.5" top="0.76" bottom="0.79" header="0.5" footer="0.26"/>
  <pageSetup scale="35" orientation="landscape" r:id="rId1"/>
  <headerFooter alignWithMargins="0">
    <oddFooter>&amp;L&amp;F&amp;C&amp;A&amp;RPSE Advice No. 2018-48 &amp;D
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9756EBDA8BC0084DAF13F355BEE58F9C" ma:contentTypeVersion="24" ma:contentTypeDescription="" ma:contentTypeScope="" ma:versionID="40622190820efa21f163d91c1f3cd39f">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3d1e58e9723df997e85f06fba2dda68"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2023-10-26T07:00:00+00:00</OpenedDate>
    <SignificantOrder xmlns="dc463f71-b30c-4ab2-9473-d307f9d35888">false</SignificantOrder>
    <Date1 xmlns="dc463f71-b30c-4ab2-9473-d307f9d35888">2023-10-26T07:00:00+00:00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230880</DocketNumber>
    <DelegatedOrder xmlns="dc463f71-b30c-4ab2-9473-d307f9d35888">false</DelegatedOrder>
  </documentManagement>
</p:properties>
</file>

<file path=customXml/itemProps1.xml><?xml version="1.0" encoding="utf-8"?>
<ds:datastoreItem xmlns:ds="http://schemas.openxmlformats.org/officeDocument/2006/customXml" ds:itemID="{4EE6CA19-EF93-49DA-AB38-75A2B471B70A}"/>
</file>

<file path=customXml/itemProps2.xml><?xml version="1.0" encoding="utf-8"?>
<ds:datastoreItem xmlns:ds="http://schemas.openxmlformats.org/officeDocument/2006/customXml" ds:itemID="{4DDFA863-52E6-4193-AB72-F2B969510D87}"/>
</file>

<file path=customXml/itemProps3.xml><?xml version="1.0" encoding="utf-8"?>
<ds:datastoreItem xmlns:ds="http://schemas.openxmlformats.org/officeDocument/2006/customXml" ds:itemID="{7AE01BA9-141D-41B1-9010-9F5A6F197A79}">
  <ds:schemaRefs>
    <ds:schemaRef ds:uri="http://schemas.microsoft.com/sharepoint/v3/contenttype/forms"/>
  </ds:schemaRefs>
</ds:datastoreItem>
</file>

<file path=customXml/itemProps4.xml><?xml version="1.0" encoding="utf-8"?>
<ds:datastoreItem xmlns:ds="http://schemas.openxmlformats.org/officeDocument/2006/customXml" ds:itemID="{03E0F919-B37F-4217-AEE8-BC978C1FFF41}">
  <ds:schemaRefs>
    <ds:schemaRef ds:uri="http://schemas.microsoft.com/office/infopath/2007/PartnerControls"/>
    <ds:schemaRef ds:uri="http://purl.org/dc/elements/1.1/"/>
    <ds:schemaRef ds:uri="http://schemas.microsoft.com/office/2006/metadata/properties"/>
    <ds:schemaRef ds:uri="dc463f71-b30c-4ab2-9473-d307f9d35888"/>
    <ds:schemaRef ds:uri="http://schemas.microsoft.com/sharepoint/v3"/>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15</vt:i4>
      </vt:variant>
    </vt:vector>
  </HeadingPairs>
  <TitlesOfParts>
    <vt:vector size="34" baseType="lpstr">
      <vt:lpstr>READ ME</vt:lpstr>
      <vt:lpstr>Comparison</vt:lpstr>
      <vt:lpstr>Output - Summary</vt:lpstr>
      <vt:lpstr>Output - 5yr Baseload</vt:lpstr>
      <vt:lpstr>Output - 10yr Baseload</vt:lpstr>
      <vt:lpstr>Output - 15yr Baseload</vt:lpstr>
      <vt:lpstr>Output - 10yr Wind</vt:lpstr>
      <vt:lpstr>Output - 15yr Wind</vt:lpstr>
      <vt:lpstr>Output - 10yr Solar</vt:lpstr>
      <vt:lpstr>Output - 15yr Solar</vt:lpstr>
      <vt:lpstr>Electric EES CE Std Energy</vt:lpstr>
      <vt:lpstr>FlatLoadShapeEnergy_perMWh</vt:lpstr>
      <vt:lpstr>Baseload Avoided Capacity Calcs</vt:lpstr>
      <vt:lpstr>Wind Avoided Capacity Calcs</vt:lpstr>
      <vt:lpstr>Solar Avoided Capacity Calcs</vt:lpstr>
      <vt:lpstr>Inputs-----&gt;</vt:lpstr>
      <vt:lpstr>Energy Prices</vt:lpstr>
      <vt:lpstr>Capacity Delivered</vt:lpstr>
      <vt:lpstr>Cost of Capital</vt:lpstr>
      <vt:lpstr>'Baseload Avoided Capacity Calcs'!Print_Area</vt:lpstr>
      <vt:lpstr>'Capacity Delivered'!Print_Area</vt:lpstr>
      <vt:lpstr>'Electric EES CE Std Energy'!Print_Area</vt:lpstr>
      <vt:lpstr>FlatLoadShapeEnergy_perMWh!Print_Area</vt:lpstr>
      <vt:lpstr>'Output - 10yr Baseload'!Print_Area</vt:lpstr>
      <vt:lpstr>'Output - 10yr Solar'!Print_Area</vt:lpstr>
      <vt:lpstr>'Output - 10yr Wind'!Print_Area</vt:lpstr>
      <vt:lpstr>'Output - 15yr Baseload'!Print_Area</vt:lpstr>
      <vt:lpstr>'Output - 15yr Solar'!Print_Area</vt:lpstr>
      <vt:lpstr>'Output - 15yr Wind'!Print_Area</vt:lpstr>
      <vt:lpstr>'Output - 5yr Baseload'!Print_Area</vt:lpstr>
      <vt:lpstr>'Output - Summary'!Print_Area</vt:lpstr>
      <vt:lpstr>'Solar Avoided Capacity Calcs'!Print_Area</vt:lpstr>
      <vt:lpstr>'Wind Avoided Capacity Calcs'!Print_Area</vt:lpstr>
      <vt:lpstr>Rate_of_Return</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Elsea</dc:creator>
  <cp:lastModifiedBy>Cass, Mei</cp:lastModifiedBy>
  <cp:lastPrinted>2019-09-23T18:45:11Z</cp:lastPrinted>
  <dcterms:created xsi:type="dcterms:W3CDTF">2011-10-18T17:21:29Z</dcterms:created>
  <dcterms:modified xsi:type="dcterms:W3CDTF">2023-10-20T22:13:38Z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0x0101006E56B4D1795A2E4DB2F0B01679ED314A009756EBDA8BC0084DAF13F355BEE58F9C</vt:lpwstr>
  </property>
  <property fmtid="{D5CDD505-2E9C-101B-9397-08002B2CF9AE}" pid="3" name="_docset_NoMedatataSyncRequired">
    <vt:lpwstr>False</vt:lpwstr>
  </property>
  <property fmtid="{D5CDD505-2E9C-101B-9397-08002B2CF9AE}" pid="4" name="IsEFSEC">
    <vt:bool>false</vt:bool>
  </property>
</Properties>
</file>