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M:\2023\2023 WA Sch 59 BPA Res Ex Tariff Filing\For Filing\"/>
    </mc:Choice>
  </mc:AlternateContent>
  <xr:revisionPtr revIDLastSave="0" documentId="13_ncr:1_{BC32614D-0D37-4626-91FE-ACD8962E7523}" xr6:coauthVersionLast="47" xr6:coauthVersionMax="47" xr10:uidLastSave="{00000000-0000-0000-0000-000000000000}"/>
  <bookViews>
    <workbookView xWindow="25845" yWindow="150" windowWidth="25485" windowHeight="10800" tabRatio="765" xr2:uid="{00000000-000D-0000-FFFF-FFFF00000000}"/>
  </bookViews>
  <sheets>
    <sheet name="Proposed ResEx Rate" sheetId="6" r:id="rId1"/>
    <sheet name="Washington ResX Balances" sheetId="5" r:id="rId2"/>
    <sheet name="Projected Benefits" sheetId="3" r:id="rId3"/>
    <sheet name="Projected kWhs" sheetId="1" r:id="rId4"/>
    <sheet name="Load Calculation" sheetId="11" r:id="rId5"/>
    <sheet name="July Unbilled" sheetId="12" r:id="rId6"/>
    <sheet name="Conversion Factor" sheetId="14" r:id="rId7"/>
    <sheet name="Table" sheetId="13" r:id="rId8"/>
  </sheets>
  <definedNames>
    <definedName name="Base1_Billing2" localSheetId="6">#REF!</definedName>
    <definedName name="Base1_Billing2">#REF!</definedName>
    <definedName name="_xlnm.Print_Area" localSheetId="2">'Projected Benefits'!$A$1:$L$24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3" l="1"/>
  <c r="K19" i="13"/>
  <c r="K11" i="13" l="1"/>
  <c r="K17" i="13"/>
  <c r="D15" i="13"/>
  <c r="G21" i="6"/>
  <c r="L41" i="6" l="1"/>
  <c r="G7" i="6" l="1"/>
  <c r="K44" i="6" l="1"/>
  <c r="I19" i="13" l="1"/>
  <c r="K24" i="13" l="1"/>
  <c r="K26" i="13" s="1"/>
  <c r="K47" i="6" l="1"/>
  <c r="D16" i="3" l="1"/>
  <c r="F15" i="13" l="1"/>
  <c r="F16" i="13" s="1"/>
  <c r="D14" i="13"/>
  <c r="D8" i="13"/>
  <c r="I8" i="13" s="1"/>
  <c r="E16" i="13"/>
  <c r="H14" i="13" l="1"/>
  <c r="I14" i="13" s="1"/>
  <c r="D26" i="13"/>
  <c r="I21" i="13"/>
  <c r="K16" i="13"/>
  <c r="D8" i="3"/>
  <c r="D7" i="3"/>
  <c r="C14" i="12"/>
  <c r="N59" i="1"/>
  <c r="K20" i="13" l="1"/>
  <c r="K21" i="13" s="1"/>
  <c r="K8" i="13"/>
  <c r="K12" i="13" s="1"/>
  <c r="B27" i="1"/>
  <c r="F19" i="14" l="1"/>
  <c r="F21" i="14" s="1"/>
  <c r="N47" i="1" l="1"/>
  <c r="N49" i="1"/>
  <c r="B9" i="1" l="1"/>
  <c r="F24" i="11"/>
  <c r="E24" i="11"/>
  <c r="M16" i="11"/>
  <c r="K17" i="11"/>
  <c r="K14" i="11"/>
  <c r="J14" i="11"/>
  <c r="H15" i="11"/>
  <c r="H16" i="11"/>
  <c r="H17" i="11"/>
  <c r="H18" i="11"/>
  <c r="H14" i="11"/>
  <c r="D7" i="11"/>
  <c r="D21" i="12" l="1"/>
  <c r="C18" i="1" l="1"/>
  <c r="D18" i="1"/>
  <c r="B18" i="1"/>
  <c r="C9" i="1"/>
  <c r="D9" i="1"/>
  <c r="E9" i="1"/>
  <c r="F9" i="1"/>
  <c r="G9" i="1"/>
  <c r="H9" i="1"/>
  <c r="I9" i="1"/>
  <c r="J9" i="1"/>
  <c r="K9" i="1"/>
  <c r="L9" i="1"/>
  <c r="M9" i="1"/>
  <c r="C67" i="1" l="1"/>
  <c r="D67" i="1" s="1"/>
  <c r="D23" i="1" l="1"/>
  <c r="H15" i="1"/>
  <c r="C23" i="1"/>
  <c r="I15" i="1"/>
  <c r="L15" i="1"/>
  <c r="B15" i="1"/>
  <c r="B23" i="1"/>
  <c r="J15" i="1"/>
  <c r="K15" i="1"/>
  <c r="C15" i="1"/>
  <c r="G15" i="1"/>
  <c r="D15" i="1"/>
  <c r="E15" i="1"/>
  <c r="M15" i="1"/>
  <c r="F15" i="1"/>
  <c r="G13" i="6"/>
  <c r="K7" i="11" l="1"/>
  <c r="F32" i="5" l="1"/>
  <c r="D88" i="1" l="1"/>
  <c r="D22" i="1" s="1"/>
  <c r="C88" i="1"/>
  <c r="C22" i="1" s="1"/>
  <c r="B88" i="1"/>
  <c r="B22" i="1" s="1"/>
  <c r="D87" i="1"/>
  <c r="D21" i="1" s="1"/>
  <c r="C87" i="1"/>
  <c r="C21" i="1" s="1"/>
  <c r="B87" i="1"/>
  <c r="B21" i="1" s="1"/>
  <c r="D86" i="1"/>
  <c r="D20" i="1" s="1"/>
  <c r="C86" i="1"/>
  <c r="C20" i="1" s="1"/>
  <c r="B86" i="1"/>
  <c r="B20" i="1" s="1"/>
  <c r="D85" i="1"/>
  <c r="D19" i="1" s="1"/>
  <c r="C85" i="1"/>
  <c r="C19" i="1" s="1"/>
  <c r="B85" i="1"/>
  <c r="B19" i="1" s="1"/>
  <c r="C62" i="1"/>
  <c r="C12" i="1" s="1"/>
  <c r="D62" i="1"/>
  <c r="D12" i="1" s="1"/>
  <c r="E62" i="1"/>
  <c r="E12" i="1" s="1"/>
  <c r="F62" i="1"/>
  <c r="F12" i="1" s="1"/>
  <c r="G62" i="1"/>
  <c r="G12" i="1" s="1"/>
  <c r="H62" i="1"/>
  <c r="H12" i="1" s="1"/>
  <c r="I62" i="1"/>
  <c r="I12" i="1" s="1"/>
  <c r="J62" i="1"/>
  <c r="J12" i="1" s="1"/>
  <c r="K62" i="1"/>
  <c r="K12" i="1" s="1"/>
  <c r="L62" i="1"/>
  <c r="L12" i="1" s="1"/>
  <c r="M62" i="1"/>
  <c r="M12" i="1" s="1"/>
  <c r="C63" i="1"/>
  <c r="C13" i="1" s="1"/>
  <c r="D63" i="1"/>
  <c r="D13" i="1" s="1"/>
  <c r="E63" i="1"/>
  <c r="F63" i="1"/>
  <c r="F13" i="1" s="1"/>
  <c r="G63" i="1"/>
  <c r="G13" i="1" s="1"/>
  <c r="H63" i="1"/>
  <c r="H13" i="1" s="1"/>
  <c r="I63" i="1"/>
  <c r="I13" i="1" s="1"/>
  <c r="J63" i="1"/>
  <c r="J13" i="1" s="1"/>
  <c r="K63" i="1"/>
  <c r="K13" i="1" s="1"/>
  <c r="L63" i="1"/>
  <c r="L13" i="1" s="1"/>
  <c r="M63" i="1"/>
  <c r="M13" i="1" s="1"/>
  <c r="C64" i="1"/>
  <c r="C14" i="1" s="1"/>
  <c r="D64" i="1"/>
  <c r="D14" i="1" s="1"/>
  <c r="E64" i="1"/>
  <c r="E14" i="1" s="1"/>
  <c r="F64" i="1"/>
  <c r="F14" i="1" s="1"/>
  <c r="G64" i="1"/>
  <c r="G14" i="1" s="1"/>
  <c r="H64" i="1"/>
  <c r="H14" i="1" s="1"/>
  <c r="I64" i="1"/>
  <c r="I14" i="1" s="1"/>
  <c r="J64" i="1"/>
  <c r="J14" i="1" s="1"/>
  <c r="K64" i="1"/>
  <c r="K14" i="1" s="1"/>
  <c r="L64" i="1"/>
  <c r="L14" i="1" s="1"/>
  <c r="M64" i="1"/>
  <c r="M14" i="1" s="1"/>
  <c r="B64" i="1"/>
  <c r="B14" i="1" s="1"/>
  <c r="B63" i="1"/>
  <c r="B13" i="1" s="1"/>
  <c r="B62" i="1"/>
  <c r="B12" i="1" s="1"/>
  <c r="C61" i="1"/>
  <c r="C11" i="1" s="1"/>
  <c r="D61" i="1"/>
  <c r="D11" i="1" s="1"/>
  <c r="E61" i="1"/>
  <c r="E11" i="1" s="1"/>
  <c r="F61" i="1"/>
  <c r="F11" i="1" s="1"/>
  <c r="G61" i="1"/>
  <c r="G11" i="1" s="1"/>
  <c r="H61" i="1"/>
  <c r="H11" i="1" s="1"/>
  <c r="I61" i="1"/>
  <c r="I11" i="1" s="1"/>
  <c r="J61" i="1"/>
  <c r="J11" i="1" s="1"/>
  <c r="K61" i="1"/>
  <c r="K11" i="1" s="1"/>
  <c r="L61" i="1"/>
  <c r="L11" i="1" s="1"/>
  <c r="M61" i="1"/>
  <c r="M11" i="1" s="1"/>
  <c r="B61" i="1"/>
  <c r="B11" i="1" s="1"/>
  <c r="N63" i="1" l="1"/>
  <c r="E13" i="1"/>
  <c r="C16" i="1"/>
  <c r="N61" i="1"/>
  <c r="N64" i="1"/>
  <c r="N62" i="1"/>
  <c r="N58" i="1"/>
  <c r="N57" i="1"/>
  <c r="N56" i="1"/>
  <c r="N55" i="1"/>
  <c r="N53" i="1"/>
  <c r="N52" i="1"/>
  <c r="N50" i="1"/>
  <c r="G32" i="6" l="1"/>
  <c r="G31" i="6" l="1"/>
  <c r="F31" i="5" l="1"/>
  <c r="C25" i="1" l="1"/>
  <c r="N14" i="1"/>
  <c r="C18" i="12" l="1"/>
  <c r="C17" i="12"/>
  <c r="C16" i="12"/>
  <c r="C15" i="12"/>
  <c r="B20" i="12" l="1"/>
  <c r="D18" i="12"/>
  <c r="D17" i="12"/>
  <c r="D16" i="12"/>
  <c r="D15" i="12"/>
  <c r="D14" i="12"/>
  <c r="D20" i="12" l="1"/>
  <c r="G26" i="6" l="1"/>
  <c r="F10" i="5"/>
  <c r="N12" i="1" l="1"/>
  <c r="N13" i="1"/>
  <c r="N15" i="1"/>
  <c r="G7" i="11"/>
  <c r="L7" i="11"/>
  <c r="D8" i="11"/>
  <c r="G8" i="11"/>
  <c r="H8" i="11" s="1"/>
  <c r="J8" i="11" s="1"/>
  <c r="K8" i="11"/>
  <c r="L8" i="11"/>
  <c r="D9" i="11"/>
  <c r="G9" i="11"/>
  <c r="K9" i="11"/>
  <c r="L9" i="11"/>
  <c r="D10" i="11"/>
  <c r="G10" i="11"/>
  <c r="H10" i="11" s="1"/>
  <c r="J10" i="11" s="1"/>
  <c r="K10" i="11"/>
  <c r="L10" i="11"/>
  <c r="D11" i="11"/>
  <c r="K11" i="11"/>
  <c r="F19" i="11"/>
  <c r="D12" i="11"/>
  <c r="G12" i="11"/>
  <c r="K12" i="11"/>
  <c r="L12" i="11"/>
  <c r="D13" i="11"/>
  <c r="G13" i="11"/>
  <c r="H13" i="11" s="1"/>
  <c r="J13" i="11" s="1"/>
  <c r="K13" i="11"/>
  <c r="L13" i="11"/>
  <c r="D14" i="11"/>
  <c r="G14" i="11"/>
  <c r="L14" i="11"/>
  <c r="D15" i="11"/>
  <c r="G15" i="11"/>
  <c r="K15" i="11"/>
  <c r="L15" i="11"/>
  <c r="D16" i="11"/>
  <c r="G16" i="11"/>
  <c r="K16" i="11"/>
  <c r="L16" i="11"/>
  <c r="D17" i="11"/>
  <c r="G17" i="11"/>
  <c r="L17" i="11"/>
  <c r="C19" i="11"/>
  <c r="G18" i="11"/>
  <c r="H9" i="11" l="1"/>
  <c r="J9" i="11" s="1"/>
  <c r="M17" i="11"/>
  <c r="M13" i="11"/>
  <c r="H12" i="11"/>
  <c r="J12" i="11" s="1"/>
  <c r="J17" i="11"/>
  <c r="M9" i="11"/>
  <c r="M8" i="11"/>
  <c r="E19" i="11"/>
  <c r="D18" i="11"/>
  <c r="D19" i="11" s="1"/>
  <c r="M15" i="11"/>
  <c r="M14" i="11"/>
  <c r="J18" i="11"/>
  <c r="L18" i="11"/>
  <c r="J16" i="11"/>
  <c r="J15" i="11"/>
  <c r="M12" i="11"/>
  <c r="M10" i="11"/>
  <c r="H7" i="11"/>
  <c r="L11" i="11"/>
  <c r="M11" i="11" s="1"/>
  <c r="G11" i="11"/>
  <c r="H11" i="11" s="1"/>
  <c r="J11" i="11" s="1"/>
  <c r="B19" i="11"/>
  <c r="K18" i="11"/>
  <c r="M18" i="11" l="1"/>
  <c r="G19" i="11"/>
  <c r="L19" i="11"/>
  <c r="K19" i="11"/>
  <c r="M7" i="11"/>
  <c r="J7" i="11"/>
  <c r="J19" i="11" s="1"/>
  <c r="H19" i="11"/>
  <c r="M19" i="11" l="1"/>
  <c r="K20" i="11" s="1"/>
  <c r="L20" i="11"/>
  <c r="M20" i="11" l="1"/>
  <c r="A19" i="1"/>
  <c r="A20" i="1"/>
  <c r="A21" i="1"/>
  <c r="A22" i="1"/>
  <c r="A23" i="1"/>
  <c r="A24" i="1"/>
  <c r="D25" i="1"/>
  <c r="D14" i="3" l="1"/>
  <c r="D9" i="3" l="1"/>
  <c r="D17" i="3" l="1"/>
  <c r="F9" i="3" s="1"/>
  <c r="E7" i="3"/>
  <c r="E8" i="3"/>
  <c r="F7" i="3" l="1"/>
  <c r="F8" i="3"/>
  <c r="E36" i="6"/>
  <c r="E9" i="3" l="1"/>
  <c r="G33" i="6" l="1"/>
  <c r="G34" i="6" s="1"/>
  <c r="F14" i="5"/>
  <c r="F18" i="5" s="1"/>
  <c r="H16" i="1" l="1"/>
  <c r="B16" i="1"/>
  <c r="K16" i="1"/>
  <c r="D16" i="1"/>
  <c r="M16" i="1"/>
  <c r="L16" i="1"/>
  <c r="J16" i="1"/>
  <c r="N11" i="1"/>
  <c r="N16" i="1" s="1"/>
  <c r="G16" i="1"/>
  <c r="I16" i="1"/>
  <c r="F16" i="1"/>
  <c r="E16" i="1"/>
  <c r="G17" i="6" l="1"/>
  <c r="D24" i="1"/>
  <c r="D26" i="1" s="1"/>
  <c r="B24" i="1"/>
  <c r="B26" i="1" s="1"/>
  <c r="C24" i="1"/>
  <c r="C26" i="1" s="1"/>
  <c r="D22" i="12" l="1"/>
  <c r="F16" i="5" s="1"/>
  <c r="F33" i="5" s="1"/>
  <c r="D27" i="1"/>
  <c r="D28" i="1" s="1"/>
  <c r="F25" i="5" s="1"/>
  <c r="B28" i="1" l="1"/>
  <c r="F17" i="5" s="1"/>
  <c r="F19" i="5" s="1"/>
  <c r="C27" i="1"/>
  <c r="C28" i="1" s="1"/>
  <c r="F21" i="5" s="1"/>
  <c r="F34" i="5" s="1"/>
  <c r="F22" i="5" l="1"/>
  <c r="F23" i="5" l="1"/>
  <c r="F26" i="5" s="1"/>
  <c r="F27" i="5" s="1"/>
  <c r="F35" i="5" l="1"/>
  <c r="F36" i="5" s="1"/>
  <c r="G9" i="6" l="1"/>
  <c r="G11" i="6" s="1"/>
  <c r="G15" i="6" s="1"/>
  <c r="G19" i="6" s="1"/>
  <c r="K48" i="6" s="1"/>
  <c r="G25" i="6" l="1"/>
  <c r="D16" i="13" l="1"/>
  <c r="H15" i="13"/>
  <c r="G27" i="6"/>
  <c r="F24" i="13" l="1"/>
  <c r="D27" i="13"/>
  <c r="M41" i="6"/>
  <c r="L47" i="6"/>
  <c r="M47" i="6" s="1"/>
  <c r="L46" i="6"/>
  <c r="M46" i="6" s="1"/>
  <c r="L45" i="6"/>
  <c r="M45" i="6" s="1"/>
  <c r="L42" i="6"/>
  <c r="M42" i="6" s="1"/>
  <c r="L43" i="6"/>
  <c r="M43" i="6" s="1"/>
  <c r="F36" i="6"/>
  <c r="G36" i="6" s="1"/>
  <c r="G38" i="6" s="1"/>
  <c r="C38" i="6" l="1"/>
  <c r="C36" i="6"/>
</calcChain>
</file>

<file path=xl/sharedStrings.xml><?xml version="1.0" encoding="utf-8"?>
<sst xmlns="http://schemas.openxmlformats.org/spreadsheetml/2006/main" count="228" uniqueCount="159">
  <si>
    <t>Total</t>
  </si>
  <si>
    <t>November</t>
  </si>
  <si>
    <t>Avista Utilities</t>
  </si>
  <si>
    <t>Percent</t>
  </si>
  <si>
    <t>Rate</t>
  </si>
  <si>
    <t>Revenue</t>
  </si>
  <si>
    <t>CF</t>
  </si>
  <si>
    <t>Amort</t>
  </si>
  <si>
    <t>Projected Kilowatt-hours</t>
  </si>
  <si>
    <t>$ (000's)</t>
  </si>
  <si>
    <t>and Residential Exchange Amortization</t>
  </si>
  <si>
    <t>Purchase at ASC</t>
  </si>
  <si>
    <t>Sale at PF Exchange Rate</t>
  </si>
  <si>
    <t>WA Credit Amount</t>
  </si>
  <si>
    <t>ID Credit Amount</t>
  </si>
  <si>
    <t xml:space="preserve">   Total</t>
  </si>
  <si>
    <t>Avista Corporation</t>
  </si>
  <si>
    <t>Actual and Projected</t>
  </si>
  <si>
    <t>Balance</t>
  </si>
  <si>
    <t>May credit received in July</t>
  </si>
  <si>
    <t>Amortization</t>
  </si>
  <si>
    <t>Interest</t>
  </si>
  <si>
    <t>June credit received in August</t>
  </si>
  <si>
    <t>July credit received in September</t>
  </si>
  <si>
    <t>(Actual)</t>
  </si>
  <si>
    <t>(Projected)</t>
  </si>
  <si>
    <t>August credit received in October</t>
  </si>
  <si>
    <t>Proposed Rate</t>
  </si>
  <si>
    <t>Check</t>
  </si>
  <si>
    <t>Credits to be received</t>
  </si>
  <si>
    <t>Net benefit for rate adjustment</t>
  </si>
  <si>
    <t>Revenue requirement</t>
  </si>
  <si>
    <t>Proposed rate</t>
  </si>
  <si>
    <t>Rate Impact</t>
  </si>
  <si>
    <t>Proposed rate credit above</t>
  </si>
  <si>
    <t>Existing rate credit</t>
  </si>
  <si>
    <t xml:space="preserve">   Difference</t>
  </si>
  <si>
    <t>Basic charge</t>
  </si>
  <si>
    <t xml:space="preserve">   Rounded</t>
  </si>
  <si>
    <t>April credit received in June</t>
  </si>
  <si>
    <t>Projected Residential Exchange Program Benefits</t>
  </si>
  <si>
    <t>October</t>
  </si>
  <si>
    <t>Credit</t>
  </si>
  <si>
    <t xml:space="preserve">Avista Corp. </t>
  </si>
  <si>
    <t>BPA Residential Exchange Load Calculation</t>
  </si>
  <si>
    <t>Average</t>
  </si>
  <si>
    <t xml:space="preserve">Total </t>
  </si>
  <si>
    <t>WA</t>
  </si>
  <si>
    <t>ID</t>
  </si>
  <si>
    <t>August</t>
  </si>
  <si>
    <t>September</t>
  </si>
  <si>
    <t>December</t>
  </si>
  <si>
    <t>Projected Loads</t>
  </si>
  <si>
    <t>Total Credit</t>
  </si>
  <si>
    <t>Conversion factor</t>
  </si>
  <si>
    <t>Residential Exchange - State of Washington</t>
  </si>
  <si>
    <t>Washington Residential Exchange Account</t>
  </si>
  <si>
    <t>WA001</t>
  </si>
  <si>
    <t>WA012</t>
  </si>
  <si>
    <t>WA022</t>
  </si>
  <si>
    <t>WA032</t>
  </si>
  <si>
    <t>WA048</t>
  </si>
  <si>
    <t>State of Washington</t>
  </si>
  <si>
    <t>KWH (1)</t>
  </si>
  <si>
    <t>First 800 kWh</t>
  </si>
  <si>
    <t>Over 800 kWh</t>
  </si>
  <si>
    <t>Accounting Adjustment</t>
  </si>
  <si>
    <t>CLEG ADJUSTMENTS</t>
  </si>
  <si>
    <t>July</t>
  </si>
  <si>
    <t>June</t>
  </si>
  <si>
    <t>May</t>
  </si>
  <si>
    <t>April</t>
  </si>
  <si>
    <t>March</t>
  </si>
  <si>
    <t>February</t>
  </si>
  <si>
    <t>January</t>
  </si>
  <si>
    <t>Immaterial Difference</t>
  </si>
  <si>
    <t>Percent rate</t>
  </si>
  <si>
    <t>AVISTA CORPORATION</t>
  </si>
  <si>
    <t>RESIDENTIAL &amp; FARM ENERGY RATE ADJUSTMENT CREDIT</t>
  </si>
  <si>
    <t>Credit Rate</t>
  </si>
  <si>
    <t>On/After</t>
  </si>
  <si>
    <t>Schedule</t>
  </si>
  <si>
    <t>kWh</t>
  </si>
  <si>
    <t>(a)</t>
  </si>
  <si>
    <t>(e)</t>
  </si>
  <si>
    <t>(g)</t>
  </si>
  <si>
    <t>a*c*e=g</t>
  </si>
  <si>
    <t>Schedule Totals</t>
  </si>
  <si>
    <t>kWh (000's)</t>
  </si>
  <si>
    <t>Amortization Adjustment - July Unbilled</t>
  </si>
  <si>
    <t>JULY UNBILLED</t>
  </si>
  <si>
    <t>Present</t>
  </si>
  <si>
    <t>1/2</t>
  </si>
  <si>
    <t>Per Verification E-mail sent to BPA 2.19</t>
  </si>
  <si>
    <t>Total Present Billed Revenue</t>
  </si>
  <si>
    <t>WA011</t>
  </si>
  <si>
    <t>WA021</t>
  </si>
  <si>
    <t>WA025</t>
  </si>
  <si>
    <t>WA031</t>
  </si>
  <si>
    <t>WA04X</t>
  </si>
  <si>
    <t>Estimated over-refunded balance at end of existing rate</t>
  </si>
  <si>
    <t>Residential</t>
  </si>
  <si>
    <t>General Service</t>
  </si>
  <si>
    <t>11/12/13</t>
  </si>
  <si>
    <t>Large General Service</t>
  </si>
  <si>
    <t>21/22/23</t>
  </si>
  <si>
    <t>Extra Large General Service</t>
  </si>
  <si>
    <t>Pumping Service</t>
  </si>
  <si>
    <t>30/31/32</t>
  </si>
  <si>
    <t>Street &amp; Area Lights</t>
  </si>
  <si>
    <t>41-48</t>
  </si>
  <si>
    <t>Projected kWh 11/1/22 - 10/31/23</t>
  </si>
  <si>
    <t>November 1, 2023 - October 31, 2024</t>
  </si>
  <si>
    <t xml:space="preserve">JULY 2023 WASHINGTON ELECTRIC </t>
  </si>
  <si>
    <t>418,801,445</t>
  </si>
  <si>
    <t>430,263,572</t>
  </si>
  <si>
    <t>317,825,895</t>
  </si>
  <si>
    <t>273,566,623</t>
  </si>
  <si>
    <t>268,443,327</t>
  </si>
  <si>
    <t>369,713,867</t>
  </si>
  <si>
    <t>283,005,946</t>
  </si>
  <si>
    <t>254,896,410</t>
  </si>
  <si>
    <t>306,989,036</t>
  </si>
  <si>
    <t>410,968,484</t>
  </si>
  <si>
    <t>AVISTA UTILITIES</t>
  </si>
  <si>
    <t>Settlement Revenue Conversion Factor</t>
  </si>
  <si>
    <t>TWELVE MONTHS ENDED JUNE 30, 2022</t>
  </si>
  <si>
    <t xml:space="preserve">Line </t>
  </si>
  <si>
    <t>No.</t>
  </si>
  <si>
    <t>Description</t>
  </si>
  <si>
    <t>Factor</t>
  </si>
  <si>
    <t>Revenues</t>
  </si>
  <si>
    <t>Expenses:</t>
  </si>
  <si>
    <t xml:space="preserve">  Uncollectibles</t>
  </si>
  <si>
    <t xml:space="preserve">  Commission Fees</t>
  </si>
  <si>
    <t xml:space="preserve">    Total Expenses</t>
  </si>
  <si>
    <t>Net Operating Income Before FIT</t>
  </si>
  <si>
    <t>Case No. UE-220053: Per Final Stipulation &amp; Settlement</t>
  </si>
  <si>
    <t>Washington Excise Tax</t>
  </si>
  <si>
    <t>Balance 5/31/23 (Actual)</t>
  </si>
  <si>
    <t>Change in Benefit</t>
  </si>
  <si>
    <t>Proposed</t>
  </si>
  <si>
    <t>Load Difference</t>
  </si>
  <si>
    <t>Projected kWh 10/1/23 - 9/30/24</t>
  </si>
  <si>
    <t>Over-refunded Balance</t>
  </si>
  <si>
    <t>2023 Projected Balance</t>
  </si>
  <si>
    <t>Washington portion of benefit amount</t>
  </si>
  <si>
    <t>Total Oct-23 thru Sep-24</t>
  </si>
  <si>
    <t>(1) Average of 2021 and 2022 qualifying kilowatt-hours by state.</t>
  </si>
  <si>
    <t>Bill for 932 kWh at present rates with all adders</t>
  </si>
  <si>
    <t>Washington - Electric System</t>
  </si>
  <si>
    <t>Before 11/1/23</t>
  </si>
  <si>
    <t>Benefit Change</t>
  </si>
  <si>
    <t>Prior Revenue Credit</t>
  </si>
  <si>
    <t>Proposed Revenue Credit</t>
  </si>
  <si>
    <t>Difference</t>
  </si>
  <si>
    <t>Washington portion of 2023 fiscal year benefit amount</t>
  </si>
  <si>
    <t>Present Over-refunded balance</t>
  </si>
  <si>
    <t>Prior Over-refunded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</si>
</sst>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5" formatCode="&quot;$&quot;#,##0_);\(&quot;$&quot;#,##0\)"/>
    <numFmt numFmtId="44" formatCode="_(&quot;$&quot;* #,##0.00_);_(&quot;$&quot;* \(#,##0.00\);_(&quot;$&quot;* &quot;-&quot;??_);_(@_)"/>
    <numFmt numFmtId="43" formatCode="_(* #,##0.00_);_(* \(#,##0.00\);_(* &quot;-&quot;??_);_(@_)"/>
    <numFmt numFmtId="164" formatCode="[$-409]mmm\-yy;@"/>
    <numFmt numFmtId="165" formatCode="&quot;$&quot;#,##0.00000"/>
    <numFmt numFmtId="166" formatCode="#,##0.000000"/>
    <numFmt numFmtId="167" formatCode="&quot;$&quot;#,##0"/>
    <numFmt numFmtId="168" formatCode="&quot;$&quot;#,##0.00"/>
    <numFmt numFmtId="169" formatCode="&quot;$&quot;#,##0.00000_);\(&quot;$&quot;#,##0.00000\)"/>
    <numFmt numFmtId="170" formatCode="_(* #,##0_);_(* \(#,##0\);_(* &quot;-&quot;??_);_(@_)"/>
    <numFmt numFmtId="171" formatCode="_(* #,##0.00000_);_(* \(#,##0.00000\);_(* &quot;-&quot;??_);_(@_)"/>
    <numFmt numFmtId="172" formatCode="#,##0.0000"/>
    <numFmt numFmtId="173" formatCode="0.0%"/>
    <numFmt numFmtId="174" formatCode="0.0000000%"/>
    <numFmt numFmtId="175" formatCode="&quot;$&quot;#,##0.0000"/>
    <numFmt numFmtId="176" formatCode="mmm\ yy"/>
    <numFmt numFmtId="177" formatCode="#,##0,;\-#,##0,"/>
    <numFmt numFmtId="178" formatCode="0.000000"/>
    <numFmt numFmtId="179" formatCode="0.00_)"/>
    <numFmt numFmtId="180" formatCode="0.0000%"/>
    <numFmt numFmtId="181" formatCode="d/mmm/yy"/>
    <numFmt numFmtId="182" formatCode="#,##0.000\¢\ ;\(#,##0.000\¢\)"/>
    <numFmt numFmtId="183" formatCode="#,##0\ ;\(#,##0\)"/>
    <numFmt numFmtId="184" formatCode="_(&quot;$&quot;* #,##0.00000_);_(&quot;$&quot;* \(#,##0.00000\);_(&quot;$&quot;* &quot;-&quot;??_);_(@_)"/>
    <numFmt numFmtId="185" formatCode="_(&quot;$&quot;* #,##0_);_(&quot;$&quot;* \(#,##0\);_(&quot;$&quot;* &quot;-&quot;??_);_(@_)"/>
    <numFmt numFmtId="186" formatCode="#,##0.000"/>
    <numFmt numFmtId="187" formatCode="0.00000%"/>
    <numFmt numFmtId="188" formatCode="0.000%"/>
    <numFmt numFmtId="189" formatCode="_(&quot;$&quot;* #,##0.0000_);_(&quot;$&quot;* \(#,##0.0000\);_(&quot;$&quot;* &quot;-&quot;??_);_(@_)"/>
    <numFmt numFmtId="190" formatCode="&quot;$&quot;#,##0.0"/>
  </numFmts>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
      <name val="Arial"/>
      <family val="2"/>
    </font>
    <font>
      <sz val="10"/>
      <color theme="1"/>
      <name val="Arial"/>
      <family val="2"/>
    </font>
    <font>
      <sz val="10"/>
      <name val="Arial"/>
      <family val="2"/>
    </font>
    <font>
      <sz val="10"/>
      <color theme="1"/>
      <name val="Tahoma"/>
      <family val="2"/>
    </font>
    <font>
      <b/>
      <sz val="10"/>
      <color theme="1"/>
      <name val="Tahoma"/>
      <family val="2"/>
    </font>
    <font>
      <sz val="10"/>
      <name val="MS Sans Serif"/>
      <family val="2"/>
    </font>
    <font>
      <sz val="10"/>
      <name val="Arial"/>
      <family val="2"/>
    </font>
    <font>
      <b/>
      <sz val="10"/>
      <name val="Arial"/>
      <family val="2"/>
    </font>
    <font>
      <u/>
      <sz val="10"/>
      <name val="Arial"/>
      <family val="2"/>
    </font>
    <font>
      <sz val="10"/>
      <name val="Arial"/>
      <family val="2"/>
    </font>
    <font>
      <sz val="10"/>
      <color rgb="FF0000FF"/>
      <name val="Arial"/>
      <family val="2"/>
    </font>
    <font>
      <b/>
      <sz val="11"/>
      <color theme="1"/>
      <name val="Calibri"/>
      <family val="2"/>
      <scheme val="minor"/>
    </font>
    <font>
      <b/>
      <sz val="10"/>
      <name val="Helv"/>
    </font>
    <font>
      <sz val="10"/>
      <name val="Tahoma"/>
      <family val="2"/>
    </font>
    <font>
      <sz val="8"/>
      <name val="Arial"/>
      <family val="2"/>
    </font>
    <font>
      <b/>
      <sz val="12"/>
      <name val="Helv"/>
    </font>
    <font>
      <b/>
      <sz val="11"/>
      <name val="Helv"/>
    </font>
    <font>
      <b/>
      <i/>
      <sz val="16"/>
      <name val="Helv"/>
    </font>
    <font>
      <sz val="10"/>
      <name val="Geneva"/>
    </font>
    <font>
      <sz val="10"/>
      <name val="Helv"/>
    </font>
    <font>
      <u/>
      <sz val="10"/>
      <name val="Helv"/>
    </font>
    <font>
      <sz val="10"/>
      <name val="Times New Roman"/>
      <family val="1"/>
    </font>
    <font>
      <sz val="12"/>
      <color theme="1"/>
      <name val="Times New Roman"/>
      <family val="1"/>
    </font>
    <font>
      <sz val="10"/>
      <color rgb="FF3333FF"/>
      <name val="Arial"/>
      <family val="2"/>
    </font>
    <font>
      <b/>
      <sz val="10"/>
      <color rgb="FF0000FF"/>
      <name val="Arial"/>
      <family val="2"/>
    </font>
    <font>
      <sz val="10"/>
      <color rgb="FF0000FF"/>
      <name val="Helv"/>
    </font>
    <font>
      <u val="singleAccounting"/>
      <sz val="12"/>
      <color theme="1"/>
      <name val="Times New Roman"/>
      <family val="1"/>
    </font>
    <font>
      <sz val="11"/>
      <name val="Calibri"/>
      <family val="2"/>
      <scheme val="minor"/>
    </font>
    <font>
      <sz val="10"/>
      <name val="Calibri"/>
      <family val="2"/>
      <scheme val="minor"/>
    </font>
    <font>
      <u/>
      <sz val="11"/>
      <name val="Calibri"/>
      <family val="2"/>
      <scheme val="minor"/>
    </font>
    <font>
      <b/>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6">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8" fillId="0" borderId="0">
      <alignment readingOrder="1"/>
    </xf>
    <xf numFmtId="43" fontId="8" fillId="0" borderId="0" applyFont="0" applyFill="0" applyBorder="0" applyAlignment="0" applyProtection="0"/>
    <xf numFmtId="9" fontId="8" fillId="0" borderId="0" applyFont="0" applyFill="0" applyBorder="0" applyAlignment="0" applyProtection="0"/>
    <xf numFmtId="0" fontId="5" fillId="0" borderId="0"/>
    <xf numFmtId="3" fontId="7" fillId="0" borderId="0"/>
    <xf numFmtId="3" fontId="7" fillId="0" borderId="0"/>
    <xf numFmtId="0" fontId="4" fillId="0" borderId="0"/>
    <xf numFmtId="43" fontId="4" fillId="0" borderId="0" applyFont="0" applyFill="0" applyBorder="0" applyAlignment="0" applyProtection="0"/>
    <xf numFmtId="0" fontId="8" fillId="0" borderId="0"/>
    <xf numFmtId="0" fontId="9" fillId="0" borderId="0"/>
    <xf numFmtId="0" fontId="8" fillId="0" borderId="0"/>
    <xf numFmtId="43" fontId="9" fillId="0" borderId="0" applyFont="0" applyFill="0" applyBorder="0" applyAlignment="0" applyProtection="0"/>
    <xf numFmtId="9" fontId="9"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43" fontId="12" fillId="0" borderId="0" applyFont="0" applyFill="0" applyBorder="0" applyAlignment="0" applyProtection="0"/>
    <xf numFmtId="44" fontId="12" fillId="0" borderId="0" applyFont="0" applyFill="0" applyBorder="0" applyAlignment="0" applyProtection="0"/>
    <xf numFmtId="0" fontId="15" fillId="0" borderId="0">
      <alignment readingOrder="1"/>
    </xf>
    <xf numFmtId="0" fontId="3" fillId="0" borderId="0"/>
    <xf numFmtId="0" fontId="7" fillId="0" borderId="0"/>
    <xf numFmtId="43" fontId="7" fillId="0" borderId="0" applyFont="0" applyFill="0" applyBorder="0" applyAlignment="0" applyProtection="0"/>
    <xf numFmtId="0" fontId="18" fillId="0" borderId="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8" fontId="20" fillId="3" borderId="0" applyNumberFormat="0" applyBorder="0" applyAlignment="0" applyProtection="0"/>
    <xf numFmtId="0" fontId="21" fillId="0" borderId="0">
      <alignment horizontal="left"/>
    </xf>
    <xf numFmtId="10" fontId="20" fillId="4" borderId="5" applyNumberFormat="0" applyBorder="0" applyAlignment="0" applyProtection="0"/>
    <xf numFmtId="0" fontId="22" fillId="0" borderId="6"/>
    <xf numFmtId="179" fontId="23" fillId="0" borderId="0"/>
    <xf numFmtId="0" fontId="2" fillId="0" borderId="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lignment readingOrder="1"/>
    </xf>
    <xf numFmtId="0" fontId="15" fillId="0" borderId="0"/>
    <xf numFmtId="3" fontId="7" fillId="0" borderId="0"/>
    <xf numFmtId="3" fontId="7" fillId="0" borderId="0"/>
    <xf numFmtId="3" fontId="7" fillId="0" borderId="0"/>
    <xf numFmtId="0" fontId="8" fillId="0" borderId="0">
      <alignment readingOrder="1"/>
    </xf>
    <xf numFmtId="0" fontId="2" fillId="0" borderId="0"/>
    <xf numFmtId="0" fontId="8" fillId="0" borderId="0"/>
    <xf numFmtId="0" fontId="2" fillId="0" borderId="0"/>
    <xf numFmtId="0" fontId="7"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7" fillId="0" borderId="0" applyFont="0" applyFill="0" applyBorder="0" applyAlignment="0" applyProtection="0"/>
    <xf numFmtId="43" fontId="9" fillId="0" borderId="0" applyFont="0" applyFill="0" applyBorder="0" applyAlignment="0" applyProtection="0"/>
    <xf numFmtId="0" fontId="8" fillId="0" borderId="0"/>
  </cellStyleXfs>
  <cellXfs count="242">
    <xf numFmtId="0" fontId="0" fillId="0" borderId="0" xfId="0"/>
    <xf numFmtId="0" fontId="6" fillId="0" borderId="0" xfId="0" applyFont="1"/>
    <xf numFmtId="4" fontId="0" fillId="0" borderId="0" xfId="0" applyNumberFormat="1"/>
    <xf numFmtId="14" fontId="0" fillId="0" borderId="0" xfId="0" applyNumberFormat="1"/>
    <xf numFmtId="168" fontId="0" fillId="0" borderId="0" xfId="0" applyNumberFormat="1"/>
    <xf numFmtId="0" fontId="0" fillId="0" borderId="0" xfId="0" applyFill="1"/>
    <xf numFmtId="3" fontId="8" fillId="0" borderId="0" xfId="0" applyNumberFormat="1" applyFont="1"/>
    <xf numFmtId="3" fontId="8" fillId="0" borderId="1" xfId="0" applyNumberFormat="1" applyFont="1" applyBorder="1"/>
    <xf numFmtId="0" fontId="0" fillId="0" borderId="0" xfId="0" quotePrefix="1" applyFill="1"/>
    <xf numFmtId="43" fontId="0" fillId="0" borderId="0" xfId="2" applyFont="1" applyFill="1"/>
    <xf numFmtId="0" fontId="10" fillId="0" borderId="0" xfId="15" applyFont="1"/>
    <xf numFmtId="0" fontId="9" fillId="0" borderId="0" xfId="15"/>
    <xf numFmtId="0" fontId="9" fillId="0" borderId="0" xfId="15" applyAlignment="1">
      <alignment horizontal="center"/>
    </xf>
    <xf numFmtId="0" fontId="10" fillId="0" borderId="0" xfId="15" applyFont="1" applyFill="1" applyAlignment="1">
      <alignment horizontal="center"/>
    </xf>
    <xf numFmtId="0" fontId="10" fillId="0" borderId="0" xfId="15" applyFont="1" applyAlignment="1">
      <alignment horizontal="center"/>
    </xf>
    <xf numFmtId="0" fontId="10" fillId="0" borderId="1" xfId="15" applyFont="1" applyFill="1" applyBorder="1" applyAlignment="1">
      <alignment horizontal="center"/>
    </xf>
    <xf numFmtId="170" fontId="9" fillId="0" borderId="0" xfId="15" applyNumberFormat="1"/>
    <xf numFmtId="170" fontId="10" fillId="0" borderId="4" xfId="17" applyNumberFormat="1" applyFont="1" applyBorder="1"/>
    <xf numFmtId="170" fontId="10" fillId="0" borderId="4" xfId="17" applyNumberFormat="1" applyFont="1" applyFill="1" applyBorder="1"/>
    <xf numFmtId="9" fontId="9" fillId="0" borderId="0" xfId="15" applyNumberFormat="1"/>
    <xf numFmtId="170" fontId="10" fillId="0" borderId="0" xfId="15" applyNumberFormat="1" applyFont="1"/>
    <xf numFmtId="43" fontId="0" fillId="0" borderId="0" xfId="2" applyFont="1"/>
    <xf numFmtId="170" fontId="0" fillId="0" borderId="0" xfId="0" applyNumberFormat="1"/>
    <xf numFmtId="174" fontId="0" fillId="0" borderId="0" xfId="3" applyNumberFormat="1" applyFont="1"/>
    <xf numFmtId="0" fontId="8" fillId="0" borderId="0" xfId="0" applyFont="1" applyBorder="1" applyAlignment="1"/>
    <xf numFmtId="0" fontId="8" fillId="0" borderId="0" xfId="0" applyFont="1"/>
    <xf numFmtId="167" fontId="8" fillId="0" borderId="0" xfId="0" applyNumberFormat="1" applyFont="1"/>
    <xf numFmtId="0" fontId="8" fillId="0" borderId="1" xfId="0" applyFont="1" applyFill="1" applyBorder="1"/>
    <xf numFmtId="175" fontId="8" fillId="0" borderId="0" xfId="0" applyNumberFormat="1" applyFont="1"/>
    <xf numFmtId="3" fontId="8" fillId="0" borderId="1" xfId="0" applyNumberFormat="1" applyFont="1" applyFill="1" applyBorder="1"/>
    <xf numFmtId="165" fontId="8" fillId="0" borderId="0" xfId="0" applyNumberFormat="1" applyFont="1"/>
    <xf numFmtId="0" fontId="14" fillId="0" borderId="0" xfId="0" applyFont="1"/>
    <xf numFmtId="165" fontId="8" fillId="0" borderId="1" xfId="0" applyNumberFormat="1" applyFont="1" applyBorder="1"/>
    <xf numFmtId="165" fontId="8" fillId="0" borderId="3" xfId="0" applyNumberFormat="1" applyFont="1" applyBorder="1"/>
    <xf numFmtId="0" fontId="8" fillId="0" borderId="0" xfId="0" applyFont="1" applyFill="1"/>
    <xf numFmtId="168" fontId="8" fillId="0" borderId="0" xfId="0" applyNumberFormat="1" applyFont="1" applyFill="1"/>
    <xf numFmtId="168" fontId="8" fillId="0" borderId="0" xfId="0" applyNumberFormat="1" applyFont="1"/>
    <xf numFmtId="169" fontId="8" fillId="0" borderId="0" xfId="1" applyNumberFormat="1" applyFont="1" applyFill="1"/>
    <xf numFmtId="165" fontId="8" fillId="0" borderId="0" xfId="0" applyNumberFormat="1" applyFont="1" applyFill="1"/>
    <xf numFmtId="173" fontId="8" fillId="0" borderId="0" xfId="3" applyNumberFormat="1" applyFont="1"/>
    <xf numFmtId="0" fontId="8" fillId="0" borderId="0" xfId="0" applyFont="1" applyBorder="1"/>
    <xf numFmtId="0" fontId="8" fillId="0" borderId="0" xfId="0" applyFont="1" applyBorder="1" applyAlignment="1">
      <alignment horizontal="center"/>
    </xf>
    <xf numFmtId="0" fontId="14" fillId="0" borderId="0" xfId="0" applyFont="1" applyAlignment="1">
      <alignment horizontal="center"/>
    </xf>
    <xf numFmtId="3" fontId="8" fillId="0" borderId="0" xfId="0" applyNumberFormat="1" applyFont="1" applyFill="1"/>
    <xf numFmtId="10" fontId="8" fillId="0" borderId="0" xfId="0" applyNumberFormat="1" applyFont="1"/>
    <xf numFmtId="10" fontId="8" fillId="0" borderId="1" xfId="0" applyNumberFormat="1" applyFont="1" applyBorder="1"/>
    <xf numFmtId="167" fontId="8" fillId="0" borderId="0" xfId="0" applyNumberFormat="1" applyFont="1" applyFill="1"/>
    <xf numFmtId="0" fontId="8" fillId="0" borderId="0" xfId="0" applyFont="1" applyFill="1" applyBorder="1"/>
    <xf numFmtId="172" fontId="8" fillId="0" borderId="0" xfId="0" applyNumberFormat="1" applyFont="1" applyFill="1"/>
    <xf numFmtId="167" fontId="8" fillId="0" borderId="0" xfId="0" applyNumberFormat="1" applyFont="1" applyFill="1" applyBorder="1"/>
    <xf numFmtId="3" fontId="8" fillId="0" borderId="0" xfId="2" applyNumberFormat="1" applyFont="1" applyFill="1"/>
    <xf numFmtId="170" fontId="8" fillId="0" borderId="0" xfId="0" applyNumberFormat="1" applyFont="1" applyFill="1" applyBorder="1"/>
    <xf numFmtId="164" fontId="8" fillId="0" borderId="0" xfId="0" applyNumberFormat="1" applyFont="1" applyAlignment="1">
      <alignment horizontal="center"/>
    </xf>
    <xf numFmtId="0" fontId="8" fillId="0" borderId="0" xfId="0" applyFont="1" applyAlignment="1">
      <alignment horizontal="center"/>
    </xf>
    <xf numFmtId="164" fontId="14" fillId="0" borderId="0" xfId="0" applyNumberFormat="1" applyFont="1" applyAlignment="1">
      <alignment horizontal="center"/>
    </xf>
    <xf numFmtId="0" fontId="8" fillId="0" borderId="0" xfId="0" applyFont="1" applyAlignment="1">
      <alignment horizontal="left"/>
    </xf>
    <xf numFmtId="164" fontId="8" fillId="0" borderId="0" xfId="0" applyNumberFormat="1" applyFont="1"/>
    <xf numFmtId="0" fontId="8" fillId="0" borderId="0" xfId="0" applyFont="1" applyBorder="1" applyAlignment="1">
      <alignment readingOrder="1"/>
    </xf>
    <xf numFmtId="0" fontId="8" fillId="0" borderId="0" xfId="0" applyFont="1" applyAlignment="1">
      <alignment readingOrder="1"/>
    </xf>
    <xf numFmtId="3" fontId="8" fillId="0" borderId="0" xfId="0" applyNumberFormat="1" applyFont="1" applyBorder="1"/>
    <xf numFmtId="176" fontId="13" fillId="0" borderId="0" xfId="0" applyNumberFormat="1" applyFont="1" applyBorder="1" applyAlignment="1">
      <alignment readingOrder="1"/>
    </xf>
    <xf numFmtId="176" fontId="13" fillId="0" borderId="0" xfId="23" applyNumberFormat="1" applyFont="1" applyBorder="1">
      <alignment readingOrder="1"/>
    </xf>
    <xf numFmtId="43" fontId="8" fillId="0" borderId="0" xfId="2" applyFont="1" applyFill="1"/>
    <xf numFmtId="43" fontId="0" fillId="0" borderId="1" xfId="2" applyFont="1" applyFill="1" applyBorder="1"/>
    <xf numFmtId="0" fontId="14" fillId="0" borderId="0" xfId="0" applyFont="1" applyFill="1"/>
    <xf numFmtId="0" fontId="0" fillId="0" borderId="0" xfId="0" applyBorder="1" applyAlignment="1">
      <alignment readingOrder="1"/>
    </xf>
    <xf numFmtId="165" fontId="8" fillId="0" borderId="0" xfId="0" applyNumberFormat="1" applyFont="1" applyFill="1" applyBorder="1"/>
    <xf numFmtId="0" fontId="8" fillId="0" borderId="0" xfId="0" applyFont="1" applyAlignment="1"/>
    <xf numFmtId="166" fontId="8" fillId="0" borderId="1" xfId="0" applyNumberFormat="1" applyFont="1" applyFill="1" applyBorder="1"/>
    <xf numFmtId="0" fontId="10" fillId="0" borderId="1" xfId="15" applyFont="1" applyBorder="1" applyAlignment="1">
      <alignment horizontal="center"/>
    </xf>
    <xf numFmtId="0" fontId="10" fillId="0" borderId="1" xfId="15" applyFont="1" applyFill="1" applyBorder="1" applyAlignment="1">
      <alignment horizontal="center" wrapText="1"/>
    </xf>
    <xf numFmtId="0" fontId="7" fillId="0" borderId="0" xfId="25"/>
    <xf numFmtId="0" fontId="17" fillId="0" borderId="0" xfId="0" applyFont="1" applyBorder="1" applyAlignment="1">
      <alignment horizontal="center"/>
    </xf>
    <xf numFmtId="171" fontId="9" fillId="0" borderId="0" xfId="26" applyNumberFormat="1" applyFont="1"/>
    <xf numFmtId="171" fontId="7" fillId="0" borderId="0" xfId="17" applyNumberFormat="1" applyFont="1"/>
    <xf numFmtId="171" fontId="7" fillId="0" borderId="0" xfId="17" applyNumberFormat="1" applyFont="1" applyAlignment="1">
      <alignment horizontal="center"/>
    </xf>
    <xf numFmtId="170" fontId="17" fillId="0" borderId="0" xfId="0" applyNumberFormat="1" applyFont="1" applyBorder="1" applyAlignment="1">
      <alignment horizontal="center"/>
    </xf>
    <xf numFmtId="170" fontId="17" fillId="0" borderId="4" xfId="2" applyNumberFormat="1" applyFont="1" applyBorder="1" applyAlignment="1">
      <alignment horizontal="center"/>
    </xf>
    <xf numFmtId="170" fontId="7" fillId="0" borderId="0" xfId="17" applyNumberFormat="1" applyFont="1"/>
    <xf numFmtId="170" fontId="7" fillId="0" borderId="0" xfId="17" applyNumberFormat="1" applyFont="1" applyFill="1" applyAlignment="1">
      <alignment horizontal="center"/>
    </xf>
    <xf numFmtId="170" fontId="17" fillId="0" borderId="0" xfId="2" applyNumberFormat="1" applyFont="1" applyBorder="1" applyAlignment="1">
      <alignment horizontal="center"/>
    </xf>
    <xf numFmtId="170" fontId="17" fillId="0" borderId="1" xfId="2" applyNumberFormat="1" applyFont="1" applyFill="1" applyBorder="1" applyAlignment="1">
      <alignment horizontal="center"/>
    </xf>
    <xf numFmtId="0" fontId="17" fillId="0" borderId="1" xfId="0" applyFont="1" applyBorder="1" applyAlignment="1">
      <alignment horizontal="center"/>
    </xf>
    <xf numFmtId="167" fontId="8" fillId="0" borderId="0" xfId="0" applyNumberFormat="1" applyFont="1" applyBorder="1"/>
    <xf numFmtId="166" fontId="8" fillId="0" borderId="0" xfId="0" applyNumberFormat="1" applyFont="1" applyFill="1" applyBorder="1"/>
    <xf numFmtId="0" fontId="13" fillId="0" borderId="0" xfId="0" applyFont="1" applyAlignment="1">
      <alignment horizontal="right"/>
    </xf>
    <xf numFmtId="177" fontId="15" fillId="0" borderId="0" xfId="80" applyNumberFormat="1" applyFill="1">
      <alignment readingOrder="1"/>
    </xf>
    <xf numFmtId="177" fontId="15" fillId="0" borderId="0" xfId="86" applyNumberFormat="1" applyFill="1">
      <alignment readingOrder="1"/>
    </xf>
    <xf numFmtId="0" fontId="16" fillId="0" borderId="0" xfId="0" applyFont="1" applyFill="1" applyBorder="1" applyAlignment="1">
      <alignment horizontal="left" indent="1" readingOrder="1"/>
    </xf>
    <xf numFmtId="177" fontId="15" fillId="0" borderId="0" xfId="90" applyNumberFormat="1" applyFill="1">
      <alignment readingOrder="1"/>
    </xf>
    <xf numFmtId="170" fontId="8" fillId="0" borderId="0" xfId="2" applyNumberFormat="1" applyFont="1" applyFill="1"/>
    <xf numFmtId="177" fontId="15" fillId="0" borderId="0" xfId="92" applyNumberFormat="1" applyFill="1">
      <alignment readingOrder="1"/>
    </xf>
    <xf numFmtId="177" fontId="15" fillId="0" borderId="0" xfId="93" applyNumberFormat="1" applyFill="1">
      <alignment readingOrder="1"/>
    </xf>
    <xf numFmtId="177" fontId="15" fillId="0" borderId="0" xfId="94" applyNumberFormat="1" applyFill="1">
      <alignment readingOrder="1"/>
    </xf>
    <xf numFmtId="177" fontId="0" fillId="0" borderId="0" xfId="0" applyNumberFormat="1" applyFill="1" applyBorder="1" applyAlignment="1">
      <alignment readingOrder="1"/>
    </xf>
    <xf numFmtId="177" fontId="15" fillId="0" borderId="0" xfId="95" applyNumberFormat="1" applyFill="1">
      <alignment readingOrder="1"/>
    </xf>
    <xf numFmtId="170" fontId="8" fillId="0" borderId="0" xfId="2" applyNumberFormat="1" applyFont="1"/>
    <xf numFmtId="177" fontId="15" fillId="0" borderId="0" xfId="96" applyNumberFormat="1" applyFill="1">
      <alignment readingOrder="1"/>
    </xf>
    <xf numFmtId="0" fontId="8" fillId="0" borderId="0" xfId="0" applyFont="1" applyAlignment="1">
      <alignment horizontal="right"/>
    </xf>
    <xf numFmtId="0" fontId="0" fillId="0" borderId="0" xfId="0"/>
    <xf numFmtId="0" fontId="8" fillId="0" borderId="0" xfId="122"/>
    <xf numFmtId="0" fontId="25" fillId="0" borderId="0" xfId="122" applyFont="1" applyAlignment="1" applyProtection="1">
      <alignment horizontal="center"/>
    </xf>
    <xf numFmtId="0" fontId="25" fillId="0" borderId="0" xfId="122" applyFont="1" applyAlignment="1" applyProtection="1">
      <alignment horizontal="center"/>
      <protection locked="0"/>
    </xf>
    <xf numFmtId="0" fontId="26" fillId="0" borderId="0" xfId="122" applyFont="1" applyAlignment="1" applyProtection="1">
      <alignment horizontal="centerContinuous"/>
    </xf>
    <xf numFmtId="0" fontId="25" fillId="0" borderId="0" xfId="122" applyFont="1" applyAlignment="1" applyProtection="1">
      <alignment horizontal="centerContinuous"/>
    </xf>
    <xf numFmtId="0" fontId="26" fillId="0" borderId="0" xfId="122" applyFont="1" applyAlignment="1" applyProtection="1">
      <alignment horizontal="left"/>
    </xf>
    <xf numFmtId="0" fontId="26" fillId="0" borderId="0" xfId="122" applyFont="1" applyBorder="1" applyAlignment="1" applyProtection="1">
      <alignment horizontal="center"/>
    </xf>
    <xf numFmtId="181" fontId="26" fillId="0" borderId="0" xfId="122" applyNumberFormat="1" applyFont="1" applyAlignment="1" applyProtection="1">
      <alignment horizontal="center"/>
    </xf>
    <xf numFmtId="0" fontId="26" fillId="0" borderId="0" xfId="122" applyFont="1" applyAlignment="1" applyProtection="1">
      <alignment horizontal="center"/>
    </xf>
    <xf numFmtId="0" fontId="25" fillId="0" borderId="0" xfId="122" applyFont="1" applyBorder="1" applyAlignment="1" applyProtection="1">
      <alignment horizontal="center"/>
    </xf>
    <xf numFmtId="43" fontId="25" fillId="0" borderId="0" xfId="2" applyFont="1" applyProtection="1"/>
    <xf numFmtId="4" fontId="25" fillId="0" borderId="0" xfId="122" applyNumberFormat="1" applyFont="1" applyProtection="1"/>
    <xf numFmtId="43" fontId="25" fillId="0" borderId="1" xfId="2" applyFont="1" applyBorder="1" applyProtection="1"/>
    <xf numFmtId="3" fontId="25" fillId="0" borderId="0" xfId="122" applyNumberFormat="1" applyFont="1" applyFill="1" applyProtection="1"/>
    <xf numFmtId="10" fontId="25" fillId="0" borderId="0" xfId="122" applyNumberFormat="1" applyFont="1" applyProtection="1"/>
    <xf numFmtId="43" fontId="25" fillId="0" borderId="0" xfId="122" applyNumberFormat="1" applyFont="1" applyProtection="1"/>
    <xf numFmtId="167" fontId="25" fillId="0" borderId="0" xfId="122" applyNumberFormat="1" applyFont="1" applyProtection="1"/>
    <xf numFmtId="0" fontId="25" fillId="0" borderId="0" xfId="122" applyFont="1" applyProtection="1"/>
    <xf numFmtId="183" fontId="25" fillId="0" borderId="0" xfId="122" applyNumberFormat="1" applyFont="1" applyProtection="1"/>
    <xf numFmtId="0" fontId="26" fillId="0" borderId="0" xfId="122" applyFont="1" applyBorder="1" applyProtection="1"/>
    <xf numFmtId="3" fontId="25" fillId="0" borderId="0" xfId="122" applyNumberFormat="1" applyFont="1" applyFill="1" applyBorder="1" applyProtection="1"/>
    <xf numFmtId="5" fontId="25" fillId="0" borderId="0" xfId="122" applyNumberFormat="1" applyFont="1" applyProtection="1"/>
    <xf numFmtId="0" fontId="25" fillId="0" borderId="0" xfId="122" applyFont="1" applyBorder="1" applyProtection="1"/>
    <xf numFmtId="170" fontId="25" fillId="0" borderId="0" xfId="122" applyNumberFormat="1" applyFont="1" applyBorder="1" applyProtection="1"/>
    <xf numFmtId="43" fontId="8" fillId="0" borderId="0" xfId="122" applyNumberFormat="1"/>
    <xf numFmtId="3" fontId="25" fillId="0" borderId="0" xfId="122" applyNumberFormat="1" applyFont="1" applyBorder="1" applyProtection="1"/>
    <xf numFmtId="3" fontId="25" fillId="0" borderId="0" xfId="122" applyNumberFormat="1" applyFont="1" applyProtection="1"/>
    <xf numFmtId="0" fontId="8" fillId="0" borderId="0" xfId="122" applyBorder="1"/>
    <xf numFmtId="0" fontId="27" fillId="0" borderId="0" xfId="122" applyFont="1" applyProtection="1"/>
    <xf numFmtId="0" fontId="27" fillId="0" borderId="0" xfId="122" applyFont="1"/>
    <xf numFmtId="182" fontId="25" fillId="0" borderId="0" xfId="0" applyNumberFormat="1" applyFont="1" applyProtection="1"/>
    <xf numFmtId="172" fontId="16" fillId="0" borderId="0" xfId="0" applyNumberFormat="1" applyFont="1" applyFill="1"/>
    <xf numFmtId="172" fontId="16" fillId="0" borderId="1" xfId="0" applyNumberFormat="1" applyFont="1" applyFill="1" applyBorder="1"/>
    <xf numFmtId="10" fontId="7" fillId="0" borderId="0" xfId="18" applyNumberFormat="1" applyFont="1"/>
    <xf numFmtId="165" fontId="16" fillId="0" borderId="1" xfId="0" applyNumberFormat="1" applyFont="1" applyFill="1" applyBorder="1"/>
    <xf numFmtId="3" fontId="8" fillId="0" borderId="0" xfId="0" applyNumberFormat="1" applyFont="1" applyFill="1" applyBorder="1"/>
    <xf numFmtId="0" fontId="0" fillId="0" borderId="0" xfId="0" applyNumberFormat="1" applyFill="1" applyBorder="1" applyAlignment="1">
      <alignment readingOrder="1"/>
    </xf>
    <xf numFmtId="177" fontId="15" fillId="0" borderId="0" xfId="93" applyNumberFormat="1" applyFill="1" applyBorder="1">
      <alignment readingOrder="1"/>
    </xf>
    <xf numFmtId="177" fontId="15" fillId="0" borderId="0" xfId="95" applyNumberFormat="1" applyFill="1" applyBorder="1">
      <alignment readingOrder="1"/>
    </xf>
    <xf numFmtId="177" fontId="15" fillId="0" borderId="0" xfId="94" applyNumberFormat="1" applyFill="1" applyBorder="1">
      <alignment readingOrder="1"/>
    </xf>
    <xf numFmtId="177" fontId="15" fillId="0" borderId="0" xfId="96" applyNumberFormat="1" applyFill="1" applyBorder="1">
      <alignment readingOrder="1"/>
    </xf>
    <xf numFmtId="178" fontId="25" fillId="0" borderId="1" xfId="0" applyNumberFormat="1" applyFont="1" applyFill="1" applyBorder="1" applyProtection="1"/>
    <xf numFmtId="177" fontId="0" fillId="0" borderId="0" xfId="0" applyNumberFormat="1" applyFill="1" applyAlignment="1">
      <alignment readingOrder="1"/>
    </xf>
    <xf numFmtId="43" fontId="0" fillId="0" borderId="1" xfId="2" applyFont="1" applyBorder="1"/>
    <xf numFmtId="44" fontId="0" fillId="0" borderId="0" xfId="1" applyFont="1"/>
    <xf numFmtId="44" fontId="8" fillId="0" borderId="0" xfId="1" applyFont="1" applyFill="1"/>
    <xf numFmtId="170" fontId="1" fillId="0" borderId="0" xfId="2" applyNumberFormat="1" applyFont="1" applyBorder="1" applyAlignment="1">
      <alignment horizontal="center"/>
    </xf>
    <xf numFmtId="170" fontId="1" fillId="0" borderId="1" xfId="2" applyNumberFormat="1" applyFont="1" applyFill="1" applyBorder="1" applyAlignment="1">
      <alignment horizontal="center"/>
    </xf>
    <xf numFmtId="170" fontId="1" fillId="0" borderId="0" xfId="2" applyNumberFormat="1" applyFont="1" applyFill="1" applyBorder="1" applyAlignment="1">
      <alignment horizontal="center"/>
    </xf>
    <xf numFmtId="170" fontId="1" fillId="0" borderId="1" xfId="2" applyNumberFormat="1" applyFont="1" applyBorder="1" applyAlignment="1">
      <alignment horizontal="center"/>
    </xf>
    <xf numFmtId="184" fontId="8" fillId="0" borderId="0" xfId="1" applyNumberFormat="1" applyFont="1"/>
    <xf numFmtId="0" fontId="28" fillId="0" borderId="0" xfId="0" applyFont="1"/>
    <xf numFmtId="0" fontId="28" fillId="0" borderId="0" xfId="0" applyFont="1" applyAlignment="1">
      <alignment horizontal="center"/>
    </xf>
    <xf numFmtId="185" fontId="28" fillId="0" borderId="0" xfId="0" applyNumberFormat="1" applyFont="1"/>
    <xf numFmtId="165" fontId="8" fillId="0" borderId="1" xfId="0" applyNumberFormat="1" applyFont="1" applyFill="1" applyBorder="1"/>
    <xf numFmtId="185" fontId="8" fillId="0" borderId="0" xfId="1" applyNumberFormat="1" applyFont="1" applyFill="1"/>
    <xf numFmtId="0" fontId="25" fillId="0" borderId="0" xfId="122" quotePrefix="1" applyFont="1" applyAlignment="1" applyProtection="1">
      <alignment horizontal="center"/>
    </xf>
    <xf numFmtId="186" fontId="8" fillId="0" borderId="0" xfId="0" applyNumberFormat="1" applyFont="1" applyFill="1" applyBorder="1"/>
    <xf numFmtId="186" fontId="0" fillId="0" borderId="0" xfId="0" applyNumberFormat="1" applyFill="1" applyBorder="1" applyAlignment="1">
      <alignment readingOrder="1"/>
    </xf>
    <xf numFmtId="0" fontId="13" fillId="0" borderId="0" xfId="0" applyFont="1"/>
    <xf numFmtId="165" fontId="13" fillId="0" borderId="2" xfId="0" applyNumberFormat="1" applyFont="1" applyBorder="1"/>
    <xf numFmtId="187" fontId="8" fillId="0" borderId="0" xfId="3" applyNumberFormat="1" applyFont="1" applyFill="1" applyBorder="1"/>
    <xf numFmtId="185" fontId="8" fillId="0" borderId="0" xfId="1" applyNumberFormat="1" applyFont="1"/>
    <xf numFmtId="176" fontId="13" fillId="0" borderId="0" xfId="0" applyNumberFormat="1" applyFont="1" applyAlignment="1">
      <alignment readingOrder="1"/>
    </xf>
    <xf numFmtId="10" fontId="0" fillId="0" borderId="0" xfId="3" applyNumberFormat="1" applyFont="1"/>
    <xf numFmtId="180" fontId="29" fillId="0" borderId="0" xfId="3" applyNumberFormat="1" applyFont="1" applyFill="1"/>
    <xf numFmtId="44" fontId="29" fillId="0" borderId="0" xfId="1" applyFont="1" applyFill="1"/>
    <xf numFmtId="43" fontId="29" fillId="0" borderId="0" xfId="2" applyFont="1" applyFill="1"/>
    <xf numFmtId="43" fontId="29" fillId="0" borderId="1" xfId="2" applyFont="1" applyFill="1" applyBorder="1"/>
    <xf numFmtId="43" fontId="8" fillId="0" borderId="0" xfId="2" applyFont="1"/>
    <xf numFmtId="170" fontId="0" fillId="0" borderId="0" xfId="2" applyNumberFormat="1" applyFont="1" applyAlignment="1">
      <alignment readingOrder="1"/>
    </xf>
    <xf numFmtId="170" fontId="0" fillId="0" borderId="1" xfId="2" applyNumberFormat="1" applyFont="1" applyBorder="1" applyAlignment="1">
      <alignment readingOrder="1"/>
    </xf>
    <xf numFmtId="170" fontId="8" fillId="0" borderId="1" xfId="2" applyNumberFormat="1" applyFont="1" applyBorder="1"/>
    <xf numFmtId="178" fontId="8" fillId="0" borderId="1" xfId="0" applyNumberFormat="1" applyFont="1" applyFill="1" applyBorder="1"/>
    <xf numFmtId="0" fontId="8" fillId="0" borderId="0" xfId="0" applyFont="1" applyAlignment="1">
      <alignment horizontal="center"/>
    </xf>
    <xf numFmtId="16" fontId="8" fillId="0" borderId="0" xfId="0" quotePrefix="1" applyNumberFormat="1" applyFont="1" applyAlignment="1">
      <alignment horizontal="center"/>
    </xf>
    <xf numFmtId="0" fontId="8" fillId="0" borderId="0" xfId="0" quotePrefix="1" applyFont="1" applyAlignment="1">
      <alignment horizontal="center"/>
    </xf>
    <xf numFmtId="0" fontId="8" fillId="0" borderId="0" xfId="0" applyFont="1" applyAlignment="1">
      <alignment horizontal="left" indent="3"/>
    </xf>
    <xf numFmtId="185" fontId="0" fillId="0" borderId="0" xfId="0" applyNumberFormat="1"/>
    <xf numFmtId="173" fontId="8" fillId="0" borderId="0" xfId="0" applyNumberFormat="1" applyFont="1" applyFill="1"/>
    <xf numFmtId="176" fontId="30" fillId="0" borderId="0" xfId="0" applyNumberFormat="1" applyFont="1" applyAlignment="1">
      <alignment readingOrder="1"/>
    </xf>
    <xf numFmtId="170" fontId="16" fillId="0" borderId="0" xfId="7" applyNumberFormat="1" applyFont="1"/>
    <xf numFmtId="0" fontId="16" fillId="0" borderId="0" xfId="0" applyFont="1"/>
    <xf numFmtId="168" fontId="16" fillId="0" borderId="0" xfId="0" applyNumberFormat="1" applyFont="1" applyFill="1"/>
    <xf numFmtId="169" fontId="16" fillId="0" borderId="0" xfId="1" applyNumberFormat="1" applyFont="1" applyFill="1"/>
    <xf numFmtId="3" fontId="31" fillId="0" borderId="0" xfId="122" applyNumberFormat="1" applyFont="1" applyFill="1" applyBorder="1" applyProtection="1">
      <protection locked="0"/>
    </xf>
    <xf numFmtId="3" fontId="31" fillId="0" borderId="1" xfId="122" applyNumberFormat="1" applyFont="1" applyFill="1" applyBorder="1" applyProtection="1">
      <protection locked="0"/>
    </xf>
    <xf numFmtId="1" fontId="28" fillId="0" borderId="0" xfId="0" applyNumberFormat="1" applyFont="1" applyBorder="1"/>
    <xf numFmtId="189" fontId="32" fillId="0" borderId="0" xfId="0" applyNumberFormat="1" applyFont="1" applyBorder="1"/>
    <xf numFmtId="185" fontId="32" fillId="0" borderId="0" xfId="0" applyNumberFormat="1" applyFont="1"/>
    <xf numFmtId="188" fontId="8" fillId="0" borderId="0" xfId="3" applyNumberFormat="1" applyFont="1" applyFill="1"/>
    <xf numFmtId="170" fontId="7" fillId="0" borderId="0" xfId="17" applyNumberFormat="1" applyFont="1" applyFill="1" applyAlignment="1">
      <alignment horizontal="right"/>
    </xf>
    <xf numFmtId="170" fontId="9" fillId="0" borderId="0" xfId="15" applyNumberFormat="1" applyFill="1" applyAlignment="1">
      <alignment horizontal="right"/>
    </xf>
    <xf numFmtId="0" fontId="33" fillId="0" borderId="0" xfId="125" applyFont="1"/>
    <xf numFmtId="0" fontId="34" fillId="0" borderId="0" xfId="125" applyFont="1"/>
    <xf numFmtId="0" fontId="33" fillId="0" borderId="0" xfId="125" applyFont="1" applyAlignment="1">
      <alignment horizontal="center" wrapText="1"/>
    </xf>
    <xf numFmtId="178" fontId="33" fillId="0" borderId="0" xfId="125" applyNumberFormat="1" applyFont="1"/>
    <xf numFmtId="178" fontId="33" fillId="0" borderId="1" xfId="125" applyNumberFormat="1" applyFont="1" applyBorder="1"/>
    <xf numFmtId="178" fontId="33" fillId="0" borderId="7" xfId="125" applyNumberFormat="1" applyFont="1" applyBorder="1"/>
    <xf numFmtId="0" fontId="35" fillId="0" borderId="0" xfId="125" applyFont="1" applyAlignment="1">
      <alignment horizontal="center"/>
    </xf>
    <xf numFmtId="170" fontId="16" fillId="0" borderId="0" xfId="2" applyNumberFormat="1" applyFont="1" applyFill="1"/>
    <xf numFmtId="0" fontId="28" fillId="0" borderId="10" xfId="0" applyFont="1" applyBorder="1"/>
    <xf numFmtId="0" fontId="28" fillId="0" borderId="11" xfId="0" applyFont="1" applyBorder="1"/>
    <xf numFmtId="0" fontId="28" fillId="0" borderId="11" xfId="0" applyFont="1" applyBorder="1" applyAlignment="1">
      <alignment horizontal="center"/>
    </xf>
    <xf numFmtId="185" fontId="36" fillId="0" borderId="11" xfId="0" applyNumberFormat="1" applyFont="1" applyBorder="1"/>
    <xf numFmtId="0" fontId="28" fillId="0" borderId="12" xfId="0" applyFont="1" applyBorder="1"/>
    <xf numFmtId="0" fontId="28" fillId="0" borderId="1" xfId="0" applyFont="1" applyBorder="1"/>
    <xf numFmtId="0" fontId="0" fillId="0" borderId="1" xfId="0" applyBorder="1"/>
    <xf numFmtId="170" fontId="28" fillId="0" borderId="1" xfId="2" applyNumberFormat="1" applyFont="1" applyBorder="1"/>
    <xf numFmtId="10" fontId="28" fillId="0" borderId="13" xfId="3" applyNumberFormat="1" applyFont="1" applyBorder="1"/>
    <xf numFmtId="43" fontId="28" fillId="0" borderId="0" xfId="2" applyFont="1" applyBorder="1"/>
    <xf numFmtId="0" fontId="28" fillId="0" borderId="10" xfId="0" applyFont="1" applyBorder="1" applyAlignment="1">
      <alignment horizontal="center"/>
    </xf>
    <xf numFmtId="3" fontId="28" fillId="0" borderId="0" xfId="0" applyNumberFormat="1" applyFont="1"/>
    <xf numFmtId="170" fontId="28" fillId="0" borderId="0" xfId="2" applyNumberFormat="1" applyFont="1" applyBorder="1"/>
    <xf numFmtId="184" fontId="28" fillId="0" borderId="1" xfId="0" applyNumberFormat="1" applyFont="1" applyBorder="1"/>
    <xf numFmtId="184" fontId="28" fillId="0" borderId="0" xfId="1" applyNumberFormat="1" applyFont="1" applyBorder="1"/>
    <xf numFmtId="171" fontId="28" fillId="0" borderId="0" xfId="2" applyNumberFormat="1" applyFont="1" applyBorder="1"/>
    <xf numFmtId="0" fontId="0" fillId="0" borderId="12" xfId="0" applyBorder="1"/>
    <xf numFmtId="185" fontId="28" fillId="0" borderId="1" xfId="1" applyNumberFormat="1" applyFont="1" applyBorder="1"/>
    <xf numFmtId="185" fontId="28" fillId="0" borderId="4" xfId="1" applyNumberFormat="1" applyFont="1" applyBorder="1"/>
    <xf numFmtId="0" fontId="0" fillId="0" borderId="4" xfId="0" applyBorder="1"/>
    <xf numFmtId="0" fontId="28" fillId="0" borderId="1" xfId="0" applyFont="1" applyBorder="1" applyAlignment="1">
      <alignment horizontal="center"/>
    </xf>
    <xf numFmtId="185" fontId="36" fillId="0" borderId="13" xfId="1" applyNumberFormat="1" applyFont="1" applyBorder="1"/>
    <xf numFmtId="185" fontId="36" fillId="0" borderId="4" xfId="1" applyNumberFormat="1" applyFont="1" applyBorder="1"/>
    <xf numFmtId="44" fontId="28" fillId="0" borderId="0" xfId="0" applyNumberFormat="1" applyFont="1"/>
    <xf numFmtId="185" fontId="28" fillId="0" borderId="13" xfId="3" applyNumberFormat="1" applyFont="1" applyBorder="1"/>
    <xf numFmtId="185" fontId="0" fillId="0" borderId="0" xfId="1" applyNumberFormat="1" applyFont="1" applyFill="1"/>
    <xf numFmtId="185" fontId="0" fillId="0" borderId="0" xfId="0" applyNumberFormat="1" applyFill="1"/>
    <xf numFmtId="173" fontId="28" fillId="0" borderId="0" xfId="3" applyNumberFormat="1" applyFont="1"/>
    <xf numFmtId="190" fontId="8" fillId="0" borderId="0" xfId="0" applyNumberFormat="1" applyFont="1"/>
    <xf numFmtId="44" fontId="28" fillId="0" borderId="0" xfId="1" applyFont="1"/>
    <xf numFmtId="185" fontId="28" fillId="0" borderId="0" xfId="1" applyNumberFormat="1" applyFont="1"/>
    <xf numFmtId="0" fontId="8" fillId="0" borderId="0" xfId="0" applyFont="1" applyAlignment="1">
      <alignment horizontal="center"/>
    </xf>
    <xf numFmtId="0" fontId="14" fillId="0" borderId="0" xfId="0" applyFont="1" applyAlignment="1">
      <alignment horizontal="center"/>
    </xf>
    <xf numFmtId="0" fontId="28" fillId="0" borderId="8" xfId="0" applyFont="1" applyBorder="1" applyAlignment="1">
      <alignment horizontal="center"/>
    </xf>
    <xf numFmtId="0" fontId="28" fillId="0" borderId="4" xfId="0" applyFont="1" applyBorder="1" applyAlignment="1">
      <alignment horizontal="center"/>
    </xf>
    <xf numFmtId="0" fontId="28" fillId="0" borderId="9" xfId="0" applyFont="1" applyBorder="1" applyAlignment="1">
      <alignment horizontal="center"/>
    </xf>
    <xf numFmtId="0" fontId="0" fillId="0" borderId="0" xfId="0" applyAlignment="1">
      <alignment horizontal="center"/>
    </xf>
    <xf numFmtId="0" fontId="10" fillId="0" borderId="0" xfId="15" applyFont="1" applyFill="1" applyAlignment="1">
      <alignment horizontal="center" wrapText="1"/>
    </xf>
    <xf numFmtId="0" fontId="10" fillId="0" borderId="1" xfId="15" applyFont="1" applyFill="1" applyBorder="1" applyAlignment="1">
      <alignment horizontal="center" wrapText="1"/>
    </xf>
    <xf numFmtId="0" fontId="10" fillId="0" borderId="1" xfId="15" applyFont="1" applyBorder="1" applyAlignment="1">
      <alignment horizontal="center"/>
    </xf>
    <xf numFmtId="0" fontId="17" fillId="2" borderId="0" xfId="0" applyFont="1" applyFill="1" applyBorder="1" applyAlignment="1">
      <alignment horizontal="center"/>
    </xf>
  </cellXfs>
  <cellStyles count="126">
    <cellStyle name="category" xfId="27" xr:uid="{00000000-0005-0000-0000-000000000000}"/>
    <cellStyle name="Comma" xfId="2" builtinId="3"/>
    <cellStyle name="Comma 2" xfId="7" xr:uid="{00000000-0005-0000-0000-000002000000}"/>
    <cellStyle name="Comma 2 2" xfId="28" xr:uid="{00000000-0005-0000-0000-000003000000}"/>
    <cellStyle name="Comma 3" xfId="5" xr:uid="{00000000-0005-0000-0000-000004000000}"/>
    <cellStyle name="Comma 3 2" xfId="29" xr:uid="{00000000-0005-0000-0000-000005000000}"/>
    <cellStyle name="Comma 3 2 2" xfId="101" xr:uid="{00000000-0005-0000-0000-000006000000}"/>
    <cellStyle name="Comma 3 3" xfId="26" xr:uid="{00000000-0005-0000-0000-000007000000}"/>
    <cellStyle name="Comma 3 4" xfId="30" xr:uid="{00000000-0005-0000-0000-000008000000}"/>
    <cellStyle name="Comma 3 5" xfId="98" xr:uid="{00000000-0005-0000-0000-000009000000}"/>
    <cellStyle name="Comma 4" xfId="13" xr:uid="{00000000-0005-0000-0000-00000A000000}"/>
    <cellStyle name="Comma 4 2" xfId="31" xr:uid="{00000000-0005-0000-0000-00000B000000}"/>
    <cellStyle name="Comma 4 2 2" xfId="102" xr:uid="{00000000-0005-0000-0000-00000C000000}"/>
    <cellStyle name="Comma 4 3" xfId="100" xr:uid="{00000000-0005-0000-0000-00000D000000}"/>
    <cellStyle name="Comma 5" xfId="17" xr:uid="{00000000-0005-0000-0000-00000E000000}"/>
    <cellStyle name="Comma 5 2" xfId="124" xr:uid="{14D6FDA6-AF4F-43C2-887D-A4893E2CF4A6}"/>
    <cellStyle name="Comma 6" xfId="21" xr:uid="{00000000-0005-0000-0000-00000F000000}"/>
    <cellStyle name="Comma 6 2" xfId="108" xr:uid="{00000000-0005-0000-0000-000010000000}"/>
    <cellStyle name="Comma 62" xfId="123" xr:uid="{390AF808-5DBF-4A23-8A52-07AE760793FB}"/>
    <cellStyle name="Comma 7" xfId="32" xr:uid="{00000000-0005-0000-0000-000011000000}"/>
    <cellStyle name="Comma 7 2" xfId="114" xr:uid="{00000000-0005-0000-0000-000012000000}"/>
    <cellStyle name="Currency" xfId="1" builtinId="4"/>
    <cellStyle name="Currency 2" xfId="22" xr:uid="{00000000-0005-0000-0000-000014000000}"/>
    <cellStyle name="Currency 2 2" xfId="109" xr:uid="{00000000-0005-0000-0000-000015000000}"/>
    <cellStyle name="Currency 3" xfId="33" xr:uid="{00000000-0005-0000-0000-000016000000}"/>
    <cellStyle name="Currency 3 2" xfId="115" xr:uid="{00000000-0005-0000-0000-000017000000}"/>
    <cellStyle name="Grey" xfId="34" xr:uid="{00000000-0005-0000-0000-000018000000}"/>
    <cellStyle name="HEADER" xfId="35" xr:uid="{00000000-0005-0000-0000-000019000000}"/>
    <cellStyle name="Input [yellow]" xfId="36" xr:uid="{00000000-0005-0000-0000-00001A000000}"/>
    <cellStyle name="Model" xfId="37" xr:uid="{00000000-0005-0000-0000-00001B000000}"/>
    <cellStyle name="Normal" xfId="0" builtinId="0"/>
    <cellStyle name="Normal - Style1" xfId="38" xr:uid="{00000000-0005-0000-0000-00001D000000}"/>
    <cellStyle name="Normal 10" xfId="23" xr:uid="{00000000-0005-0000-0000-00001E000000}"/>
    <cellStyle name="Normal 10 2" xfId="107" xr:uid="{00000000-0005-0000-0000-00001F000000}"/>
    <cellStyle name="Normal 11" xfId="39" xr:uid="{00000000-0005-0000-0000-000020000000}"/>
    <cellStyle name="Normal 11 2" xfId="113" xr:uid="{00000000-0005-0000-0000-000021000000}"/>
    <cellStyle name="Normal 12" xfId="40" xr:uid="{00000000-0005-0000-0000-000022000000}"/>
    <cellStyle name="Normal 13" xfId="41" xr:uid="{00000000-0005-0000-0000-000023000000}"/>
    <cellStyle name="Normal 14" xfId="42" xr:uid="{00000000-0005-0000-0000-000024000000}"/>
    <cellStyle name="Normal 15" xfId="43" xr:uid="{00000000-0005-0000-0000-000025000000}"/>
    <cellStyle name="Normal 16" xfId="25" xr:uid="{00000000-0005-0000-0000-000026000000}"/>
    <cellStyle name="Normal 17" xfId="44" xr:uid="{00000000-0005-0000-0000-000027000000}"/>
    <cellStyle name="Normal 18" xfId="45" xr:uid="{00000000-0005-0000-0000-000028000000}"/>
    <cellStyle name="Normal 19" xfId="46" xr:uid="{00000000-0005-0000-0000-000029000000}"/>
    <cellStyle name="Normal 2" xfId="9" xr:uid="{00000000-0005-0000-0000-00002A000000}"/>
    <cellStyle name="Normal 2 2" xfId="14" xr:uid="{00000000-0005-0000-0000-00002B000000}"/>
    <cellStyle name="Normal 2 2 2" xfId="47" xr:uid="{00000000-0005-0000-0000-00002C000000}"/>
    <cellStyle name="Normal 2 2 3" xfId="48" xr:uid="{00000000-0005-0000-0000-00002D000000}"/>
    <cellStyle name="Normal 2 2 4" xfId="49" xr:uid="{00000000-0005-0000-0000-00002E000000}"/>
    <cellStyle name="Normal 2 2 5" xfId="50" xr:uid="{00000000-0005-0000-0000-00002F000000}"/>
    <cellStyle name="Normal 2 2 5 2" xfId="110" xr:uid="{00000000-0005-0000-0000-000030000000}"/>
    <cellStyle name="Normal 2 2 6" xfId="51" xr:uid="{00000000-0005-0000-0000-000031000000}"/>
    <cellStyle name="Normal 2 2 6 2" xfId="116" xr:uid="{00000000-0005-0000-0000-000032000000}"/>
    <cellStyle name="Normal 2 3" xfId="24" xr:uid="{00000000-0005-0000-0000-000033000000}"/>
    <cellStyle name="Normal 2 3 2" xfId="52" xr:uid="{00000000-0005-0000-0000-000034000000}"/>
    <cellStyle name="Normal 2 3 2 2" xfId="111" xr:uid="{00000000-0005-0000-0000-000035000000}"/>
    <cellStyle name="Normal 2 3 3" xfId="53" xr:uid="{00000000-0005-0000-0000-000036000000}"/>
    <cellStyle name="Normal 2 3 3 2" xfId="117" xr:uid="{00000000-0005-0000-0000-000037000000}"/>
    <cellStyle name="Normal 2 3 4" xfId="103" xr:uid="{00000000-0005-0000-0000-000038000000}"/>
    <cellStyle name="Normal 2 4" xfId="54" xr:uid="{00000000-0005-0000-0000-000039000000}"/>
    <cellStyle name="Normal 2 4 2" xfId="55" xr:uid="{00000000-0005-0000-0000-00003A000000}"/>
    <cellStyle name="Normal 2 4 2 2" xfId="118" xr:uid="{00000000-0005-0000-0000-00003B000000}"/>
    <cellStyle name="Normal 2 4 3" xfId="112" xr:uid="{00000000-0005-0000-0000-00003C000000}"/>
    <cellStyle name="Normal 2 5" xfId="56" xr:uid="{00000000-0005-0000-0000-00003D000000}"/>
    <cellStyle name="Normal 2 5 2" xfId="119" xr:uid="{00000000-0005-0000-0000-00003E000000}"/>
    <cellStyle name="Normal 2 6" xfId="57" xr:uid="{00000000-0005-0000-0000-00003F000000}"/>
    <cellStyle name="Normal 2 6 2" xfId="120" xr:uid="{00000000-0005-0000-0000-000040000000}"/>
    <cellStyle name="Normal 2 7" xfId="58" xr:uid="{00000000-0005-0000-0000-000041000000}"/>
    <cellStyle name="Normal 2 7 2" xfId="121" xr:uid="{00000000-0005-0000-0000-000042000000}"/>
    <cellStyle name="Normal 2 8" xfId="84" xr:uid="{00000000-0005-0000-0000-000043000000}"/>
    <cellStyle name="Normal 20" xfId="59" xr:uid="{00000000-0005-0000-0000-000044000000}"/>
    <cellStyle name="Normal 21" xfId="60" xr:uid="{00000000-0005-0000-0000-000045000000}"/>
    <cellStyle name="Normal 21 2" xfId="122" xr:uid="{00000000-0005-0000-0000-000046000000}"/>
    <cellStyle name="Normal 22" xfId="80" xr:uid="{00000000-0005-0000-0000-000047000000}"/>
    <cellStyle name="Normal 22 2" xfId="125" xr:uid="{2B1F3CD7-5C6C-42D0-95AC-BDEC575F7E16}"/>
    <cellStyle name="Normal 23" xfId="86" xr:uid="{00000000-0005-0000-0000-000048000000}"/>
    <cellStyle name="Normal 24" xfId="90" xr:uid="{00000000-0005-0000-0000-000049000000}"/>
    <cellStyle name="Normal 25" xfId="92" xr:uid="{00000000-0005-0000-0000-00004A000000}"/>
    <cellStyle name="Normal 26" xfId="93" xr:uid="{00000000-0005-0000-0000-00004B000000}"/>
    <cellStyle name="Normal 27" xfId="94" xr:uid="{00000000-0005-0000-0000-00004C000000}"/>
    <cellStyle name="Normal 28" xfId="95" xr:uid="{00000000-0005-0000-0000-00004D000000}"/>
    <cellStyle name="Normal 29" xfId="96" xr:uid="{00000000-0005-0000-0000-00004E000000}"/>
    <cellStyle name="Normal 3" xfId="10" xr:uid="{00000000-0005-0000-0000-00004F000000}"/>
    <cellStyle name="Normal 3 2" xfId="16" xr:uid="{00000000-0005-0000-0000-000050000000}"/>
    <cellStyle name="Normal 3 2 2" xfId="61" xr:uid="{00000000-0005-0000-0000-000051000000}"/>
    <cellStyle name="Normal 3 3" xfId="62" xr:uid="{00000000-0005-0000-0000-000052000000}"/>
    <cellStyle name="Normal 3 4" xfId="63" xr:uid="{00000000-0005-0000-0000-000053000000}"/>
    <cellStyle name="Normal 3 5" xfId="64" xr:uid="{00000000-0005-0000-0000-000054000000}"/>
    <cellStyle name="Normal 4" xfId="6" xr:uid="{00000000-0005-0000-0000-000055000000}"/>
    <cellStyle name="Normal 5" xfId="4" xr:uid="{00000000-0005-0000-0000-000056000000}"/>
    <cellStyle name="Normal 5 2" xfId="65" xr:uid="{00000000-0005-0000-0000-000057000000}"/>
    <cellStyle name="Normal 5 2 2" xfId="104" xr:uid="{00000000-0005-0000-0000-000058000000}"/>
    <cellStyle name="Normal 5 3" xfId="66" xr:uid="{00000000-0005-0000-0000-000059000000}"/>
    <cellStyle name="Normal 5 4" xfId="97" xr:uid="{00000000-0005-0000-0000-00005A000000}"/>
    <cellStyle name="Normal 6" xfId="11" xr:uid="{00000000-0005-0000-0000-00005B000000}"/>
    <cellStyle name="Normal 7" xfId="12" xr:uid="{00000000-0005-0000-0000-00005C000000}"/>
    <cellStyle name="Normal 7 2" xfId="67" xr:uid="{00000000-0005-0000-0000-00005D000000}"/>
    <cellStyle name="Normal 7 2 2" xfId="105" xr:uid="{00000000-0005-0000-0000-00005E000000}"/>
    <cellStyle name="Normal 7 3" xfId="68" xr:uid="{00000000-0005-0000-0000-00005F000000}"/>
    <cellStyle name="Normal 7 4" xfId="99" xr:uid="{00000000-0005-0000-0000-000060000000}"/>
    <cellStyle name="Normal 8" xfId="15" xr:uid="{00000000-0005-0000-0000-000061000000}"/>
    <cellStyle name="Normal 9" xfId="20" xr:uid="{00000000-0005-0000-0000-000062000000}"/>
    <cellStyle name="Normal 9 2" xfId="106" xr:uid="{00000000-0005-0000-0000-000063000000}"/>
    <cellStyle name="Percent" xfId="3" builtinId="5"/>
    <cellStyle name="Percent [2]" xfId="69" xr:uid="{00000000-0005-0000-0000-000065000000}"/>
    <cellStyle name="Percent 10" xfId="70" xr:uid="{00000000-0005-0000-0000-000066000000}"/>
    <cellStyle name="Percent 11" xfId="71" xr:uid="{00000000-0005-0000-0000-000067000000}"/>
    <cellStyle name="Percent 12" xfId="72" xr:uid="{00000000-0005-0000-0000-000068000000}"/>
    <cellStyle name="Percent 13" xfId="82" xr:uid="{00000000-0005-0000-0000-000069000000}"/>
    <cellStyle name="Percent 14" xfId="81" xr:uid="{00000000-0005-0000-0000-00006A000000}"/>
    <cellStyle name="Percent 15" xfId="88" xr:uid="{00000000-0005-0000-0000-00006B000000}"/>
    <cellStyle name="Percent 16" xfId="85" xr:uid="{00000000-0005-0000-0000-00006C000000}"/>
    <cellStyle name="Percent 17" xfId="89" xr:uid="{00000000-0005-0000-0000-00006D000000}"/>
    <cellStyle name="Percent 18" xfId="83" xr:uid="{00000000-0005-0000-0000-00006E000000}"/>
    <cellStyle name="Percent 19" xfId="87" xr:uid="{00000000-0005-0000-0000-00006F000000}"/>
    <cellStyle name="Percent 2" xfId="8" xr:uid="{00000000-0005-0000-0000-000070000000}"/>
    <cellStyle name="Percent 20" xfId="91" xr:uid="{00000000-0005-0000-0000-000071000000}"/>
    <cellStyle name="Percent 3" xfId="18" xr:uid="{00000000-0005-0000-0000-000072000000}"/>
    <cellStyle name="Percent 4" xfId="73" xr:uid="{00000000-0005-0000-0000-000073000000}"/>
    <cellStyle name="Percent 5" xfId="74" xr:uid="{00000000-0005-0000-0000-000074000000}"/>
    <cellStyle name="Percent 6" xfId="75" xr:uid="{00000000-0005-0000-0000-000075000000}"/>
    <cellStyle name="Percent 7" xfId="76" xr:uid="{00000000-0005-0000-0000-000076000000}"/>
    <cellStyle name="Percent 8" xfId="77" xr:uid="{00000000-0005-0000-0000-000077000000}"/>
    <cellStyle name="Percent 9" xfId="78" xr:uid="{00000000-0005-0000-0000-000078000000}"/>
    <cellStyle name="PSChar" xfId="19" xr:uid="{00000000-0005-0000-0000-000079000000}"/>
    <cellStyle name="subhead" xfId="79" xr:uid="{00000000-0005-0000-0000-00007A00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2" defaultPivotStyle="PivotStyleLight16">
    <tableStyle name="Table Style 1" pivot="0" count="2" xr9:uid="{00000000-0011-0000-FFFF-FFFF00000000}">
      <tableStyleElement type="wholeTable" dxfId="1"/>
      <tableStyleElement type="headerRow" dxfId="0"/>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44</xdr:row>
      <xdr:rowOff>76199</xdr:rowOff>
    </xdr:from>
    <xdr:to>
      <xdr:col>7</xdr:col>
      <xdr:colOff>695739</xdr:colOff>
      <xdr:row>48</xdr:row>
      <xdr:rowOff>140804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0" y="7696199"/>
          <a:ext cx="5384524" cy="727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Note 1: The</a:t>
          </a:r>
          <a:r>
            <a:rPr lang="en-US" sz="1000" b="0" i="0" baseline="0">
              <a:solidFill>
                <a:schemeClr val="dk1"/>
              </a:solidFill>
              <a:latin typeface="Arial" pitchFamily="34" charset="0"/>
              <a:ea typeface="+mn-ea"/>
              <a:cs typeface="Arial" pitchFamily="34" charset="0"/>
            </a:rPr>
            <a:t> July activity recorded above was calculated using only the billed portion of loads and the unbilled portion is recorded in August in order to adjust to a calandar year basis.</a:t>
          </a: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35</xdr:row>
      <xdr:rowOff>123825</xdr:rowOff>
    </xdr:from>
    <xdr:to>
      <xdr:col>13</xdr:col>
      <xdr:colOff>209550</xdr:colOff>
      <xdr:row>42</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5" y="5791200"/>
          <a:ext cx="9991725"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projected kilowatt-hours Included</a:t>
          </a:r>
          <a:r>
            <a:rPr lang="en-US" sz="1100" baseline="0"/>
            <a:t> above contain </a:t>
          </a:r>
          <a:r>
            <a:rPr lang="en-US" sz="1100"/>
            <a:t>both billed and unbilled customer loads. In past filings, prorations had been included for October and November to capture the unbilled loads in the following month when they are billed to customers.  Because both billed and unbilled are included above, no proration is needed.</a:t>
          </a:r>
          <a:r>
            <a:rPr lang="en-US" sz="1100" baseline="0"/>
            <a:t> </a:t>
          </a:r>
        </a:p>
        <a:p>
          <a:endParaRPr lang="en-US" sz="1100" baseline="0"/>
        </a:p>
        <a:p>
          <a:r>
            <a:rPr lang="en-US" sz="1100"/>
            <a:t>Note that either </a:t>
          </a:r>
          <a:r>
            <a:rPr lang="en-US" sz="1100" baseline="0"/>
            <a:t>method would inlcude one calandar year's worth of loads.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Normal="100" workbookViewId="0">
      <selection activeCell="J15" sqref="J15"/>
    </sheetView>
  </sheetViews>
  <sheetFormatPr defaultRowHeight="12.75"/>
  <cols>
    <col min="1" max="1" width="9.140625" style="25"/>
    <col min="2" max="2" width="3.140625" style="25" customWidth="1"/>
    <col min="3" max="5" width="9.140625" style="25"/>
    <col min="6" max="6" width="9.5703125" style="25" bestFit="1" customWidth="1"/>
    <col min="7" max="7" width="15" style="25" bestFit="1" customWidth="1"/>
    <col min="8" max="8" width="24.85546875" style="25" bestFit="1" customWidth="1"/>
    <col min="9" max="9" width="16" style="25" bestFit="1" customWidth="1"/>
    <col min="10" max="10" width="14.85546875" style="25" customWidth="1"/>
    <col min="11" max="11" width="14.140625" style="25" bestFit="1" customWidth="1"/>
    <col min="12" max="12" width="12.42578125" style="25" bestFit="1" customWidth="1"/>
    <col min="13" max="16384" width="9.140625" style="25"/>
  </cols>
  <sheetData>
    <row r="1" spans="1:8">
      <c r="A1" s="232" t="s">
        <v>16</v>
      </c>
      <c r="B1" s="232"/>
      <c r="C1" s="232"/>
      <c r="D1" s="232"/>
      <c r="E1" s="232"/>
      <c r="F1" s="232"/>
      <c r="G1" s="232"/>
      <c r="H1" s="232"/>
    </row>
    <row r="2" spans="1:8">
      <c r="A2" s="232" t="s">
        <v>55</v>
      </c>
      <c r="B2" s="232"/>
      <c r="C2" s="232"/>
      <c r="D2" s="232"/>
      <c r="E2" s="232"/>
      <c r="F2" s="232"/>
      <c r="G2" s="232"/>
      <c r="H2" s="232"/>
    </row>
    <row r="3" spans="1:8">
      <c r="A3" s="232" t="s">
        <v>27</v>
      </c>
      <c r="B3" s="232"/>
      <c r="C3" s="232"/>
      <c r="D3" s="232"/>
      <c r="E3" s="232"/>
      <c r="F3" s="232"/>
      <c r="G3" s="232"/>
      <c r="H3" s="232"/>
    </row>
    <row r="4" spans="1:8">
      <c r="A4" s="233" t="s">
        <v>112</v>
      </c>
      <c r="B4" s="233"/>
      <c r="C4" s="233"/>
      <c r="D4" s="233"/>
      <c r="E4" s="233"/>
      <c r="F4" s="233"/>
      <c r="G4" s="233"/>
      <c r="H4" s="233"/>
    </row>
    <row r="7" spans="1:8">
      <c r="A7" s="25" t="s">
        <v>156</v>
      </c>
      <c r="G7" s="26">
        <f>-'Projected Benefits'!F7</f>
        <v>-10780659.72582682</v>
      </c>
      <c r="H7" s="26"/>
    </row>
    <row r="8" spans="1:8">
      <c r="H8" s="26"/>
    </row>
    <row r="9" spans="1:8">
      <c r="A9" s="34" t="s">
        <v>100</v>
      </c>
      <c r="B9" s="34"/>
      <c r="G9" s="7">
        <f>'Washington ResX Balances'!F36</f>
        <v>936098.10156542284</v>
      </c>
      <c r="H9" s="26"/>
    </row>
    <row r="10" spans="1:8">
      <c r="G10" s="34"/>
      <c r="H10" s="26"/>
    </row>
    <row r="11" spans="1:8">
      <c r="A11" s="25" t="s">
        <v>30</v>
      </c>
      <c r="G11" s="46">
        <f>G7+G9</f>
        <v>-9844561.6242613979</v>
      </c>
      <c r="H11" s="26"/>
    </row>
    <row r="12" spans="1:8">
      <c r="G12" s="34"/>
      <c r="H12" s="26"/>
    </row>
    <row r="13" spans="1:8">
      <c r="A13" s="25" t="s">
        <v>54</v>
      </c>
      <c r="G13" s="173">
        <f>'Projected kWhs'!B27</f>
        <v>0.9560685516223647</v>
      </c>
      <c r="H13" s="28"/>
    </row>
    <row r="14" spans="1:8">
      <c r="G14" s="34"/>
      <c r="H14" s="26"/>
    </row>
    <row r="15" spans="1:8">
      <c r="A15" s="25" t="s">
        <v>31</v>
      </c>
      <c r="G15" s="46">
        <f>G11/G13</f>
        <v>-10296920.244428119</v>
      </c>
      <c r="H15" s="26"/>
    </row>
    <row r="16" spans="1:8">
      <c r="G16" s="34"/>
      <c r="H16" s="26"/>
    </row>
    <row r="17" spans="1:12">
      <c r="A17" s="25" t="s">
        <v>111</v>
      </c>
      <c r="G17" s="29">
        <f>'Projected kWhs'!N16*1000</f>
        <v>2665602607.3589158</v>
      </c>
      <c r="H17" s="26"/>
    </row>
    <row r="18" spans="1:12">
      <c r="H18" s="26"/>
    </row>
    <row r="19" spans="1:12" ht="13.5" thickBot="1">
      <c r="A19" s="159" t="s">
        <v>32</v>
      </c>
      <c r="B19" s="159"/>
      <c r="C19" s="159"/>
      <c r="D19" s="159"/>
      <c r="E19" s="159"/>
      <c r="F19" s="159"/>
      <c r="G19" s="160">
        <f>ROUND(G15/G17,5)</f>
        <v>-3.8600000000000001E-3</v>
      </c>
      <c r="H19" s="30"/>
    </row>
    <row r="20" spans="1:12" ht="13.5" thickTop="1">
      <c r="H20" s="26"/>
    </row>
    <row r="21" spans="1:12">
      <c r="G21" s="26">
        <f>+G17*G19</f>
        <v>-10289226.064405415</v>
      </c>
      <c r="H21" s="26"/>
    </row>
    <row r="22" spans="1:12">
      <c r="H22" s="26"/>
    </row>
    <row r="23" spans="1:12">
      <c r="H23" s="26"/>
    </row>
    <row r="24" spans="1:12">
      <c r="A24" s="31" t="s">
        <v>33</v>
      </c>
      <c r="H24" s="26"/>
    </row>
    <row r="25" spans="1:12">
      <c r="A25" s="25" t="s">
        <v>34</v>
      </c>
      <c r="G25" s="38">
        <f>ROUND(G19,5)</f>
        <v>-3.8600000000000001E-3</v>
      </c>
      <c r="H25" s="30"/>
      <c r="K25" s="26"/>
    </row>
    <row r="26" spans="1:12">
      <c r="A26" s="25" t="s">
        <v>35</v>
      </c>
      <c r="G26" s="32">
        <f>'Projected kWhs'!C25</f>
        <v>-4.2599999999999999E-3</v>
      </c>
      <c r="H26" s="30"/>
      <c r="K26" s="26"/>
    </row>
    <row r="27" spans="1:12" ht="13.5" thickBot="1">
      <c r="A27" s="25" t="s">
        <v>36</v>
      </c>
      <c r="G27" s="33">
        <f>G25-G26</f>
        <v>3.9999999999999975E-4</v>
      </c>
      <c r="H27" s="229"/>
      <c r="I27" s="26"/>
      <c r="K27" s="46"/>
    </row>
    <row r="28" spans="1:12" ht="13.5" thickTop="1">
      <c r="H28" s="26"/>
      <c r="J28" s="34"/>
      <c r="K28" s="190"/>
    </row>
    <row r="29" spans="1:12">
      <c r="A29" s="34" t="s">
        <v>149</v>
      </c>
      <c r="E29" s="34"/>
      <c r="F29" s="34"/>
      <c r="G29" s="34"/>
      <c r="H29" s="26"/>
      <c r="J29" s="34"/>
    </row>
    <row r="30" spans="1:12">
      <c r="A30" s="25" t="s">
        <v>37</v>
      </c>
      <c r="E30" s="34"/>
      <c r="F30" s="34"/>
      <c r="G30" s="183">
        <v>9</v>
      </c>
      <c r="H30" s="36"/>
      <c r="I30" s="162"/>
      <c r="J30" s="34"/>
      <c r="K30" s="34"/>
      <c r="L30" s="34"/>
    </row>
    <row r="31" spans="1:12">
      <c r="A31" s="25" t="s">
        <v>64</v>
      </c>
      <c r="E31" s="34">
        <v>800</v>
      </c>
      <c r="F31" s="184">
        <v>8.2159999999999997E-2</v>
      </c>
      <c r="G31" s="35">
        <f>ROUND(E31*F31,2)</f>
        <v>65.73</v>
      </c>
      <c r="H31" s="30"/>
      <c r="J31" s="34"/>
      <c r="K31" s="34"/>
      <c r="L31" s="34"/>
    </row>
    <row r="32" spans="1:12">
      <c r="A32" s="25" t="s">
        <v>65</v>
      </c>
      <c r="E32" s="34">
        <v>132</v>
      </c>
      <c r="F32" s="184">
        <v>9.6970000000000001E-2</v>
      </c>
      <c r="G32" s="35">
        <f>ROUND(E32*F32,2)</f>
        <v>12.8</v>
      </c>
      <c r="H32" s="30"/>
      <c r="J32" s="34"/>
      <c r="K32" s="34"/>
      <c r="L32" s="34"/>
    </row>
    <row r="33" spans="1:13">
      <c r="A33" s="25" t="s">
        <v>15</v>
      </c>
      <c r="E33" s="34"/>
      <c r="F33" s="37"/>
      <c r="G33" s="35">
        <f>SUM(G30:G32)</f>
        <v>87.53</v>
      </c>
      <c r="H33" s="30"/>
      <c r="J33" s="34"/>
      <c r="K33" s="34"/>
      <c r="L33" s="34"/>
    </row>
    <row r="34" spans="1:13">
      <c r="A34" s="25" t="s">
        <v>38</v>
      </c>
      <c r="E34" s="34"/>
      <c r="F34" s="34"/>
      <c r="G34" s="35">
        <f>ROUND(G33,2)</f>
        <v>87.53</v>
      </c>
      <c r="J34" s="34"/>
      <c r="K34" s="34"/>
      <c r="L34" s="34"/>
    </row>
    <row r="35" spans="1:13">
      <c r="E35" s="27"/>
      <c r="F35" s="34"/>
      <c r="H35" s="36"/>
      <c r="J35" s="34"/>
      <c r="K35" s="34"/>
      <c r="L35" s="34"/>
    </row>
    <row r="36" spans="1:13">
      <c r="A36" s="25" t="s">
        <v>32</v>
      </c>
      <c r="C36" s="99" t="str">
        <f>IF(F36&lt;0,"Decrease","Increase")</f>
        <v>Increase</v>
      </c>
      <c r="E36" s="34">
        <f>SUM(E31:E35)</f>
        <v>932</v>
      </c>
      <c r="F36" s="38">
        <f>G27</f>
        <v>3.9999999999999975E-4</v>
      </c>
      <c r="G36" s="36">
        <f>E36*F36</f>
        <v>0.37279999999999974</v>
      </c>
      <c r="H36" s="36"/>
    </row>
    <row r="37" spans="1:13">
      <c r="E37" s="34"/>
      <c r="F37" s="34"/>
      <c r="H37" s="36"/>
    </row>
    <row r="38" spans="1:13">
      <c r="B38" s="98" t="s">
        <v>76</v>
      </c>
      <c r="C38" s="99" t="str">
        <f>IF(F36&lt;0,"Decrease","Increase")</f>
        <v>Increase</v>
      </c>
      <c r="E38" s="34"/>
      <c r="F38" s="34"/>
      <c r="G38" s="179">
        <f>G36/G33</f>
        <v>4.2591111618873502E-3</v>
      </c>
      <c r="H38" s="39"/>
    </row>
    <row r="39" spans="1:13">
      <c r="E39" s="34"/>
      <c r="F39" s="34"/>
    </row>
    <row r="40" spans="1:13">
      <c r="E40" s="34"/>
      <c r="F40" s="34"/>
      <c r="G40" s="36"/>
    </row>
    <row r="41" spans="1:13">
      <c r="I41" s="25" t="s">
        <v>101</v>
      </c>
      <c r="J41" s="175" t="s">
        <v>92</v>
      </c>
      <c r="K41" s="226">
        <v>240022000</v>
      </c>
      <c r="L41" s="162">
        <f>('Projected kWhs'!N11*1000)*'Proposed ResEx Rate'!$G$27</f>
        <v>1021499.5858405011</v>
      </c>
      <c r="M41" s="39">
        <f>L41/K41</f>
        <v>4.2558581540046376E-3</v>
      </c>
    </row>
    <row r="42" spans="1:13">
      <c r="I42" s="25" t="s">
        <v>102</v>
      </c>
      <c r="J42" s="175" t="s">
        <v>103</v>
      </c>
      <c r="K42" s="226">
        <v>87407000</v>
      </c>
      <c r="L42" s="162">
        <f>('Projected kWhs'!N12*1000)*'Proposed ResEx Rate'!$G$27</f>
        <v>28075.080817563157</v>
      </c>
      <c r="M42" s="39">
        <f>L42/K42</f>
        <v>3.211994556221259E-4</v>
      </c>
    </row>
    <row r="43" spans="1:13">
      <c r="I43" s="25" t="s">
        <v>104</v>
      </c>
      <c r="J43" s="176" t="s">
        <v>105</v>
      </c>
      <c r="K43" s="226">
        <v>142809000</v>
      </c>
      <c r="L43" s="162">
        <f>('Projected kWhs'!N13*1000)*'Proposed ResEx Rate'!$G$27</f>
        <v>12251.493871042361</v>
      </c>
      <c r="M43" s="39">
        <f>L43/K43</f>
        <v>8.5789368114351069E-5</v>
      </c>
    </row>
    <row r="44" spans="1:13">
      <c r="I44" s="25" t="s">
        <v>106</v>
      </c>
      <c r="J44" s="174">
        <v>25</v>
      </c>
      <c r="K44" s="226">
        <f>41422000+22445000</f>
        <v>63867000</v>
      </c>
    </row>
    <row r="45" spans="1:13">
      <c r="I45" s="25" t="s">
        <v>107</v>
      </c>
      <c r="J45" s="176" t="s">
        <v>108</v>
      </c>
      <c r="K45" s="226">
        <v>15745000</v>
      </c>
      <c r="L45" s="162">
        <f>('Projected kWhs'!N14*1000)*'Proposed ResEx Rate'!$G$27</f>
        <v>3558.8611480551422</v>
      </c>
      <c r="M45" s="39">
        <f>L45/K45</f>
        <v>2.2603119390632849E-4</v>
      </c>
    </row>
    <row r="46" spans="1:13">
      <c r="I46" s="25" t="s">
        <v>109</v>
      </c>
      <c r="J46" s="174" t="s">
        <v>110</v>
      </c>
      <c r="K46" s="226">
        <v>7098000</v>
      </c>
      <c r="L46" s="162">
        <f>('Projected kWhs'!N15*1000)*'Proposed ResEx Rate'!$G$27</f>
        <v>856.02126640399933</v>
      </c>
      <c r="M46" s="39">
        <f>L46/K46</f>
        <v>1.2060034747872631E-4</v>
      </c>
    </row>
    <row r="47" spans="1:13">
      <c r="I47" s="177" t="s">
        <v>94</v>
      </c>
      <c r="J47" s="174"/>
      <c r="K47" s="227">
        <f>SUM(K41:K46)</f>
        <v>556948000</v>
      </c>
      <c r="L47" s="162">
        <f>('Projected kWhs'!N16*1000)*'Proposed ResEx Rate'!$G$27</f>
        <v>1066241.0429435656</v>
      </c>
      <c r="M47" s="39">
        <f>L47/K47</f>
        <v>1.9144355360708103E-3</v>
      </c>
    </row>
    <row r="48" spans="1:13">
      <c r="K48" s="25">
        <f>-G21/'Proposed ResEx Rate'!K47</f>
        <v>1.847430292308333E-2</v>
      </c>
    </row>
  </sheetData>
  <mergeCells count="4">
    <mergeCell ref="A2:H2"/>
    <mergeCell ref="A1:H1"/>
    <mergeCell ref="A3:H3"/>
    <mergeCell ref="A4:H4"/>
  </mergeCells>
  <pageMargins left="1.01" right="0.7" top="0.75" bottom="0.75" header="0.3" footer="0.3"/>
  <pageSetup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zoomScale="115" zoomScaleNormal="115" workbookViewId="0">
      <selection activeCell="F17" sqref="F17"/>
    </sheetView>
  </sheetViews>
  <sheetFormatPr defaultRowHeight="12.75"/>
  <cols>
    <col min="1" max="1" width="7.7109375" customWidth="1"/>
    <col min="2" max="2" width="10.140625" bestFit="1" customWidth="1"/>
    <col min="6" max="6" width="16.5703125" bestFit="1" customWidth="1"/>
    <col min="8" max="8" width="11.28515625" bestFit="1" customWidth="1"/>
    <col min="11" max="11" width="11.7109375" bestFit="1" customWidth="1"/>
    <col min="12" max="12" width="10.7109375" bestFit="1" customWidth="1"/>
    <col min="14" max="14" width="11.140625" bestFit="1" customWidth="1"/>
  </cols>
  <sheetData>
    <row r="1" spans="1:8">
      <c r="A1" s="237" t="s">
        <v>16</v>
      </c>
      <c r="B1" s="237"/>
      <c r="C1" s="237"/>
      <c r="D1" s="237"/>
      <c r="E1" s="237"/>
      <c r="F1" s="237"/>
      <c r="G1" s="237"/>
      <c r="H1" s="237"/>
    </row>
    <row r="2" spans="1:8">
      <c r="A2" s="237" t="s">
        <v>56</v>
      </c>
      <c r="B2" s="237"/>
      <c r="C2" s="237"/>
      <c r="D2" s="237"/>
      <c r="E2" s="237"/>
      <c r="F2" s="237"/>
      <c r="G2" s="237"/>
      <c r="H2" s="237"/>
    </row>
    <row r="3" spans="1:8">
      <c r="A3" s="237" t="s">
        <v>17</v>
      </c>
      <c r="B3" s="237"/>
      <c r="C3" s="237"/>
      <c r="D3" s="237"/>
      <c r="E3" s="237"/>
      <c r="F3" s="237"/>
      <c r="G3" s="237"/>
      <c r="H3" s="237"/>
    </row>
    <row r="5" spans="1:8">
      <c r="F5" s="9"/>
    </row>
    <row r="6" spans="1:8">
      <c r="A6" t="s">
        <v>18</v>
      </c>
      <c r="B6" s="3">
        <v>45077</v>
      </c>
      <c r="C6" t="s">
        <v>24</v>
      </c>
      <c r="F6" s="166">
        <v>539337.46</v>
      </c>
      <c r="H6" s="165">
        <v>5.0299999999999997E-2</v>
      </c>
    </row>
    <row r="7" spans="1:8">
      <c r="B7" t="s">
        <v>39</v>
      </c>
      <c r="F7" s="167">
        <v>-879383.01</v>
      </c>
      <c r="H7" s="164"/>
    </row>
    <row r="8" spans="1:8">
      <c r="B8" t="s">
        <v>20</v>
      </c>
      <c r="F8" s="167">
        <v>726345.03</v>
      </c>
    </row>
    <row r="9" spans="1:8">
      <c r="B9" t="s">
        <v>21</v>
      </c>
      <c r="F9" s="168">
        <v>2215.7800000000002</v>
      </c>
    </row>
    <row r="10" spans="1:8">
      <c r="A10" t="s">
        <v>18</v>
      </c>
      <c r="B10" s="3">
        <v>45107</v>
      </c>
      <c r="C10" t="s">
        <v>24</v>
      </c>
      <c r="F10" s="9">
        <f>SUM(F6:F9)</f>
        <v>388515.26</v>
      </c>
    </row>
    <row r="11" spans="1:8">
      <c r="B11" t="s">
        <v>19</v>
      </c>
      <c r="F11" s="167">
        <v>-706211.91</v>
      </c>
    </row>
    <row r="12" spans="1:8">
      <c r="B12" t="s">
        <v>20</v>
      </c>
      <c r="F12" s="167">
        <v>844981.19</v>
      </c>
      <c r="G12" s="5"/>
    </row>
    <row r="13" spans="1:8">
      <c r="B13" t="s">
        <v>21</v>
      </c>
      <c r="F13" s="168">
        <v>1628.53</v>
      </c>
      <c r="G13" s="5"/>
      <c r="H13" s="23"/>
    </row>
    <row r="14" spans="1:8">
      <c r="A14" t="s">
        <v>18</v>
      </c>
      <c r="B14" s="3">
        <v>45138</v>
      </c>
      <c r="C14" s="5" t="s">
        <v>24</v>
      </c>
      <c r="F14" s="9">
        <f>SUM(F10:F13)</f>
        <v>528913.06999999995</v>
      </c>
      <c r="G14" s="5"/>
    </row>
    <row r="15" spans="1:8">
      <c r="B15" t="s">
        <v>22</v>
      </c>
      <c r="F15" s="167">
        <v>-680791.97</v>
      </c>
      <c r="G15" s="5"/>
      <c r="H15" s="21"/>
    </row>
    <row r="16" spans="1:8" s="99" customFormat="1">
      <c r="B16" s="99" t="s">
        <v>89</v>
      </c>
      <c r="F16" s="9">
        <f>-'July Unbilled'!D22</f>
        <v>308197.73085708689</v>
      </c>
      <c r="G16" s="5"/>
      <c r="H16" s="21"/>
    </row>
    <row r="17" spans="1:17">
      <c r="B17" t="s">
        <v>20</v>
      </c>
      <c r="F17" s="62">
        <f>-'Projected kWhs'!B28*1000</f>
        <v>913964.47401291225</v>
      </c>
      <c r="G17" s="5"/>
      <c r="H17" s="9"/>
      <c r="I17" s="5"/>
      <c r="K17" s="4"/>
      <c r="N17" s="4"/>
      <c r="P17" s="4"/>
      <c r="Q17" s="4"/>
    </row>
    <row r="18" spans="1:17">
      <c r="B18" t="s">
        <v>21</v>
      </c>
      <c r="F18" s="63">
        <f>(F14*H6)/12</f>
        <v>2217.027285083333</v>
      </c>
      <c r="G18" s="5"/>
      <c r="H18" s="9"/>
    </row>
    <row r="19" spans="1:17">
      <c r="A19" t="s">
        <v>18</v>
      </c>
      <c r="B19" s="3">
        <v>45169</v>
      </c>
      <c r="C19" s="99" t="s">
        <v>25</v>
      </c>
      <c r="F19" s="9">
        <f>SUM(F14:F18)</f>
        <v>1072500.3321550826</v>
      </c>
      <c r="G19" s="5"/>
      <c r="H19" s="21"/>
    </row>
    <row r="20" spans="1:17">
      <c r="B20" t="s">
        <v>23</v>
      </c>
      <c r="F20" s="167">
        <v>-737270.71</v>
      </c>
      <c r="G20" s="5"/>
      <c r="H20" s="21"/>
    </row>
    <row r="21" spans="1:17">
      <c r="B21" t="s">
        <v>20</v>
      </c>
      <c r="F21" s="62">
        <f>-'Projected kWhs'!C28*1000</f>
        <v>698230.36421832896</v>
      </c>
      <c r="G21" s="8"/>
      <c r="H21" s="21"/>
    </row>
    <row r="22" spans="1:17">
      <c r="B22" t="s">
        <v>21</v>
      </c>
      <c r="F22" s="63">
        <f>(F19*H6)/12</f>
        <v>4495.5638922833878</v>
      </c>
      <c r="G22" s="5"/>
      <c r="H22" s="21"/>
    </row>
    <row r="23" spans="1:17">
      <c r="A23" t="s">
        <v>18</v>
      </c>
      <c r="B23" s="3">
        <v>45199</v>
      </c>
      <c r="C23" t="s">
        <v>25</v>
      </c>
      <c r="F23" s="9">
        <f>SUM(F19:F22)</f>
        <v>1037955.550265695</v>
      </c>
      <c r="G23" s="5"/>
      <c r="H23" s="21"/>
    </row>
    <row r="24" spans="1:17">
      <c r="B24" t="s">
        <v>26</v>
      </c>
      <c r="F24" s="167">
        <v>-844213</v>
      </c>
      <c r="G24" s="5"/>
      <c r="H24" s="21"/>
    </row>
    <row r="25" spans="1:17">
      <c r="B25" t="s">
        <v>20</v>
      </c>
      <c r="F25" s="62">
        <f>-'Projected kWhs'!D28*1000</f>
        <v>738004.78761819704</v>
      </c>
      <c r="G25" s="8"/>
      <c r="H25" s="21"/>
    </row>
    <row r="26" spans="1:17">
      <c r="B26" t="s">
        <v>21</v>
      </c>
      <c r="F26" s="63">
        <f>(F23*H6)/12</f>
        <v>4350.7636815303713</v>
      </c>
      <c r="G26" s="5"/>
      <c r="H26" s="21"/>
    </row>
    <row r="27" spans="1:17">
      <c r="A27" s="99" t="s">
        <v>18</v>
      </c>
      <c r="B27" s="3">
        <v>45230</v>
      </c>
      <c r="C27" s="99" t="s">
        <v>25</v>
      </c>
      <c r="F27" s="145">
        <f>SUM(F23:F26)</f>
        <v>936098.10156542237</v>
      </c>
      <c r="G27" s="8"/>
      <c r="H27" s="21"/>
    </row>
    <row r="28" spans="1:17">
      <c r="F28" s="4"/>
      <c r="H28" s="21"/>
    </row>
    <row r="29" spans="1:17">
      <c r="F29" s="4"/>
    </row>
    <row r="30" spans="1:17">
      <c r="A30" s="1" t="s">
        <v>28</v>
      </c>
      <c r="F30" s="4"/>
    </row>
    <row r="31" spans="1:17">
      <c r="A31" t="s">
        <v>139</v>
      </c>
      <c r="F31" s="144">
        <f>F6</f>
        <v>539337.46</v>
      </c>
    </row>
    <row r="32" spans="1:17">
      <c r="A32" t="s">
        <v>29</v>
      </c>
      <c r="F32" s="21">
        <f>F20+F24+F15+F11+F7</f>
        <v>-3847870.5999999996</v>
      </c>
    </row>
    <row r="33" spans="1:6">
      <c r="A33" t="s">
        <v>66</v>
      </c>
      <c r="F33" s="2">
        <f>F16</f>
        <v>308197.73085708689</v>
      </c>
    </row>
    <row r="34" spans="1:6">
      <c r="A34" t="s">
        <v>20</v>
      </c>
      <c r="F34" s="2">
        <f>F21+F25+F17+F12+F8</f>
        <v>3921525.8458494386</v>
      </c>
    </row>
    <row r="35" spans="1:6">
      <c r="A35" t="s">
        <v>21</v>
      </c>
      <c r="F35" s="143">
        <f>F22+F26+F18+F13+F9</f>
        <v>14907.664858897095</v>
      </c>
    </row>
    <row r="36" spans="1:6">
      <c r="A36" t="s">
        <v>18</v>
      </c>
      <c r="F36" s="144">
        <f>SUM(F31:F35)</f>
        <v>936098.10156542284</v>
      </c>
    </row>
    <row r="37" spans="1:6">
      <c r="F37" s="4"/>
    </row>
    <row r="41" spans="1:6">
      <c r="A41" s="99"/>
    </row>
  </sheetData>
  <mergeCells count="3">
    <mergeCell ref="A1:H1"/>
    <mergeCell ref="A2:H2"/>
    <mergeCell ref="A3:H3"/>
  </mergeCells>
  <pageMargins left="1.01" right="0.7" top="0.75" bottom="0.75" header="0.3" footer="0.3"/>
  <pageSetup orientation="portrait" r:id="rId1"/>
  <headerFooter>
    <oddFooter>&amp;L&amp;A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9"/>
  <sheetViews>
    <sheetView view="pageLayout" zoomScaleNormal="100" workbookViewId="0">
      <selection activeCell="A21" sqref="A21"/>
    </sheetView>
  </sheetViews>
  <sheetFormatPr defaultRowHeight="12.75"/>
  <cols>
    <col min="1" max="2" width="9.140625" style="25"/>
    <col min="3" max="3" width="6.85546875" style="25" customWidth="1"/>
    <col min="4" max="4" width="14" style="25" bestFit="1" customWidth="1"/>
    <col min="5" max="5" width="8.28515625" style="25" bestFit="1" customWidth="1"/>
    <col min="6" max="6" width="12.28515625" style="25" customWidth="1"/>
    <col min="7" max="7" width="12.7109375" style="25" bestFit="1" customWidth="1"/>
    <col min="8" max="8" width="8.28515625" style="25" bestFit="1" customWidth="1"/>
    <col min="9" max="9" width="10.140625" style="25" bestFit="1" customWidth="1"/>
    <col min="10" max="10" width="12.7109375" style="25" bestFit="1" customWidth="1"/>
    <col min="11" max="11" width="5.7109375" style="25" bestFit="1" customWidth="1"/>
    <col min="12" max="12" width="12.28515625" style="25" customWidth="1"/>
    <col min="13" max="16384" width="9.140625" style="25"/>
  </cols>
  <sheetData>
    <row r="1" spans="1:14">
      <c r="A1" s="232" t="s">
        <v>16</v>
      </c>
      <c r="B1" s="232"/>
      <c r="C1" s="232"/>
      <c r="D1" s="232"/>
      <c r="E1" s="232"/>
      <c r="F1" s="232"/>
      <c r="G1" s="232"/>
      <c r="H1" s="232"/>
      <c r="I1" s="232"/>
      <c r="J1" s="232"/>
      <c r="K1" s="232"/>
      <c r="L1" s="67"/>
      <c r="M1" s="67"/>
      <c r="N1" s="67"/>
    </row>
    <row r="2" spans="1:14" ht="14.25" customHeight="1">
      <c r="A2" s="232" t="s">
        <v>40</v>
      </c>
      <c r="B2" s="232"/>
      <c r="C2" s="232"/>
      <c r="D2" s="232"/>
      <c r="E2" s="232"/>
      <c r="F2" s="232"/>
      <c r="G2" s="232"/>
      <c r="H2" s="232"/>
      <c r="I2" s="232"/>
      <c r="J2" s="232"/>
      <c r="K2" s="232"/>
      <c r="L2" s="67"/>
      <c r="M2" s="67"/>
      <c r="N2" s="67"/>
    </row>
    <row r="4" spans="1:14">
      <c r="G4" s="24"/>
      <c r="H4" s="40"/>
      <c r="I4" s="41"/>
      <c r="J4" s="40"/>
      <c r="K4" s="40"/>
      <c r="L4" s="40"/>
    </row>
    <row r="5" spans="1:14">
      <c r="G5" s="40"/>
      <c r="H5" s="40"/>
      <c r="I5" s="40"/>
      <c r="J5" s="40"/>
      <c r="K5" s="40"/>
    </row>
    <row r="6" spans="1:14">
      <c r="A6" s="64" t="s">
        <v>147</v>
      </c>
      <c r="D6" s="42" t="s">
        <v>63</v>
      </c>
      <c r="E6" s="42" t="s">
        <v>3</v>
      </c>
      <c r="F6" s="42" t="s">
        <v>42</v>
      </c>
      <c r="J6" s="40"/>
      <c r="K6" s="40"/>
    </row>
    <row r="7" spans="1:14">
      <c r="A7" s="25" t="s">
        <v>13</v>
      </c>
      <c r="D7" s="43">
        <f>+'Load Calculation'!F24</f>
        <v>2757201975.9147902</v>
      </c>
      <c r="E7" s="44">
        <f>D7/D9</f>
        <v>0.66778496294607281</v>
      </c>
      <c r="F7" s="26">
        <f>F9*E7</f>
        <v>10780659.72582682</v>
      </c>
    </row>
    <row r="8" spans="1:14">
      <c r="A8" s="25" t="s">
        <v>14</v>
      </c>
      <c r="D8" s="29">
        <f>+'Load Calculation'!E24</f>
        <v>1371675026.2728872</v>
      </c>
      <c r="E8" s="45">
        <f>D8/D9</f>
        <v>0.33221503705392724</v>
      </c>
      <c r="F8" s="7">
        <f>F9*E8</f>
        <v>5363249.3527269848</v>
      </c>
    </row>
    <row r="9" spans="1:14">
      <c r="A9" s="25" t="s">
        <v>15</v>
      </c>
      <c r="D9" s="6">
        <f>D7+D8</f>
        <v>4128877002.1876774</v>
      </c>
      <c r="E9" s="44">
        <f>E7+E8</f>
        <v>1</v>
      </c>
      <c r="F9" s="46">
        <f>D17</f>
        <v>16143909.078553805</v>
      </c>
    </row>
    <row r="12" spans="1:14">
      <c r="A12" s="25" t="s">
        <v>11</v>
      </c>
      <c r="C12" s="47"/>
      <c r="D12" s="131">
        <v>70.61</v>
      </c>
    </row>
    <row r="13" spans="1:14">
      <c r="A13" s="34" t="s">
        <v>12</v>
      </c>
      <c r="C13" s="49"/>
      <c r="D13" s="132">
        <v>66.7</v>
      </c>
      <c r="E13" s="34"/>
    </row>
    <row r="14" spans="1:14">
      <c r="C14" s="49"/>
      <c r="D14" s="48">
        <f>D12-D13</f>
        <v>3.9099999999999966</v>
      </c>
      <c r="E14" s="34"/>
    </row>
    <row r="15" spans="1:14">
      <c r="C15" s="49"/>
      <c r="D15" s="48"/>
      <c r="E15" s="34"/>
    </row>
    <row r="16" spans="1:14">
      <c r="A16" s="25" t="s">
        <v>52</v>
      </c>
      <c r="C16" s="49"/>
      <c r="D16" s="50">
        <f>D9</f>
        <v>4128877002.1876774</v>
      </c>
      <c r="E16" s="34"/>
    </row>
    <row r="17" spans="1:18">
      <c r="A17" s="25" t="s">
        <v>53</v>
      </c>
      <c r="C17" s="51"/>
      <c r="D17" s="50">
        <f>D14*D16/1000</f>
        <v>16143909.078553805</v>
      </c>
      <c r="E17" s="34"/>
      <c r="P17" s="52"/>
      <c r="Q17" s="52"/>
      <c r="R17" s="52"/>
    </row>
    <row r="18" spans="1:18">
      <c r="E18" s="34"/>
      <c r="P18" s="53"/>
      <c r="Q18" s="53"/>
      <c r="R18" s="53"/>
    </row>
    <row r="19" spans="1:18">
      <c r="E19" s="34"/>
      <c r="P19" s="53"/>
      <c r="Q19" s="53"/>
      <c r="R19" s="53"/>
    </row>
    <row r="20" spans="1:18">
      <c r="A20" s="25" t="s">
        <v>148</v>
      </c>
      <c r="C20" s="47"/>
      <c r="D20" s="34"/>
      <c r="E20" s="34"/>
      <c r="P20" s="53"/>
      <c r="Q20" s="53"/>
      <c r="R20" s="53"/>
    </row>
    <row r="21" spans="1:18">
      <c r="C21" s="49"/>
      <c r="D21" s="34"/>
      <c r="E21" s="34"/>
      <c r="P21" s="54"/>
      <c r="Q21" s="54"/>
      <c r="R21" s="54"/>
    </row>
    <row r="22" spans="1:18">
      <c r="C22" s="49"/>
      <c r="D22" s="34"/>
      <c r="E22" s="34"/>
    </row>
    <row r="23" spans="1:18">
      <c r="C23" s="47"/>
      <c r="D23" s="34"/>
      <c r="E23" s="34"/>
    </row>
    <row r="24" spans="1:18">
      <c r="C24" s="49"/>
      <c r="D24" s="34"/>
      <c r="E24" s="34"/>
    </row>
    <row r="25" spans="1:18">
      <c r="C25" s="51"/>
      <c r="D25" s="34"/>
      <c r="E25" s="34"/>
    </row>
    <row r="26" spans="1:18">
      <c r="C26" s="51"/>
      <c r="D26" s="34"/>
      <c r="E26" s="34"/>
    </row>
    <row r="27" spans="1:18">
      <c r="C27" s="47"/>
      <c r="D27" s="34"/>
      <c r="E27" s="34"/>
    </row>
    <row r="28" spans="1:18">
      <c r="C28" s="47"/>
      <c r="D28" s="34"/>
      <c r="E28" s="34"/>
    </row>
    <row r="29" spans="1:18">
      <c r="C29" s="34"/>
      <c r="D29" s="34"/>
      <c r="E29" s="34"/>
    </row>
  </sheetData>
  <mergeCells count="2">
    <mergeCell ref="A1:K1"/>
    <mergeCell ref="A2:K2"/>
  </mergeCells>
  <pageMargins left="1.01" right="0.7" top="0.75" bottom="0.75" header="0.3" footer="0.3"/>
  <pageSetup orientation="landscape" r:id="rId1"/>
  <headerFoot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8"/>
  <sheetViews>
    <sheetView zoomScaleNormal="100" workbookViewId="0">
      <selection activeCell="H28" sqref="H28"/>
    </sheetView>
  </sheetViews>
  <sheetFormatPr defaultRowHeight="12.75"/>
  <cols>
    <col min="1" max="1" width="13.140625" style="25" bestFit="1" customWidth="1"/>
    <col min="2" max="2" width="12.85546875" style="25" bestFit="1" customWidth="1"/>
    <col min="3" max="3" width="12.42578125" style="25" bestFit="1" customWidth="1"/>
    <col min="4" max="13" width="12.28515625" style="25" bestFit="1" customWidth="1"/>
    <col min="14" max="14" width="14" style="25" bestFit="1" customWidth="1"/>
    <col min="15" max="16" width="11.28515625" style="25" bestFit="1" customWidth="1"/>
    <col min="17" max="17" width="9.140625" style="25"/>
    <col min="18" max="19" width="16" style="25" bestFit="1" customWidth="1"/>
    <col min="20" max="20" width="14" style="25" bestFit="1" customWidth="1"/>
    <col min="21" max="16384" width="9.140625" style="25"/>
  </cols>
  <sheetData>
    <row r="1" spans="1:20">
      <c r="A1" s="232" t="s">
        <v>2</v>
      </c>
      <c r="B1" s="232"/>
      <c r="C1" s="232"/>
      <c r="D1" s="232"/>
      <c r="E1" s="232"/>
      <c r="F1" s="232"/>
      <c r="G1" s="232"/>
      <c r="H1" s="232"/>
      <c r="I1" s="232"/>
      <c r="J1" s="232"/>
      <c r="K1" s="232"/>
      <c r="L1" s="232"/>
      <c r="M1" s="232"/>
      <c r="N1" s="232"/>
      <c r="O1" s="232"/>
      <c r="P1" s="232"/>
    </row>
    <row r="2" spans="1:20">
      <c r="A2" s="232" t="s">
        <v>8</v>
      </c>
      <c r="B2" s="232"/>
      <c r="C2" s="232"/>
      <c r="D2" s="232"/>
      <c r="E2" s="232"/>
      <c r="F2" s="232"/>
      <c r="G2" s="232"/>
      <c r="H2" s="232"/>
      <c r="I2" s="232"/>
      <c r="J2" s="232"/>
      <c r="K2" s="232"/>
      <c r="L2" s="232"/>
      <c r="M2" s="232"/>
      <c r="N2" s="232"/>
      <c r="O2" s="232"/>
      <c r="P2" s="232"/>
    </row>
    <row r="3" spans="1:20">
      <c r="A3" s="232" t="s">
        <v>10</v>
      </c>
      <c r="B3" s="232"/>
      <c r="C3" s="232"/>
      <c r="D3" s="232"/>
      <c r="E3" s="232"/>
      <c r="F3" s="232"/>
      <c r="G3" s="232"/>
      <c r="H3" s="232"/>
      <c r="I3" s="232"/>
      <c r="J3" s="232"/>
      <c r="K3" s="232"/>
      <c r="L3" s="232"/>
      <c r="M3" s="232"/>
      <c r="N3" s="232"/>
      <c r="O3" s="232"/>
      <c r="P3" s="232"/>
    </row>
    <row r="4" spans="1:20">
      <c r="A4" s="233" t="s">
        <v>62</v>
      </c>
      <c r="B4" s="233"/>
      <c r="C4" s="233"/>
      <c r="D4" s="233"/>
      <c r="E4" s="233"/>
      <c r="F4" s="233"/>
      <c r="G4" s="233"/>
      <c r="H4" s="233"/>
      <c r="I4" s="233"/>
      <c r="J4" s="233"/>
      <c r="K4" s="233"/>
      <c r="L4" s="233"/>
      <c r="M4" s="233"/>
      <c r="N4" s="233"/>
      <c r="O4" s="233"/>
      <c r="P4" s="233"/>
    </row>
    <row r="6" spans="1:20">
      <c r="A6" s="55" t="s">
        <v>88</v>
      </c>
    </row>
    <row r="7" spans="1:20">
      <c r="A7" s="55" t="s">
        <v>9</v>
      </c>
    </row>
    <row r="9" spans="1:20">
      <c r="A9" s="56"/>
      <c r="B9" s="163">
        <f>+B46</f>
        <v>45231</v>
      </c>
      <c r="C9" s="163">
        <f t="shared" ref="C9:M9" si="0">+C46</f>
        <v>45261</v>
      </c>
      <c r="D9" s="163">
        <f t="shared" si="0"/>
        <v>45292</v>
      </c>
      <c r="E9" s="163">
        <f t="shared" si="0"/>
        <v>45323</v>
      </c>
      <c r="F9" s="163">
        <f t="shared" si="0"/>
        <v>45352</v>
      </c>
      <c r="G9" s="163">
        <f t="shared" si="0"/>
        <v>45383</v>
      </c>
      <c r="H9" s="163">
        <f t="shared" si="0"/>
        <v>45413</v>
      </c>
      <c r="I9" s="163">
        <f t="shared" si="0"/>
        <v>45444</v>
      </c>
      <c r="J9" s="163">
        <f t="shared" si="0"/>
        <v>45474</v>
      </c>
      <c r="K9" s="163">
        <f t="shared" si="0"/>
        <v>45505</v>
      </c>
      <c r="L9" s="163">
        <f t="shared" si="0"/>
        <v>45536</v>
      </c>
      <c r="M9" s="163">
        <f t="shared" si="0"/>
        <v>45566</v>
      </c>
      <c r="N9" s="85" t="s">
        <v>0</v>
      </c>
    </row>
    <row r="10" spans="1:20">
      <c r="A10" s="31" t="s">
        <v>0</v>
      </c>
    </row>
    <row r="11" spans="1:20">
      <c r="A11" s="57" t="s">
        <v>57</v>
      </c>
      <c r="B11" s="170">
        <f>B61</f>
        <v>234685.77072820219</v>
      </c>
      <c r="C11" s="170">
        <f t="shared" ref="C11:M11" si="1">C61</f>
        <v>295838.19270494982</v>
      </c>
      <c r="D11" s="170">
        <f t="shared" si="1"/>
        <v>300095.19406203902</v>
      </c>
      <c r="E11" s="170">
        <f t="shared" si="1"/>
        <v>254448.63509341836</v>
      </c>
      <c r="F11" s="170">
        <f t="shared" si="1"/>
        <v>224581.69651276612</v>
      </c>
      <c r="G11" s="170">
        <f t="shared" si="1"/>
        <v>181513.17610017586</v>
      </c>
      <c r="H11" s="170">
        <f t="shared" si="1"/>
        <v>162969.99562060411</v>
      </c>
      <c r="I11" s="170">
        <f t="shared" si="1"/>
        <v>160554.70152058123</v>
      </c>
      <c r="J11" s="170">
        <f t="shared" si="1"/>
        <v>192002.59214118012</v>
      </c>
      <c r="K11" s="170">
        <f t="shared" si="1"/>
        <v>209238.59952396233</v>
      </c>
      <c r="L11" s="170">
        <f t="shared" si="1"/>
        <v>163555.76492429496</v>
      </c>
      <c r="M11" s="170">
        <f t="shared" si="1"/>
        <v>174264.64566908043</v>
      </c>
      <c r="N11" s="96">
        <f>SUM(B11:M11)</f>
        <v>2553748.9646012546</v>
      </c>
      <c r="R11" s="6"/>
      <c r="S11" s="162"/>
      <c r="T11" s="39"/>
    </row>
    <row r="12" spans="1:20">
      <c r="A12" s="58" t="s">
        <v>58</v>
      </c>
      <c r="B12" s="170">
        <f t="shared" ref="B12:M14" si="2">B62</f>
        <v>6594.2529411932064</v>
      </c>
      <c r="C12" s="170">
        <f t="shared" si="2"/>
        <v>8613.0665793865137</v>
      </c>
      <c r="D12" s="170">
        <f t="shared" si="2"/>
        <v>8619.6363786462625</v>
      </c>
      <c r="E12" s="170">
        <f t="shared" si="2"/>
        <v>7401.2380355472978</v>
      </c>
      <c r="F12" s="170">
        <f t="shared" si="2"/>
        <v>6685.6122896619781</v>
      </c>
      <c r="G12" s="170">
        <f t="shared" si="2"/>
        <v>5060.3978222841006</v>
      </c>
      <c r="H12" s="170">
        <f t="shared" si="2"/>
        <v>4418.1538723235035</v>
      </c>
      <c r="I12" s="170">
        <f t="shared" si="2"/>
        <v>4269.7225458980674</v>
      </c>
      <c r="J12" s="170">
        <f t="shared" si="2"/>
        <v>4666.6812797292851</v>
      </c>
      <c r="K12" s="170">
        <f t="shared" si="2"/>
        <v>4681.0053493738533</v>
      </c>
      <c r="L12" s="170">
        <f t="shared" si="2"/>
        <v>4239.1910740534177</v>
      </c>
      <c r="M12" s="170">
        <f t="shared" si="2"/>
        <v>4938.7438758104427</v>
      </c>
      <c r="N12" s="96">
        <f>SUM(B12:M12)</f>
        <v>70187.702043907935</v>
      </c>
      <c r="R12" s="6"/>
      <c r="S12" s="162"/>
      <c r="T12" s="39"/>
    </row>
    <row r="13" spans="1:20">
      <c r="A13" s="58" t="s">
        <v>59</v>
      </c>
      <c r="B13" s="170">
        <f t="shared" si="2"/>
        <v>2671.7375707856786</v>
      </c>
      <c r="C13" s="170">
        <f t="shared" si="2"/>
        <v>3544.9255254625491</v>
      </c>
      <c r="D13" s="170">
        <f t="shared" si="2"/>
        <v>3465.430973274219</v>
      </c>
      <c r="E13" s="170">
        <f t="shared" si="2"/>
        <v>2872.5811881589061</v>
      </c>
      <c r="F13" s="170">
        <f t="shared" si="2"/>
        <v>2678.3298937415707</v>
      </c>
      <c r="G13" s="170">
        <f t="shared" si="2"/>
        <v>2173.5407379691851</v>
      </c>
      <c r="H13" s="170">
        <f t="shared" si="2"/>
        <v>2010.3295082995901</v>
      </c>
      <c r="I13" s="170">
        <f t="shared" si="2"/>
        <v>1987.6485057544769</v>
      </c>
      <c r="J13" s="170">
        <f t="shared" si="2"/>
        <v>2399.8481893165717</v>
      </c>
      <c r="K13" s="170">
        <f t="shared" si="2"/>
        <v>2380.2465570945219</v>
      </c>
      <c r="L13" s="170">
        <f t="shared" si="2"/>
        <v>2100.6087453634386</v>
      </c>
      <c r="M13" s="170">
        <f t="shared" si="2"/>
        <v>2343.5072823852138</v>
      </c>
      <c r="N13" s="96">
        <f>SUM(B13:M13)</f>
        <v>30628.734677605924</v>
      </c>
      <c r="R13" s="6"/>
      <c r="S13" s="162"/>
      <c r="T13" s="39"/>
    </row>
    <row r="14" spans="1:20">
      <c r="A14" s="58" t="s">
        <v>60</v>
      </c>
      <c r="B14" s="170">
        <f t="shared" si="2"/>
        <v>195.76848252099779</v>
      </c>
      <c r="C14" s="170">
        <f t="shared" si="2"/>
        <v>261.40266852384411</v>
      </c>
      <c r="D14" s="170">
        <f t="shared" si="2"/>
        <v>331.73165153101354</v>
      </c>
      <c r="E14" s="170">
        <f t="shared" si="2"/>
        <v>340.3152941769456</v>
      </c>
      <c r="F14" s="170">
        <f t="shared" si="2"/>
        <v>331.4884319999851</v>
      </c>
      <c r="G14" s="170">
        <f t="shared" si="2"/>
        <v>410.04296225179746</v>
      </c>
      <c r="H14" s="170">
        <f t="shared" si="2"/>
        <v>718.43119665491395</v>
      </c>
      <c r="I14" s="170">
        <f t="shared" si="2"/>
        <v>1038.4508345790539</v>
      </c>
      <c r="J14" s="170">
        <f t="shared" si="2"/>
        <v>1731.6442876493932</v>
      </c>
      <c r="K14" s="170">
        <f t="shared" si="2"/>
        <v>1891.8485562757546</v>
      </c>
      <c r="L14" s="170">
        <f t="shared" si="2"/>
        <v>1145.9930997354772</v>
      </c>
      <c r="M14" s="170">
        <f t="shared" si="2"/>
        <v>500.03540423868691</v>
      </c>
      <c r="N14" s="96">
        <f>SUM(B14:M14)</f>
        <v>8897.1528701378611</v>
      </c>
      <c r="R14" s="6"/>
      <c r="S14" s="162"/>
      <c r="T14" s="39"/>
    </row>
    <row r="15" spans="1:20">
      <c r="A15" s="57" t="s">
        <v>61</v>
      </c>
      <c r="B15" s="171">
        <f>+$D$67</f>
        <v>178.33776383416665</v>
      </c>
      <c r="C15" s="171">
        <f t="shared" ref="C15:M15" si="3">+$D$67</f>
        <v>178.33776383416665</v>
      </c>
      <c r="D15" s="171">
        <f t="shared" si="3"/>
        <v>178.33776383416665</v>
      </c>
      <c r="E15" s="171">
        <f t="shared" si="3"/>
        <v>178.33776383416665</v>
      </c>
      <c r="F15" s="171">
        <f t="shared" si="3"/>
        <v>178.33776383416665</v>
      </c>
      <c r="G15" s="171">
        <f t="shared" si="3"/>
        <v>178.33776383416665</v>
      </c>
      <c r="H15" s="171">
        <f t="shared" si="3"/>
        <v>178.33776383416665</v>
      </c>
      <c r="I15" s="171">
        <f t="shared" si="3"/>
        <v>178.33776383416665</v>
      </c>
      <c r="J15" s="171">
        <f t="shared" si="3"/>
        <v>178.33776383416665</v>
      </c>
      <c r="K15" s="171">
        <f t="shared" si="3"/>
        <v>178.33776383416665</v>
      </c>
      <c r="L15" s="171">
        <f t="shared" si="3"/>
        <v>178.33776383416665</v>
      </c>
      <c r="M15" s="171">
        <f t="shared" si="3"/>
        <v>178.33776383416665</v>
      </c>
      <c r="N15" s="172">
        <f>SUM(B15:M15)</f>
        <v>2140.05316601</v>
      </c>
      <c r="R15" s="6"/>
      <c r="S15" s="162"/>
      <c r="T15" s="39"/>
    </row>
    <row r="16" spans="1:20">
      <c r="A16" s="25" t="s">
        <v>0</v>
      </c>
      <c r="B16" s="170">
        <f t="shared" ref="B16:M16" si="4">SUM(B11:B15)</f>
        <v>244325.86748653624</v>
      </c>
      <c r="C16" s="170">
        <f t="shared" si="4"/>
        <v>308435.9252421569</v>
      </c>
      <c r="D16" s="170">
        <f t="shared" si="4"/>
        <v>312690.33082932467</v>
      </c>
      <c r="E16" s="170">
        <f t="shared" si="4"/>
        <v>265241.10737513565</v>
      </c>
      <c r="F16" s="170">
        <f t="shared" si="4"/>
        <v>234455.46489200383</v>
      </c>
      <c r="G16" s="170">
        <f t="shared" si="4"/>
        <v>189335.4953865151</v>
      </c>
      <c r="H16" s="170">
        <f t="shared" si="4"/>
        <v>170295.24796171629</v>
      </c>
      <c r="I16" s="170">
        <f t="shared" si="4"/>
        <v>168028.861170647</v>
      </c>
      <c r="J16" s="170">
        <f t="shared" si="4"/>
        <v>200979.10366170955</v>
      </c>
      <c r="K16" s="170">
        <f t="shared" si="4"/>
        <v>218370.03775054062</v>
      </c>
      <c r="L16" s="170">
        <f t="shared" si="4"/>
        <v>171219.89560728142</v>
      </c>
      <c r="M16" s="170">
        <f t="shared" si="4"/>
        <v>182225.26999534894</v>
      </c>
      <c r="N16" s="96">
        <f t="shared" ref="N16" si="5">SUM(N11:N15)</f>
        <v>2665602.6073589157</v>
      </c>
      <c r="P16" s="150"/>
      <c r="R16" s="6"/>
      <c r="S16" s="162"/>
    </row>
    <row r="18" spans="1:25">
      <c r="A18" s="31" t="s">
        <v>151</v>
      </c>
      <c r="B18" s="61">
        <f>+B70</f>
        <v>45139</v>
      </c>
      <c r="C18" s="61">
        <f t="shared" ref="C18:D18" si="6">+C70</f>
        <v>45170</v>
      </c>
      <c r="D18" s="61">
        <f t="shared" si="6"/>
        <v>45200</v>
      </c>
      <c r="E18" s="44"/>
    </row>
    <row r="19" spans="1:25">
      <c r="A19" s="25" t="str">
        <f t="shared" ref="A19:A24" si="7">A11</f>
        <v>WA001</v>
      </c>
      <c r="B19" s="170">
        <f t="shared" ref="B19:D22" si="8">B85</f>
        <v>215442.65722861225</v>
      </c>
      <c r="C19" s="170">
        <f t="shared" si="8"/>
        <v>163752.14823941304</v>
      </c>
      <c r="D19" s="170">
        <f>D85</f>
        <v>173339.77948313204</v>
      </c>
      <c r="E19" s="6"/>
      <c r="F19" s="6"/>
      <c r="G19" s="6"/>
      <c r="H19" s="6"/>
      <c r="I19" s="6"/>
      <c r="J19" s="6"/>
      <c r="K19" s="6"/>
      <c r="L19" s="6"/>
      <c r="M19" s="6"/>
      <c r="N19" s="6"/>
      <c r="O19" s="6"/>
      <c r="P19" s="6"/>
      <c r="R19" s="155"/>
    </row>
    <row r="20" spans="1:25">
      <c r="A20" s="25" t="str">
        <f t="shared" si="7"/>
        <v>WA012</v>
      </c>
      <c r="B20" s="170">
        <f t="shared" si="8"/>
        <v>4638.7293488090299</v>
      </c>
      <c r="C20" s="170">
        <f t="shared" si="8"/>
        <v>4206.000716141566</v>
      </c>
      <c r="D20" s="170">
        <f t="shared" si="8"/>
        <v>4919.5927679043962</v>
      </c>
      <c r="E20" s="6"/>
      <c r="F20" s="6"/>
      <c r="G20" s="6"/>
      <c r="H20" s="43"/>
      <c r="I20" s="43"/>
      <c r="J20" s="43"/>
      <c r="K20" s="43"/>
      <c r="L20" s="43"/>
      <c r="M20" s="43"/>
      <c r="N20" s="43"/>
      <c r="O20" s="43"/>
      <c r="P20" s="43"/>
      <c r="Q20" s="34"/>
      <c r="R20" s="34"/>
      <c r="S20" s="34"/>
      <c r="T20" s="34"/>
      <c r="U20" s="34"/>
      <c r="V20" s="34"/>
    </row>
    <row r="21" spans="1:25">
      <c r="A21" s="25" t="str">
        <f t="shared" si="7"/>
        <v>WA022</v>
      </c>
      <c r="B21" s="170">
        <f t="shared" si="8"/>
        <v>2401.7572638785014</v>
      </c>
      <c r="C21" s="170">
        <f t="shared" si="8"/>
        <v>2126.4582085919706</v>
      </c>
      <c r="D21" s="170">
        <f t="shared" si="8"/>
        <v>2329.2263472362961</v>
      </c>
      <c r="E21" s="59"/>
      <c r="F21" s="59"/>
      <c r="G21" s="59"/>
      <c r="H21" s="135"/>
      <c r="I21" s="135"/>
      <c r="J21" s="135"/>
      <c r="K21" s="135"/>
      <c r="L21" s="135"/>
      <c r="M21" s="135"/>
      <c r="N21" s="135"/>
      <c r="O21" s="135"/>
      <c r="P21" s="135"/>
      <c r="Q21" s="47"/>
      <c r="R21" s="161"/>
      <c r="S21" s="34"/>
      <c r="T21" s="34"/>
      <c r="U21" s="34"/>
      <c r="V21" s="34"/>
    </row>
    <row r="22" spans="1:25">
      <c r="A22" s="25" t="str">
        <f t="shared" si="7"/>
        <v>WA032</v>
      </c>
      <c r="B22" s="170">
        <f t="shared" si="8"/>
        <v>1742.5643313993482</v>
      </c>
      <c r="C22" s="170">
        <f t="shared" si="8"/>
        <v>1172.2948230543211</v>
      </c>
      <c r="D22" s="170">
        <f t="shared" si="8"/>
        <v>434.04570113648566</v>
      </c>
      <c r="E22" s="40"/>
      <c r="F22" s="59"/>
      <c r="G22" s="59"/>
      <c r="H22" s="142"/>
      <c r="I22" s="142"/>
      <c r="J22" s="142"/>
      <c r="K22" s="142"/>
      <c r="L22" s="142"/>
      <c r="M22" s="142"/>
      <c r="N22" s="142"/>
      <c r="O22" s="142"/>
      <c r="P22" s="142"/>
      <c r="Q22" s="142"/>
      <c r="R22" s="142"/>
      <c r="S22" s="142"/>
      <c r="T22" s="47"/>
      <c r="U22" s="47"/>
      <c r="V22" s="47"/>
      <c r="W22" s="47"/>
      <c r="X22" s="47"/>
      <c r="Y22" s="47"/>
    </row>
    <row r="23" spans="1:25">
      <c r="A23" s="25" t="str">
        <f t="shared" si="7"/>
        <v>WA048</v>
      </c>
      <c r="B23" s="171">
        <f>+$D$67</f>
        <v>178.33776383416665</v>
      </c>
      <c r="C23" s="171">
        <f>+$D$67</f>
        <v>178.33776383416665</v>
      </c>
      <c r="D23" s="171">
        <f>+$D$67</f>
        <v>178.33776383416665</v>
      </c>
      <c r="E23" s="59"/>
      <c r="F23" s="59"/>
      <c r="G23" s="59"/>
      <c r="H23" s="135"/>
      <c r="I23" s="135"/>
      <c r="J23" s="135"/>
      <c r="K23" s="135"/>
      <c r="L23" s="135"/>
      <c r="M23" s="135"/>
      <c r="N23" s="157"/>
      <c r="O23" s="135"/>
      <c r="P23" s="135"/>
      <c r="Q23" s="135"/>
      <c r="R23" s="135"/>
      <c r="S23" s="135"/>
      <c r="T23" s="47"/>
      <c r="U23" s="47"/>
      <c r="V23" s="47"/>
      <c r="W23" s="47"/>
      <c r="X23" s="47"/>
      <c r="Y23" s="47"/>
    </row>
    <row r="24" spans="1:25">
      <c r="A24" s="25" t="str">
        <f t="shared" si="7"/>
        <v>Total</v>
      </c>
      <c r="B24" s="170">
        <f>SUM(B19:B23)</f>
        <v>224404.04593653328</v>
      </c>
      <c r="C24" s="170">
        <f>SUM(C19:C23)</f>
        <v>171435.23975103506</v>
      </c>
      <c r="D24" s="170">
        <f>SUM(D19:D23)</f>
        <v>181200.98206324337</v>
      </c>
      <c r="E24" s="59"/>
      <c r="F24" s="59"/>
      <c r="G24" s="59"/>
      <c r="H24" s="135"/>
      <c r="I24" s="135"/>
      <c r="J24" s="135"/>
      <c r="K24" s="135"/>
      <c r="L24" s="135"/>
      <c r="M24" s="135"/>
      <c r="N24" s="157"/>
      <c r="O24" s="135"/>
      <c r="P24" s="135"/>
      <c r="Q24" s="47"/>
      <c r="R24" s="47"/>
      <c r="S24" s="47"/>
      <c r="T24" s="47"/>
      <c r="U24" s="47"/>
      <c r="V24" s="47"/>
      <c r="W24" s="47"/>
      <c r="X24" s="47"/>
      <c r="Y24" s="47"/>
    </row>
    <row r="25" spans="1:25">
      <c r="A25" s="25" t="s">
        <v>4</v>
      </c>
      <c r="B25" s="134">
        <v>-4.2599999999999999E-3</v>
      </c>
      <c r="C25" s="154">
        <f>B25</f>
        <v>-4.2599999999999999E-3</v>
      </c>
      <c r="D25" s="154">
        <f>C25</f>
        <v>-4.2599999999999999E-3</v>
      </c>
      <c r="E25" s="59"/>
      <c r="F25" s="59"/>
      <c r="G25" s="59"/>
      <c r="H25" s="88"/>
      <c r="I25" s="136"/>
      <c r="J25" s="136"/>
      <c r="K25" s="136"/>
      <c r="L25" s="136"/>
      <c r="M25" s="136"/>
      <c r="N25" s="158"/>
      <c r="O25" s="136"/>
      <c r="P25" s="136"/>
      <c r="Q25" s="136"/>
      <c r="R25" s="136"/>
      <c r="S25" s="136"/>
      <c r="T25" s="136"/>
      <c r="U25" s="136"/>
      <c r="V25" s="136"/>
      <c r="W25" s="136"/>
      <c r="X25" s="136"/>
      <c r="Y25" s="47"/>
    </row>
    <row r="26" spans="1:25">
      <c r="A26" s="25" t="s">
        <v>5</v>
      </c>
      <c r="B26" s="26">
        <f>B24*B25</f>
        <v>-955.96123568963174</v>
      </c>
      <c r="C26" s="26">
        <f>C24*C25</f>
        <v>-730.31412133940933</v>
      </c>
      <c r="D26" s="26">
        <f>D24*D25</f>
        <v>-771.91618358941673</v>
      </c>
      <c r="E26" s="66"/>
      <c r="F26" s="59"/>
      <c r="G26" s="59"/>
      <c r="H26" s="88"/>
      <c r="I26" s="136"/>
      <c r="J26" s="136"/>
      <c r="K26" s="136"/>
      <c r="L26" s="136"/>
      <c r="M26" s="136"/>
      <c r="N26" s="158"/>
      <c r="O26" s="136"/>
      <c r="P26" s="136"/>
      <c r="Q26" s="136"/>
      <c r="R26" s="136"/>
      <c r="S26" s="136"/>
      <c r="T26" s="136"/>
      <c r="U26" s="136"/>
      <c r="V26" s="136"/>
      <c r="W26" s="136"/>
      <c r="X26" s="136"/>
      <c r="Y26" s="47"/>
    </row>
    <row r="27" spans="1:25">
      <c r="A27" s="25" t="s">
        <v>6</v>
      </c>
      <c r="B27" s="173">
        <f>+'Conversion Factor'!F21</f>
        <v>0.9560685516223647</v>
      </c>
      <c r="C27" s="68">
        <f>B27</f>
        <v>0.9560685516223647</v>
      </c>
      <c r="D27" s="68">
        <f>B27</f>
        <v>0.9560685516223647</v>
      </c>
      <c r="E27" s="83"/>
      <c r="F27" s="59"/>
      <c r="G27" s="59"/>
      <c r="H27" s="88"/>
      <c r="I27" s="136"/>
      <c r="J27" s="136"/>
      <c r="K27" s="136"/>
      <c r="L27" s="136"/>
      <c r="M27" s="136"/>
      <c r="N27" s="158"/>
      <c r="O27" s="136"/>
      <c r="P27" s="136"/>
      <c r="Q27" s="136"/>
      <c r="R27" s="136"/>
      <c r="S27" s="136"/>
      <c r="T27" s="136"/>
      <c r="U27" s="136"/>
      <c r="V27" s="136"/>
      <c r="W27" s="136"/>
      <c r="X27" s="136"/>
      <c r="Y27" s="47"/>
    </row>
    <row r="28" spans="1:25">
      <c r="A28" s="25" t="s">
        <v>7</v>
      </c>
      <c r="B28" s="26">
        <f>B26*B27</f>
        <v>-913.96447401291221</v>
      </c>
      <c r="C28" s="26">
        <f>C26*C27</f>
        <v>-698.23036421832899</v>
      </c>
      <c r="D28" s="26">
        <f>D26*D27</f>
        <v>-738.00478761819704</v>
      </c>
      <c r="E28" s="84"/>
      <c r="F28" s="59"/>
      <c r="G28" s="59"/>
      <c r="H28" s="88"/>
      <c r="I28" s="136"/>
      <c r="J28" s="136"/>
      <c r="K28" s="136"/>
      <c r="L28" s="136"/>
      <c r="M28" s="136"/>
      <c r="N28" s="136"/>
      <c r="O28" s="136"/>
      <c r="P28" s="136"/>
      <c r="Q28" s="136"/>
      <c r="R28" s="136"/>
      <c r="S28" s="136"/>
      <c r="T28" s="136"/>
      <c r="U28" s="136"/>
      <c r="V28" s="136"/>
      <c r="W28" s="136"/>
      <c r="X28" s="136"/>
      <c r="Y28" s="47"/>
    </row>
    <row r="29" spans="1:25">
      <c r="C29" s="6"/>
      <c r="D29" s="83"/>
      <c r="E29" s="83"/>
      <c r="F29" s="59"/>
      <c r="G29" s="59"/>
      <c r="H29" s="88"/>
      <c r="I29" s="136"/>
      <c r="J29" s="136"/>
      <c r="K29" s="136"/>
      <c r="L29" s="136"/>
      <c r="M29" s="136"/>
      <c r="N29" s="136"/>
      <c r="O29" s="136"/>
      <c r="P29" s="136"/>
      <c r="Q29" s="136"/>
      <c r="R29" s="136"/>
      <c r="S29" s="136"/>
      <c r="T29" s="136"/>
      <c r="U29" s="136"/>
      <c r="V29" s="136"/>
      <c r="W29" s="136"/>
      <c r="X29" s="136"/>
      <c r="Y29" s="47"/>
    </row>
    <row r="30" spans="1:25">
      <c r="D30" s="40"/>
      <c r="E30" s="40"/>
      <c r="F30" s="40"/>
      <c r="G30" s="40"/>
      <c r="H30" s="88"/>
      <c r="I30" s="136"/>
      <c r="J30" s="136"/>
      <c r="K30" s="136"/>
      <c r="L30" s="136"/>
      <c r="M30" s="136"/>
      <c r="N30" s="136"/>
      <c r="O30" s="136"/>
      <c r="P30" s="136"/>
      <c r="Q30" s="136"/>
      <c r="R30" s="136"/>
      <c r="S30" s="136"/>
      <c r="T30" s="136"/>
      <c r="U30" s="136"/>
      <c r="V30" s="136"/>
      <c r="W30" s="136"/>
      <c r="X30" s="136"/>
      <c r="Y30" s="47"/>
    </row>
    <row r="31" spans="1:25">
      <c r="D31" s="40"/>
      <c r="E31" s="40"/>
      <c r="F31" s="24"/>
      <c r="G31" s="40"/>
      <c r="H31" s="137"/>
      <c r="I31" s="137"/>
      <c r="J31" s="137"/>
      <c r="K31" s="137"/>
      <c r="L31" s="137"/>
      <c r="M31" s="137"/>
      <c r="N31" s="137"/>
      <c r="O31" s="47"/>
      <c r="P31" s="47"/>
      <c r="Q31" s="47"/>
      <c r="R31" s="47"/>
      <c r="S31" s="47"/>
      <c r="T31" s="47"/>
      <c r="U31" s="47"/>
      <c r="V31" s="47"/>
      <c r="W31" s="47"/>
      <c r="X31" s="47"/>
      <c r="Y31" s="47"/>
    </row>
    <row r="32" spans="1:25">
      <c r="D32" s="65"/>
      <c r="E32" s="60"/>
      <c r="F32" s="60"/>
      <c r="G32" s="40"/>
      <c r="H32" s="138"/>
      <c r="I32" s="138"/>
      <c r="J32" s="138"/>
      <c r="K32" s="138"/>
      <c r="L32" s="138"/>
      <c r="M32" s="138"/>
      <c r="N32" s="138"/>
      <c r="O32" s="47"/>
      <c r="P32" s="47"/>
      <c r="Q32" s="47"/>
      <c r="R32" s="47"/>
      <c r="S32" s="47"/>
      <c r="T32" s="47"/>
      <c r="U32" s="47"/>
      <c r="V32" s="47"/>
      <c r="W32" s="47"/>
      <c r="X32" s="47"/>
      <c r="Y32" s="47"/>
    </row>
    <row r="33" spans="1:25">
      <c r="A33" s="34"/>
      <c r="B33" s="34"/>
      <c r="C33" s="34"/>
      <c r="D33" s="47"/>
      <c r="E33" s="88"/>
      <c r="F33" s="94"/>
      <c r="G33" s="47"/>
      <c r="H33" s="139"/>
      <c r="I33" s="139"/>
      <c r="J33" s="139"/>
      <c r="K33" s="139"/>
      <c r="L33" s="139"/>
      <c r="M33" s="139"/>
      <c r="N33" s="139"/>
      <c r="O33" s="47"/>
      <c r="P33" s="47"/>
      <c r="Q33" s="47"/>
      <c r="R33" s="47"/>
      <c r="S33" s="47"/>
      <c r="T33" s="47"/>
      <c r="U33" s="47"/>
      <c r="V33" s="47"/>
      <c r="W33" s="47"/>
      <c r="X33" s="47"/>
      <c r="Y33" s="47"/>
    </row>
    <row r="34" spans="1:25">
      <c r="A34" s="34"/>
      <c r="B34" s="34"/>
      <c r="C34" s="34"/>
      <c r="D34" s="47"/>
      <c r="E34" s="88"/>
      <c r="F34" s="94"/>
      <c r="G34" s="47"/>
      <c r="H34" s="140"/>
      <c r="I34" s="140"/>
      <c r="J34" s="140"/>
      <c r="K34" s="140"/>
      <c r="L34" s="140"/>
      <c r="M34" s="140"/>
      <c r="N34" s="140"/>
      <c r="O34" s="47"/>
      <c r="P34" s="47"/>
      <c r="Q34" s="47"/>
      <c r="R34" s="47"/>
      <c r="S34" s="47"/>
      <c r="T34" s="47"/>
      <c r="U34" s="47"/>
      <c r="V34" s="47"/>
      <c r="W34" s="47"/>
      <c r="X34" s="47"/>
      <c r="Y34" s="47"/>
    </row>
    <row r="35" spans="1:25">
      <c r="A35" s="86"/>
      <c r="B35" s="86"/>
      <c r="C35" s="92"/>
      <c r="D35" s="92"/>
      <c r="E35" s="92"/>
      <c r="F35" s="92"/>
      <c r="G35" s="92"/>
      <c r="H35" s="34"/>
      <c r="I35" s="34"/>
      <c r="J35" s="34"/>
      <c r="K35" s="34"/>
      <c r="L35" s="34"/>
      <c r="M35" s="34"/>
      <c r="N35" s="34"/>
      <c r="O35" s="34"/>
    </row>
    <row r="36" spans="1:25">
      <c r="A36" s="87"/>
      <c r="B36" s="87"/>
      <c r="C36" s="95"/>
      <c r="D36" s="95"/>
      <c r="E36" s="95"/>
      <c r="F36" s="95"/>
      <c r="G36" s="95"/>
      <c r="H36" s="90"/>
      <c r="I36" s="90"/>
      <c r="J36" s="90"/>
      <c r="K36" s="90"/>
      <c r="L36" s="90"/>
      <c r="M36" s="90"/>
      <c r="N36" s="90"/>
      <c r="O36" s="34"/>
    </row>
    <row r="37" spans="1:25">
      <c r="A37" s="89"/>
      <c r="B37" s="89"/>
      <c r="C37" s="93"/>
      <c r="D37" s="93"/>
      <c r="E37" s="93"/>
      <c r="F37" s="93"/>
      <c r="G37" s="93"/>
      <c r="H37" s="90"/>
      <c r="I37" s="90"/>
      <c r="J37" s="90"/>
      <c r="K37" s="90"/>
      <c r="L37" s="90"/>
      <c r="M37" s="90"/>
      <c r="N37" s="90"/>
      <c r="O37" s="34"/>
    </row>
    <row r="38" spans="1:25">
      <c r="A38" s="91"/>
      <c r="B38" s="91"/>
      <c r="C38" s="97"/>
      <c r="D38" s="97"/>
      <c r="E38" s="97"/>
      <c r="F38" s="97"/>
      <c r="G38" s="97"/>
      <c r="H38" s="90"/>
      <c r="I38" s="90"/>
      <c r="J38" s="90"/>
      <c r="K38" s="90"/>
      <c r="L38" s="90"/>
      <c r="M38" s="90"/>
      <c r="N38" s="90"/>
      <c r="O38" s="34"/>
    </row>
    <row r="39" spans="1:25">
      <c r="A39" s="34"/>
      <c r="B39" s="34"/>
      <c r="C39" s="34"/>
      <c r="D39" s="47"/>
      <c r="E39" s="66"/>
      <c r="F39" s="66"/>
      <c r="G39" s="47"/>
      <c r="H39" s="90"/>
      <c r="I39" s="90"/>
      <c r="J39" s="90"/>
      <c r="K39" s="90"/>
      <c r="L39" s="90"/>
      <c r="M39" s="90"/>
      <c r="N39" s="90"/>
      <c r="O39" s="34"/>
    </row>
    <row r="40" spans="1:25">
      <c r="A40" s="90"/>
      <c r="B40" s="90"/>
      <c r="C40" s="90"/>
      <c r="D40" s="90"/>
      <c r="E40" s="90"/>
      <c r="F40" s="90"/>
      <c r="G40" s="90"/>
      <c r="H40" s="34"/>
      <c r="I40" s="34"/>
      <c r="J40" s="34"/>
      <c r="K40" s="34"/>
      <c r="L40" s="34"/>
      <c r="M40" s="34"/>
      <c r="N40" s="34"/>
      <c r="O40" s="34"/>
    </row>
    <row r="41" spans="1:25">
      <c r="A41" s="90"/>
      <c r="B41" s="90"/>
      <c r="C41" s="90"/>
      <c r="D41" s="90"/>
      <c r="E41" s="90"/>
      <c r="F41" s="90"/>
      <c r="G41" s="90"/>
    </row>
    <row r="42" spans="1:25">
      <c r="A42" s="90"/>
      <c r="B42" s="90"/>
      <c r="C42" s="90"/>
      <c r="D42" s="90"/>
      <c r="E42" s="90"/>
      <c r="F42" s="90"/>
      <c r="G42" s="90"/>
    </row>
    <row r="43" spans="1:25">
      <c r="A43" s="90"/>
      <c r="B43" s="90"/>
      <c r="C43" s="90"/>
      <c r="D43" s="90"/>
      <c r="E43" s="90"/>
      <c r="F43" s="90"/>
      <c r="G43" s="90"/>
    </row>
    <row r="44" spans="1:25">
      <c r="A44" s="34"/>
      <c r="B44" s="34"/>
      <c r="C44" s="34"/>
      <c r="D44" s="47"/>
      <c r="E44" s="47"/>
      <c r="F44" s="47"/>
      <c r="G44" s="47"/>
    </row>
    <row r="46" spans="1:25">
      <c r="A46" s="99"/>
      <c r="B46" s="180">
        <v>45231</v>
      </c>
      <c r="C46" s="180">
        <v>45261</v>
      </c>
      <c r="D46" s="180">
        <v>45292</v>
      </c>
      <c r="E46" s="180">
        <v>45323</v>
      </c>
      <c r="F46" s="180">
        <v>45352</v>
      </c>
      <c r="G46" s="180">
        <v>45383</v>
      </c>
      <c r="H46" s="180">
        <v>45413</v>
      </c>
      <c r="I46" s="180">
        <v>45444</v>
      </c>
      <c r="J46" s="180">
        <v>45474</v>
      </c>
      <c r="K46" s="180">
        <v>45505</v>
      </c>
      <c r="L46" s="180">
        <v>45536</v>
      </c>
      <c r="M46" s="180">
        <v>45566</v>
      </c>
      <c r="N46" s="99" t="s">
        <v>0</v>
      </c>
    </row>
    <row r="47" spans="1:25">
      <c r="A47" s="99" t="s">
        <v>57</v>
      </c>
      <c r="B47" s="181">
        <v>234685770.72820219</v>
      </c>
      <c r="C47" s="181">
        <v>295838192.7049498</v>
      </c>
      <c r="D47" s="181">
        <v>300095194.06203902</v>
      </c>
      <c r="E47" s="181">
        <v>254448635.09341836</v>
      </c>
      <c r="F47" s="181">
        <v>224581696.51276612</v>
      </c>
      <c r="G47" s="181">
        <v>181513176.10017586</v>
      </c>
      <c r="H47" s="181">
        <v>162969995.6206041</v>
      </c>
      <c r="I47" s="181">
        <v>160554701.52058125</v>
      </c>
      <c r="J47" s="181">
        <v>192002592.14118013</v>
      </c>
      <c r="K47" s="181">
        <v>209238599.52396232</v>
      </c>
      <c r="L47" s="181">
        <v>163555764.92429495</v>
      </c>
      <c r="M47" s="181">
        <v>174264645.66908044</v>
      </c>
      <c r="N47" s="22">
        <f>SUM(B47:M47)</f>
        <v>2553748964.601254</v>
      </c>
    </row>
    <row r="48" spans="1:25">
      <c r="A48" s="99"/>
      <c r="B48" s="181"/>
      <c r="C48" s="181"/>
      <c r="D48" s="181"/>
      <c r="E48" s="181"/>
      <c r="F48" s="181"/>
      <c r="G48" s="181"/>
      <c r="H48" s="181"/>
      <c r="I48" s="181"/>
      <c r="J48" s="181"/>
      <c r="K48" s="181"/>
      <c r="L48" s="181"/>
      <c r="M48" s="181"/>
      <c r="N48" s="22"/>
    </row>
    <row r="49" spans="1:14">
      <c r="A49" s="99" t="s">
        <v>95</v>
      </c>
      <c r="B49" s="181">
        <v>53360383.109277904</v>
      </c>
      <c r="C49" s="181">
        <v>58886735.209790573</v>
      </c>
      <c r="D49" s="181">
        <v>57541184.588071309</v>
      </c>
      <c r="E49" s="181">
        <v>53408614.277107485</v>
      </c>
      <c r="F49" s="181">
        <v>50941696.137034513</v>
      </c>
      <c r="G49" s="181">
        <v>45237575.201981515</v>
      </c>
      <c r="H49" s="181">
        <v>44366534.570227906</v>
      </c>
      <c r="I49" s="181">
        <v>45914454.561973855</v>
      </c>
      <c r="J49" s="181">
        <v>53252842.79107628</v>
      </c>
      <c r="K49" s="181">
        <v>52822257.964547381</v>
      </c>
      <c r="L49" s="181">
        <v>46913868.019383401</v>
      </c>
      <c r="M49" s="181">
        <v>48070230.72454261</v>
      </c>
      <c r="N49" s="22">
        <f t="shared" ref="N49:N56" si="9">SUM(B49:M49)</f>
        <v>610716377.15501487</v>
      </c>
    </row>
    <row r="50" spans="1:14">
      <c r="A50" s="99" t="s">
        <v>58</v>
      </c>
      <c r="B50" s="181">
        <v>6594252.9411932062</v>
      </c>
      <c r="C50" s="181">
        <v>8613066.5793865137</v>
      </c>
      <c r="D50" s="181">
        <v>8619636.378646262</v>
      </c>
      <c r="E50" s="181">
        <v>7401238.0355472974</v>
      </c>
      <c r="F50" s="181">
        <v>6685612.2896619784</v>
      </c>
      <c r="G50" s="181">
        <v>5060397.8222841006</v>
      </c>
      <c r="H50" s="181">
        <v>4418153.8723235037</v>
      </c>
      <c r="I50" s="181">
        <v>4269722.5458980678</v>
      </c>
      <c r="J50" s="181">
        <v>4666681.2797292853</v>
      </c>
      <c r="K50" s="181">
        <v>4681005.3493738528</v>
      </c>
      <c r="L50" s="181">
        <v>4239191.0740534179</v>
      </c>
      <c r="M50" s="181">
        <v>4938743.8758104425</v>
      </c>
      <c r="N50" s="22">
        <f>SUM(B50:M50)</f>
        <v>70187702.043907925</v>
      </c>
    </row>
    <row r="51" spans="1:14">
      <c r="A51" s="99"/>
      <c r="B51" s="181"/>
      <c r="C51" s="181"/>
      <c r="D51" s="181"/>
      <c r="E51" s="181"/>
      <c r="F51" s="181"/>
      <c r="G51" s="181"/>
      <c r="H51" s="181"/>
      <c r="I51" s="181"/>
      <c r="J51" s="181"/>
      <c r="K51" s="181"/>
      <c r="L51" s="181"/>
      <c r="M51" s="181"/>
      <c r="N51" s="22"/>
    </row>
    <row r="52" spans="1:14">
      <c r="A52" s="99" t="s">
        <v>96</v>
      </c>
      <c r="B52" s="181">
        <v>114377238.05922967</v>
      </c>
      <c r="C52" s="181">
        <v>109523587.98144051</v>
      </c>
      <c r="D52" s="181">
        <v>105631380.9316736</v>
      </c>
      <c r="E52" s="181">
        <v>103944190.73211814</v>
      </c>
      <c r="F52" s="181">
        <v>101659611.78551148</v>
      </c>
      <c r="G52" s="181">
        <v>99026068.29631491</v>
      </c>
      <c r="H52" s="181">
        <v>103543780.15926491</v>
      </c>
      <c r="I52" s="181">
        <v>107000416.02304524</v>
      </c>
      <c r="J52" s="181">
        <v>115981061.09043947</v>
      </c>
      <c r="K52" s="181">
        <v>107394096.51101667</v>
      </c>
      <c r="L52" s="181">
        <v>100340398.62356445</v>
      </c>
      <c r="M52" s="181">
        <v>111818411.18798466</v>
      </c>
      <c r="N52" s="22">
        <f t="shared" si="9"/>
        <v>1280240241.381604</v>
      </c>
    </row>
    <row r="53" spans="1:14">
      <c r="A53" s="99" t="s">
        <v>59</v>
      </c>
      <c r="B53" s="181">
        <v>2671737.5707856785</v>
      </c>
      <c r="C53" s="181">
        <v>3544925.5254625492</v>
      </c>
      <c r="D53" s="181">
        <v>3465430.9732742188</v>
      </c>
      <c r="E53" s="181">
        <v>2872581.1881589061</v>
      </c>
      <c r="F53" s="181">
        <v>2678329.8937415709</v>
      </c>
      <c r="G53" s="181">
        <v>2173540.7379691852</v>
      </c>
      <c r="H53" s="181">
        <v>2010329.5082995901</v>
      </c>
      <c r="I53" s="181">
        <v>1987648.5057544769</v>
      </c>
      <c r="J53" s="181">
        <v>2399848.1893165717</v>
      </c>
      <c r="K53" s="181">
        <v>2380246.5570945218</v>
      </c>
      <c r="L53" s="181">
        <v>2100608.7453634385</v>
      </c>
      <c r="M53" s="181">
        <v>2343507.2823852138</v>
      </c>
      <c r="N53" s="22">
        <f>SUM(B53:M53)</f>
        <v>30628734.677605927</v>
      </c>
    </row>
    <row r="54" spans="1:14">
      <c r="A54" s="99"/>
      <c r="B54" s="181"/>
      <c r="C54" s="181"/>
      <c r="D54" s="181"/>
      <c r="E54" s="181"/>
      <c r="F54" s="181"/>
      <c r="G54" s="181"/>
      <c r="H54" s="181"/>
      <c r="I54" s="181"/>
      <c r="J54" s="181"/>
      <c r="K54" s="181"/>
      <c r="L54" s="181"/>
      <c r="M54" s="181"/>
      <c r="N54" s="22"/>
    </row>
    <row r="55" spans="1:14">
      <c r="A55" s="99" t="s">
        <v>97</v>
      </c>
      <c r="B55" s="181">
        <v>49541955</v>
      </c>
      <c r="C55" s="181">
        <v>49979591</v>
      </c>
      <c r="D55" s="181">
        <v>55440542</v>
      </c>
      <c r="E55" s="181">
        <v>48854215</v>
      </c>
      <c r="F55" s="181">
        <v>52560911</v>
      </c>
      <c r="G55" s="181">
        <v>49147173</v>
      </c>
      <c r="H55" s="181">
        <v>49713670</v>
      </c>
      <c r="I55" s="181">
        <v>52029033</v>
      </c>
      <c r="J55" s="181">
        <v>51512338</v>
      </c>
      <c r="K55" s="181">
        <v>58011555</v>
      </c>
      <c r="L55" s="181">
        <v>50365851</v>
      </c>
      <c r="M55" s="181">
        <v>50452671</v>
      </c>
      <c r="N55" s="22">
        <f t="shared" si="9"/>
        <v>617609505</v>
      </c>
    </row>
    <row r="56" spans="1:14">
      <c r="A56" s="99" t="s">
        <v>98</v>
      </c>
      <c r="B56" s="181">
        <v>1952766.5761318973</v>
      </c>
      <c r="C56" s="181">
        <v>3164471.982197979</v>
      </c>
      <c r="D56" s="181">
        <v>3678208.2596704336</v>
      </c>
      <c r="E56" s="181">
        <v>4039130.053974513</v>
      </c>
      <c r="F56" s="181">
        <v>3898522.7883625552</v>
      </c>
      <c r="G56" s="181">
        <v>5826340.4028385654</v>
      </c>
      <c r="H56" s="181">
        <v>12778958.490199</v>
      </c>
      <c r="I56" s="181">
        <v>20829121.136190742</v>
      </c>
      <c r="J56" s="181">
        <v>23313749.406122014</v>
      </c>
      <c r="K56" s="181">
        <v>26428761.012388594</v>
      </c>
      <c r="L56" s="181">
        <v>21309031.215128899</v>
      </c>
      <c r="M56" s="181">
        <v>11417459.090989742</v>
      </c>
      <c r="N56" s="22">
        <f t="shared" si="9"/>
        <v>138636520.41419494</v>
      </c>
    </row>
    <row r="57" spans="1:14">
      <c r="A57" s="99" t="s">
        <v>60</v>
      </c>
      <c r="B57" s="181">
        <v>195768.48252099779</v>
      </c>
      <c r="C57" s="181">
        <v>261402.6685238441</v>
      </c>
      <c r="D57" s="181">
        <v>331731.65153101354</v>
      </c>
      <c r="E57" s="181">
        <v>340315.29417694558</v>
      </c>
      <c r="F57" s="181">
        <v>331488.43199998507</v>
      </c>
      <c r="G57" s="181">
        <v>410042.96225179743</v>
      </c>
      <c r="H57" s="181">
        <v>718431.19665491395</v>
      </c>
      <c r="I57" s="181">
        <v>1038450.8345790538</v>
      </c>
      <c r="J57" s="181">
        <v>1731644.2876493931</v>
      </c>
      <c r="K57" s="181">
        <v>1891848.5562757547</v>
      </c>
      <c r="L57" s="181">
        <v>1145993.0997354772</v>
      </c>
      <c r="M57" s="181">
        <v>500035.4042386869</v>
      </c>
      <c r="N57" s="22">
        <f>SUM(B57:M57)</f>
        <v>8897152.8701378629</v>
      </c>
    </row>
    <row r="58" spans="1:14">
      <c r="A58" s="99" t="s">
        <v>99</v>
      </c>
      <c r="B58" s="181">
        <v>1330329.7010500454</v>
      </c>
      <c r="C58" s="181">
        <v>1338864.1154058825</v>
      </c>
      <c r="D58" s="181">
        <v>1340188.064714706</v>
      </c>
      <c r="E58" s="181">
        <v>1272098.5856400984</v>
      </c>
      <c r="F58" s="181">
        <v>1353925.3824872593</v>
      </c>
      <c r="G58" s="181">
        <v>1292839.6562630786</v>
      </c>
      <c r="H58" s="181">
        <v>1297017.5794819526</v>
      </c>
      <c r="I58" s="181">
        <v>1313152.508189003</v>
      </c>
      <c r="J58" s="181">
        <v>1314340.3992536208</v>
      </c>
      <c r="K58" s="181">
        <v>1313371.6555335638</v>
      </c>
      <c r="L58" s="181">
        <v>1318741.2360407989</v>
      </c>
      <c r="M58" s="181">
        <v>1283836.7137207252</v>
      </c>
      <c r="N58" s="22">
        <f>SUM(B58:M58)</f>
        <v>15768705.597780734</v>
      </c>
    </row>
    <row r="59" spans="1:14">
      <c r="A59" s="99"/>
      <c r="B59" s="182"/>
      <c r="C59" s="182"/>
      <c r="D59" s="182"/>
      <c r="E59" s="182"/>
      <c r="F59" s="182"/>
      <c r="G59" s="182"/>
      <c r="H59" s="182"/>
      <c r="I59" s="182"/>
      <c r="J59" s="182"/>
      <c r="K59" s="182"/>
      <c r="L59" s="182"/>
      <c r="M59" s="182"/>
      <c r="N59" s="22">
        <f>SUM(N47:N58)</f>
        <v>5326433903.7415009</v>
      </c>
    </row>
    <row r="60" spans="1:14">
      <c r="B60" s="182"/>
      <c r="C60" s="182"/>
      <c r="D60" s="182"/>
      <c r="E60" s="182"/>
      <c r="F60" s="182"/>
      <c r="G60" s="182"/>
      <c r="H60" s="182"/>
      <c r="I60" s="182"/>
      <c r="J60" s="182"/>
      <c r="K60" s="182"/>
      <c r="L60" s="182"/>
      <c r="M60" s="182"/>
    </row>
    <row r="61" spans="1:14">
      <c r="A61" s="99" t="s">
        <v>57</v>
      </c>
      <c r="B61" s="96">
        <f t="shared" ref="B61:M61" si="10">B47/1000</f>
        <v>234685.77072820219</v>
      </c>
      <c r="C61" s="96">
        <f t="shared" si="10"/>
        <v>295838.19270494982</v>
      </c>
      <c r="D61" s="96">
        <f t="shared" si="10"/>
        <v>300095.19406203902</v>
      </c>
      <c r="E61" s="96">
        <f t="shared" si="10"/>
        <v>254448.63509341836</v>
      </c>
      <c r="F61" s="96">
        <f t="shared" si="10"/>
        <v>224581.69651276612</v>
      </c>
      <c r="G61" s="96">
        <f t="shared" si="10"/>
        <v>181513.17610017586</v>
      </c>
      <c r="H61" s="96">
        <f t="shared" si="10"/>
        <v>162969.99562060411</v>
      </c>
      <c r="I61" s="96">
        <f t="shared" si="10"/>
        <v>160554.70152058123</v>
      </c>
      <c r="J61" s="96">
        <f t="shared" si="10"/>
        <v>192002.59214118012</v>
      </c>
      <c r="K61" s="96">
        <f t="shared" si="10"/>
        <v>209238.59952396233</v>
      </c>
      <c r="L61" s="96">
        <f t="shared" si="10"/>
        <v>163555.76492429496</v>
      </c>
      <c r="M61" s="96">
        <f t="shared" si="10"/>
        <v>174264.64566908043</v>
      </c>
      <c r="N61" s="96">
        <f>SUM(B61:M61)</f>
        <v>2553748.9646012546</v>
      </c>
    </row>
    <row r="62" spans="1:14">
      <c r="A62" s="99" t="s">
        <v>58</v>
      </c>
      <c r="B62" s="96">
        <f t="shared" ref="B62:M62" si="11">B50/1000</f>
        <v>6594.2529411932064</v>
      </c>
      <c r="C62" s="96">
        <f t="shared" si="11"/>
        <v>8613.0665793865137</v>
      </c>
      <c r="D62" s="96">
        <f t="shared" si="11"/>
        <v>8619.6363786462625</v>
      </c>
      <c r="E62" s="96">
        <f t="shared" si="11"/>
        <v>7401.2380355472978</v>
      </c>
      <c r="F62" s="96">
        <f t="shared" si="11"/>
        <v>6685.6122896619781</v>
      </c>
      <c r="G62" s="96">
        <f t="shared" si="11"/>
        <v>5060.3978222841006</v>
      </c>
      <c r="H62" s="96">
        <f t="shared" si="11"/>
        <v>4418.1538723235035</v>
      </c>
      <c r="I62" s="96">
        <f t="shared" si="11"/>
        <v>4269.7225458980674</v>
      </c>
      <c r="J62" s="96">
        <f t="shared" si="11"/>
        <v>4666.6812797292851</v>
      </c>
      <c r="K62" s="96">
        <f t="shared" si="11"/>
        <v>4681.0053493738533</v>
      </c>
      <c r="L62" s="96">
        <f t="shared" si="11"/>
        <v>4239.1910740534177</v>
      </c>
      <c r="M62" s="96">
        <f t="shared" si="11"/>
        <v>4938.7438758104427</v>
      </c>
      <c r="N62" s="96">
        <f>SUM(B62:M62)</f>
        <v>70187.702043907935</v>
      </c>
    </row>
    <row r="63" spans="1:14">
      <c r="A63" s="99" t="s">
        <v>59</v>
      </c>
      <c r="B63" s="96">
        <f t="shared" ref="B63:M63" si="12">B53/1000</f>
        <v>2671.7375707856786</v>
      </c>
      <c r="C63" s="96">
        <f t="shared" si="12"/>
        <v>3544.9255254625491</v>
      </c>
      <c r="D63" s="96">
        <f t="shared" si="12"/>
        <v>3465.430973274219</v>
      </c>
      <c r="E63" s="96">
        <f t="shared" si="12"/>
        <v>2872.5811881589061</v>
      </c>
      <c r="F63" s="96">
        <f t="shared" si="12"/>
        <v>2678.3298937415707</v>
      </c>
      <c r="G63" s="96">
        <f t="shared" si="12"/>
        <v>2173.5407379691851</v>
      </c>
      <c r="H63" s="96">
        <f t="shared" si="12"/>
        <v>2010.3295082995901</v>
      </c>
      <c r="I63" s="96">
        <f t="shared" si="12"/>
        <v>1987.6485057544769</v>
      </c>
      <c r="J63" s="96">
        <f t="shared" si="12"/>
        <v>2399.8481893165717</v>
      </c>
      <c r="K63" s="96">
        <f t="shared" si="12"/>
        <v>2380.2465570945219</v>
      </c>
      <c r="L63" s="96">
        <f t="shared" si="12"/>
        <v>2100.6087453634386</v>
      </c>
      <c r="M63" s="96">
        <f t="shared" si="12"/>
        <v>2343.5072823852138</v>
      </c>
      <c r="N63" s="96">
        <f>SUM(B63:M63)</f>
        <v>30628.734677605924</v>
      </c>
    </row>
    <row r="64" spans="1:14">
      <c r="A64" s="99" t="s">
        <v>60</v>
      </c>
      <c r="B64" s="96">
        <f t="shared" ref="B64:M64" si="13">B57/1000</f>
        <v>195.76848252099779</v>
      </c>
      <c r="C64" s="96">
        <f t="shared" si="13"/>
        <v>261.40266852384411</v>
      </c>
      <c r="D64" s="96">
        <f t="shared" si="13"/>
        <v>331.73165153101354</v>
      </c>
      <c r="E64" s="96">
        <f t="shared" si="13"/>
        <v>340.3152941769456</v>
      </c>
      <c r="F64" s="96">
        <f t="shared" si="13"/>
        <v>331.4884319999851</v>
      </c>
      <c r="G64" s="96">
        <f t="shared" si="13"/>
        <v>410.04296225179746</v>
      </c>
      <c r="H64" s="96">
        <f t="shared" si="13"/>
        <v>718.43119665491395</v>
      </c>
      <c r="I64" s="96">
        <f t="shared" si="13"/>
        <v>1038.4508345790539</v>
      </c>
      <c r="J64" s="96">
        <f t="shared" si="13"/>
        <v>1731.6442876493932</v>
      </c>
      <c r="K64" s="96">
        <f t="shared" si="13"/>
        <v>1891.8485562757546</v>
      </c>
      <c r="L64" s="96">
        <f t="shared" si="13"/>
        <v>1145.9930997354772</v>
      </c>
      <c r="M64" s="96">
        <f t="shared" si="13"/>
        <v>500.03540423868691</v>
      </c>
      <c r="N64" s="96">
        <f>SUM(B64:M64)</f>
        <v>8897.1528701378611</v>
      </c>
    </row>
    <row r="65" spans="1:4">
      <c r="B65" s="96"/>
    </row>
    <row r="67" spans="1:4">
      <c r="A67" s="25" t="s">
        <v>61</v>
      </c>
      <c r="B67" s="200">
        <v>2140053.1660099998</v>
      </c>
      <c r="C67" s="96">
        <f>+B67/12</f>
        <v>178337.76383416666</v>
      </c>
      <c r="D67" s="169">
        <f>+C67/1000</f>
        <v>178.33776383416665</v>
      </c>
    </row>
    <row r="70" spans="1:4">
      <c r="A70" s="99"/>
      <c r="B70" s="180">
        <v>45139</v>
      </c>
      <c r="C70" s="180">
        <v>45170</v>
      </c>
      <c r="D70" s="180">
        <v>45200</v>
      </c>
    </row>
    <row r="71" spans="1:4">
      <c r="A71" s="99" t="s">
        <v>57</v>
      </c>
      <c r="B71" s="181">
        <v>215442657.22861224</v>
      </c>
      <c r="C71" s="181">
        <v>163752148.23941305</v>
      </c>
      <c r="D71" s="181">
        <v>173339779.48313203</v>
      </c>
    </row>
    <row r="72" spans="1:4">
      <c r="A72" s="99"/>
      <c r="B72" s="181"/>
      <c r="C72" s="181"/>
      <c r="D72" s="181"/>
    </row>
    <row r="73" spans="1:4">
      <c r="A73" s="99" t="s">
        <v>95</v>
      </c>
      <c r="B73" s="181">
        <v>52730970.275100537</v>
      </c>
      <c r="C73" s="181">
        <v>46937131.258801423</v>
      </c>
      <c r="D73" s="181">
        <v>47674416.724783435</v>
      </c>
    </row>
    <row r="74" spans="1:4">
      <c r="A74" s="99" t="s">
        <v>58</v>
      </c>
      <c r="B74" s="181">
        <v>4638729.3488090299</v>
      </c>
      <c r="C74" s="181">
        <v>4206000.7161415657</v>
      </c>
      <c r="D74" s="181">
        <v>4919592.7679043962</v>
      </c>
    </row>
    <row r="75" spans="1:4">
      <c r="A75" s="99"/>
      <c r="B75" s="181"/>
      <c r="C75" s="181"/>
      <c r="D75" s="181"/>
    </row>
    <row r="76" spans="1:4">
      <c r="A76" s="99" t="s">
        <v>96</v>
      </c>
      <c r="B76" s="181">
        <v>109905199.85087353</v>
      </c>
      <c r="C76" s="181">
        <v>102666656.85509126</v>
      </c>
      <c r="D76" s="181">
        <v>113640007.03762068</v>
      </c>
    </row>
    <row r="77" spans="1:4">
      <c r="A77" s="99" t="s">
        <v>59</v>
      </c>
      <c r="B77" s="181">
        <v>2401757.2638785015</v>
      </c>
      <c r="C77" s="181">
        <v>2126458.2085919706</v>
      </c>
      <c r="D77" s="181">
        <v>2329226.3472362962</v>
      </c>
    </row>
    <row r="78" spans="1:4">
      <c r="A78" s="99"/>
      <c r="B78" s="181"/>
      <c r="C78" s="181"/>
      <c r="D78" s="181"/>
    </row>
    <row r="79" spans="1:4">
      <c r="A79" s="99" t="s">
        <v>97</v>
      </c>
      <c r="B79" s="181">
        <v>58885543</v>
      </c>
      <c r="C79" s="181">
        <v>49947496</v>
      </c>
      <c r="D79" s="181">
        <v>50764195</v>
      </c>
    </row>
    <row r="80" spans="1:4">
      <c r="A80" s="99" t="s">
        <v>98</v>
      </c>
      <c r="B80" s="181">
        <v>26566751.758787945</v>
      </c>
      <c r="C80" s="181">
        <v>21709792.874961346</v>
      </c>
      <c r="D80" s="181">
        <v>11410621.379116725</v>
      </c>
    </row>
    <row r="81" spans="1:4">
      <c r="A81" s="99" t="s">
        <v>60</v>
      </c>
      <c r="B81" s="181">
        <v>1742564.3313993483</v>
      </c>
      <c r="C81" s="181">
        <v>1172294.8230543211</v>
      </c>
      <c r="D81" s="181">
        <v>434045.70113648567</v>
      </c>
    </row>
    <row r="82" spans="1:4">
      <c r="A82" s="99" t="s">
        <v>99</v>
      </c>
      <c r="B82" s="181">
        <v>1343017.048684244</v>
      </c>
      <c r="C82" s="181">
        <v>1345900.7959291809</v>
      </c>
      <c r="D82" s="181">
        <v>1314322.6735311958</v>
      </c>
    </row>
    <row r="83" spans="1:4">
      <c r="A83" s="99"/>
      <c r="B83" s="99"/>
      <c r="C83" s="99"/>
      <c r="D83" s="99"/>
    </row>
    <row r="85" spans="1:4">
      <c r="A85" s="99" t="s">
        <v>57</v>
      </c>
      <c r="B85" s="96">
        <f>B71/1000</f>
        <v>215442.65722861225</v>
      </c>
      <c r="C85" s="96">
        <f>C71/1000</f>
        <v>163752.14823941304</v>
      </c>
      <c r="D85" s="96">
        <f>D71/1000</f>
        <v>173339.77948313204</v>
      </c>
    </row>
    <row r="86" spans="1:4">
      <c r="A86" s="99" t="s">
        <v>58</v>
      </c>
      <c r="B86" s="96">
        <f>B74/1000</f>
        <v>4638.7293488090299</v>
      </c>
      <c r="C86" s="96">
        <f>C74/1000</f>
        <v>4206.000716141566</v>
      </c>
      <c r="D86" s="96">
        <f>D74/1000</f>
        <v>4919.5927679043962</v>
      </c>
    </row>
    <row r="87" spans="1:4">
      <c r="A87" s="99" t="s">
        <v>59</v>
      </c>
      <c r="B87" s="96">
        <f>B77/1000</f>
        <v>2401.7572638785014</v>
      </c>
      <c r="C87" s="96">
        <f>C77/1000</f>
        <v>2126.4582085919706</v>
      </c>
      <c r="D87" s="96">
        <f>D77/1000</f>
        <v>2329.2263472362961</v>
      </c>
    </row>
    <row r="88" spans="1:4">
      <c r="A88" s="99" t="s">
        <v>60</v>
      </c>
      <c r="B88" s="96">
        <f>B81/1000</f>
        <v>1742.5643313993482</v>
      </c>
      <c r="C88" s="96">
        <f>C81/1000</f>
        <v>1172.2948230543211</v>
      </c>
      <c r="D88" s="96">
        <f>D81/1000</f>
        <v>434.04570113648566</v>
      </c>
    </row>
  </sheetData>
  <mergeCells count="4">
    <mergeCell ref="A1:P1"/>
    <mergeCell ref="A2:P2"/>
    <mergeCell ref="A4:P4"/>
    <mergeCell ref="A3:P3"/>
  </mergeCells>
  <pageMargins left="1.01" right="0.7" top="0.75" bottom="0.75" header="0.3" footer="0.3"/>
  <pageSetup scale="48" orientation="landscape" r:id="rId1"/>
  <headerFooter>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zoomScaleNormal="100" workbookViewId="0">
      <selection activeCell="H29" sqref="H29"/>
    </sheetView>
  </sheetViews>
  <sheetFormatPr defaultRowHeight="12.75"/>
  <cols>
    <col min="1" max="1" width="10" style="11" bestFit="1" customWidth="1"/>
    <col min="2" max="6" width="17.140625" style="11" customWidth="1"/>
    <col min="7" max="7" width="16.85546875" style="11" bestFit="1" customWidth="1"/>
    <col min="8" max="8" width="17.140625" style="11" customWidth="1"/>
    <col min="9" max="9" width="17.7109375" style="11" customWidth="1"/>
    <col min="10" max="10" width="17.140625" style="12" customWidth="1"/>
    <col min="11" max="13" width="17.140625" style="11" customWidth="1"/>
    <col min="14" max="16384" width="9.140625" style="11"/>
  </cols>
  <sheetData>
    <row r="1" spans="1:13" ht="15">
      <c r="A1" s="10" t="s">
        <v>43</v>
      </c>
      <c r="B1" s="72"/>
      <c r="C1" s="72"/>
      <c r="D1" s="72"/>
      <c r="E1" s="72"/>
      <c r="F1" s="72"/>
      <c r="G1" s="72"/>
      <c r="H1"/>
      <c r="I1" s="71"/>
      <c r="J1" s="71"/>
      <c r="K1" s="71"/>
      <c r="L1" s="71"/>
      <c r="M1" s="71"/>
    </row>
    <row r="2" spans="1:13" ht="15">
      <c r="A2" s="10" t="s">
        <v>44</v>
      </c>
      <c r="B2" s="72"/>
      <c r="C2" s="72"/>
      <c r="D2" s="72"/>
      <c r="E2" s="72"/>
      <c r="F2" s="72"/>
      <c r="G2" s="72"/>
      <c r="H2"/>
      <c r="I2" s="71"/>
      <c r="J2" s="71"/>
      <c r="K2" s="71"/>
      <c r="L2" s="71"/>
      <c r="M2" s="71"/>
    </row>
    <row r="3" spans="1:13" ht="15">
      <c r="A3"/>
      <c r="B3" s="72"/>
      <c r="C3" s="72"/>
      <c r="D3" s="72"/>
      <c r="E3" s="72"/>
      <c r="F3" s="72"/>
      <c r="G3" s="72"/>
      <c r="H3"/>
      <c r="I3"/>
      <c r="J3"/>
      <c r="K3"/>
      <c r="L3"/>
      <c r="M3"/>
    </row>
    <row r="4" spans="1:13" ht="12.75" customHeight="1">
      <c r="A4"/>
      <c r="B4" s="72"/>
      <c r="C4" s="72"/>
      <c r="D4" s="72"/>
      <c r="E4" s="72"/>
      <c r="F4" s="72"/>
      <c r="G4" s="72"/>
      <c r="H4"/>
      <c r="I4" s="238" t="s">
        <v>93</v>
      </c>
      <c r="J4" s="13"/>
      <c r="K4" s="71"/>
      <c r="L4" s="71"/>
      <c r="M4" s="71"/>
    </row>
    <row r="5" spans="1:13" ht="15">
      <c r="A5"/>
      <c r="B5" s="240">
        <v>2021</v>
      </c>
      <c r="C5" s="240"/>
      <c r="D5" s="14"/>
      <c r="E5" s="240">
        <v>2022</v>
      </c>
      <c r="F5" s="240"/>
      <c r="G5" s="72"/>
      <c r="H5"/>
      <c r="I5" s="238"/>
      <c r="J5" s="13"/>
      <c r="K5" s="240" t="s">
        <v>45</v>
      </c>
      <c r="L5" s="240"/>
      <c r="M5" s="240"/>
    </row>
    <row r="6" spans="1:13" ht="34.5" customHeight="1">
      <c r="A6"/>
      <c r="B6" s="82" t="s">
        <v>48</v>
      </c>
      <c r="C6" s="82" t="s">
        <v>47</v>
      </c>
      <c r="D6" s="82" t="s">
        <v>0</v>
      </c>
      <c r="E6" s="82" t="s">
        <v>48</v>
      </c>
      <c r="F6" s="82" t="s">
        <v>47</v>
      </c>
      <c r="G6" s="82" t="s">
        <v>0</v>
      </c>
      <c r="H6" s="15" t="s">
        <v>45</v>
      </c>
      <c r="I6" s="239"/>
      <c r="J6" s="70" t="s">
        <v>75</v>
      </c>
      <c r="K6" s="69" t="s">
        <v>48</v>
      </c>
      <c r="L6" s="69" t="s">
        <v>47</v>
      </c>
      <c r="M6" s="15" t="s">
        <v>46</v>
      </c>
    </row>
    <row r="7" spans="1:13" ht="15">
      <c r="A7" t="s">
        <v>74</v>
      </c>
      <c r="B7" s="146">
        <v>145789673.21902642</v>
      </c>
      <c r="C7" s="146">
        <v>286815108.32903868</v>
      </c>
      <c r="D7" s="80">
        <f>SUM(B7:C7)</f>
        <v>432604781.54806507</v>
      </c>
      <c r="E7" s="148">
        <v>164444692.14185449</v>
      </c>
      <c r="F7" s="148">
        <v>321537788.25949854</v>
      </c>
      <c r="G7" s="80">
        <f t="shared" ref="G7:G18" si="0">SUM(E7:F7)</f>
        <v>485982480.401353</v>
      </c>
      <c r="H7" s="22">
        <f t="shared" ref="H7:H13" si="1">AVERAGE(G7,D7)</f>
        <v>459293630.97470903</v>
      </c>
      <c r="I7" s="191">
        <v>459293631</v>
      </c>
      <c r="J7" s="79">
        <f t="shared" ref="J7:J18" si="2">H7-I7</f>
        <v>-2.5290966033935547E-2</v>
      </c>
      <c r="K7" s="78">
        <f>AVERAGE(E7,B7)</f>
        <v>155117182.68044046</v>
      </c>
      <c r="L7" s="78">
        <f t="shared" ref="L7:L18" si="3">AVERAGE(F7,C7)</f>
        <v>304176448.29426861</v>
      </c>
      <c r="M7" s="16">
        <f t="shared" ref="M7:M18" si="4">K7+L7</f>
        <v>459293630.97470903</v>
      </c>
    </row>
    <row r="8" spans="1:13" ht="15">
      <c r="A8" t="s">
        <v>73</v>
      </c>
      <c r="B8" s="146">
        <v>137129441.9408772</v>
      </c>
      <c r="C8" s="146">
        <v>272301849.0321036</v>
      </c>
      <c r="D8" s="80">
        <f t="shared" ref="D8:D18" si="5">SUM(B8:C8)</f>
        <v>409431290.9729808</v>
      </c>
      <c r="E8" s="146">
        <v>144954981.24103734</v>
      </c>
      <c r="F8" s="146">
        <v>283216617.06580663</v>
      </c>
      <c r="G8" s="80">
        <f t="shared" si="0"/>
        <v>428171598.306844</v>
      </c>
      <c r="H8" s="22">
        <f t="shared" si="1"/>
        <v>418801444.63991237</v>
      </c>
      <c r="I8" s="191" t="s">
        <v>114</v>
      </c>
      <c r="J8" s="79">
        <f t="shared" si="2"/>
        <v>-0.36008763313293457</v>
      </c>
      <c r="K8" s="78">
        <f t="shared" ref="K8:K18" si="6">AVERAGE(E8,B8)</f>
        <v>141042211.59095728</v>
      </c>
      <c r="L8" s="78">
        <f t="shared" si="3"/>
        <v>277759233.04895508</v>
      </c>
      <c r="M8" s="16">
        <f t="shared" si="4"/>
        <v>418801444.63991237</v>
      </c>
    </row>
    <row r="9" spans="1:13" ht="15">
      <c r="A9" t="s">
        <v>72</v>
      </c>
      <c r="B9" s="146">
        <v>140816990.37520942</v>
      </c>
      <c r="C9" s="146">
        <v>289862501.83402699</v>
      </c>
      <c r="D9" s="80">
        <f t="shared" si="5"/>
        <v>430679492.20923638</v>
      </c>
      <c r="E9" s="146">
        <v>142040847.6608406</v>
      </c>
      <c r="F9" s="146">
        <v>287806803.76379603</v>
      </c>
      <c r="G9" s="80">
        <f t="shared" si="0"/>
        <v>429847651.4246366</v>
      </c>
      <c r="H9" s="22">
        <f t="shared" si="1"/>
        <v>430263571.81693649</v>
      </c>
      <c r="I9" s="191" t="s">
        <v>115</v>
      </c>
      <c r="J9" s="79">
        <f t="shared" si="2"/>
        <v>-0.18306350708007813</v>
      </c>
      <c r="K9" s="78">
        <f t="shared" si="6"/>
        <v>141428919.01802501</v>
      </c>
      <c r="L9" s="78">
        <f t="shared" si="3"/>
        <v>288834652.79891151</v>
      </c>
      <c r="M9" s="16">
        <f t="shared" si="4"/>
        <v>430263571.81693649</v>
      </c>
    </row>
    <row r="10" spans="1:13" ht="15">
      <c r="A10" t="s">
        <v>71</v>
      </c>
      <c r="B10" s="146">
        <v>105923363.8605562</v>
      </c>
      <c r="C10" s="146">
        <v>207975137.51265633</v>
      </c>
      <c r="D10" s="80">
        <f t="shared" si="5"/>
        <v>313898501.37321252</v>
      </c>
      <c r="E10" s="146">
        <v>109804254.6022961</v>
      </c>
      <c r="F10" s="146">
        <v>211949034.89857361</v>
      </c>
      <c r="G10" s="80">
        <f t="shared" si="0"/>
        <v>321753289.50086969</v>
      </c>
      <c r="H10" s="22">
        <f t="shared" si="1"/>
        <v>317825895.4370411</v>
      </c>
      <c r="I10" s="191" t="s">
        <v>116</v>
      </c>
      <c r="J10" s="79">
        <f t="shared" si="2"/>
        <v>0.43704110383987427</v>
      </c>
      <c r="K10" s="78">
        <f t="shared" si="6"/>
        <v>107863809.23142615</v>
      </c>
      <c r="L10" s="78">
        <f t="shared" si="3"/>
        <v>209962086.20561498</v>
      </c>
      <c r="M10" s="16">
        <f t="shared" si="4"/>
        <v>317825895.43704116</v>
      </c>
    </row>
    <row r="11" spans="1:13" ht="15">
      <c r="A11" t="s">
        <v>70</v>
      </c>
      <c r="B11" s="146">
        <v>86051361.179129198</v>
      </c>
      <c r="C11" s="146">
        <v>170291372.31838706</v>
      </c>
      <c r="D11" s="80">
        <f t="shared" si="5"/>
        <v>256342733.49751627</v>
      </c>
      <c r="E11" s="146">
        <v>98889161.339786693</v>
      </c>
      <c r="F11" s="146">
        <v>191901351.00307482</v>
      </c>
      <c r="G11" s="80">
        <f t="shared" si="0"/>
        <v>290790512.34286153</v>
      </c>
      <c r="H11" s="22">
        <f t="shared" si="1"/>
        <v>273566622.9201889</v>
      </c>
      <c r="I11" s="191" t="s">
        <v>117</v>
      </c>
      <c r="J11" s="79">
        <f t="shared" si="2"/>
        <v>-7.981109619140625E-2</v>
      </c>
      <c r="K11" s="78">
        <f t="shared" si="6"/>
        <v>92470261.259457946</v>
      </c>
      <c r="L11" s="78">
        <f t="shared" si="3"/>
        <v>181096361.66073096</v>
      </c>
      <c r="M11" s="16">
        <f t="shared" si="4"/>
        <v>273566622.9201889</v>
      </c>
    </row>
    <row r="12" spans="1:13" ht="15">
      <c r="A12" t="s">
        <v>69</v>
      </c>
      <c r="B12" s="146">
        <v>92116781.450435817</v>
      </c>
      <c r="C12" s="146">
        <v>184981658.04479483</v>
      </c>
      <c r="D12" s="80">
        <f t="shared" si="5"/>
        <v>277098439.49523067</v>
      </c>
      <c r="E12" s="146">
        <v>87472767.384004593</v>
      </c>
      <c r="F12" s="146">
        <v>172315447.00125319</v>
      </c>
      <c r="G12" s="80">
        <f t="shared" si="0"/>
        <v>259788214.38525778</v>
      </c>
      <c r="H12" s="22">
        <f t="shared" si="1"/>
        <v>268443326.9402442</v>
      </c>
      <c r="I12" s="191" t="s">
        <v>118</v>
      </c>
      <c r="J12" s="79">
        <f t="shared" si="2"/>
        <v>-5.9755802154541016E-2</v>
      </c>
      <c r="K12" s="78">
        <f t="shared" si="6"/>
        <v>89794774.417220205</v>
      </c>
      <c r="L12" s="78">
        <f t="shared" si="3"/>
        <v>178648552.52302402</v>
      </c>
      <c r="M12" s="16">
        <f t="shared" si="4"/>
        <v>268443326.9402442</v>
      </c>
    </row>
    <row r="13" spans="1:13" ht="15">
      <c r="A13" t="s">
        <v>68</v>
      </c>
      <c r="B13" s="146">
        <v>122988150.61120661</v>
      </c>
      <c r="C13" s="146">
        <v>256258805.1615642</v>
      </c>
      <c r="D13" s="80">
        <f t="shared" si="5"/>
        <v>379246955.77277082</v>
      </c>
      <c r="E13" s="146">
        <v>98225554.953923494</v>
      </c>
      <c r="F13" s="146">
        <v>192745022.81852335</v>
      </c>
      <c r="G13" s="80">
        <f t="shared" si="0"/>
        <v>290970577.77244687</v>
      </c>
      <c r="H13" s="22">
        <f t="shared" si="1"/>
        <v>335108766.77260888</v>
      </c>
      <c r="I13" s="191">
        <v>335108767</v>
      </c>
      <c r="J13" s="79">
        <f t="shared" si="2"/>
        <v>-0.22739112377166748</v>
      </c>
      <c r="K13" s="78">
        <f t="shared" si="6"/>
        <v>110606852.78256506</v>
      </c>
      <c r="L13" s="78">
        <f t="shared" si="3"/>
        <v>224501913.99004376</v>
      </c>
      <c r="M13" s="16">
        <f t="shared" si="4"/>
        <v>335108766.77260882</v>
      </c>
    </row>
    <row r="14" spans="1:13" ht="15">
      <c r="A14" t="s">
        <v>49</v>
      </c>
      <c r="B14" s="146">
        <v>117907268.91241699</v>
      </c>
      <c r="C14" s="146">
        <v>251806598.16509801</v>
      </c>
      <c r="D14" s="80">
        <f t="shared" si="5"/>
        <v>369713867.07751501</v>
      </c>
      <c r="E14" s="146"/>
      <c r="F14" s="146"/>
      <c r="G14" s="80">
        <f t="shared" si="0"/>
        <v>0</v>
      </c>
      <c r="H14" s="22">
        <f>+D14</f>
        <v>369713867.07751501</v>
      </c>
      <c r="I14" s="191" t="s">
        <v>119</v>
      </c>
      <c r="J14" s="79">
        <f>H14-I14</f>
        <v>7.7515006065368652E-2</v>
      </c>
      <c r="K14" s="78">
        <f>AVERAGE(E14,B14)</f>
        <v>117907268.91241699</v>
      </c>
      <c r="L14" s="78">
        <f t="shared" si="3"/>
        <v>251806598.16509801</v>
      </c>
      <c r="M14" s="16">
        <f t="shared" si="4"/>
        <v>369713867.07751501</v>
      </c>
    </row>
    <row r="15" spans="1:13" ht="15">
      <c r="A15" t="s">
        <v>50</v>
      </c>
      <c r="B15" s="146">
        <v>89336713.387808248</v>
      </c>
      <c r="C15" s="146">
        <v>193669232.3317658</v>
      </c>
      <c r="D15" s="80">
        <f t="shared" si="5"/>
        <v>283005945.71957403</v>
      </c>
      <c r="E15" s="146"/>
      <c r="F15" s="146"/>
      <c r="G15" s="80">
        <f t="shared" si="0"/>
        <v>0</v>
      </c>
      <c r="H15" s="22">
        <f t="shared" ref="H15:H18" si="7">+D15</f>
        <v>283005945.71957403</v>
      </c>
      <c r="I15" s="191" t="s">
        <v>120</v>
      </c>
      <c r="J15" s="79">
        <f t="shared" si="2"/>
        <v>-0.28042596578598022</v>
      </c>
      <c r="K15" s="78">
        <f t="shared" si="6"/>
        <v>89336713.387808248</v>
      </c>
      <c r="L15" s="78">
        <f t="shared" si="3"/>
        <v>193669232.3317658</v>
      </c>
      <c r="M15" s="16">
        <f t="shared" si="4"/>
        <v>283005945.71957403</v>
      </c>
    </row>
    <row r="16" spans="1:13" ht="15">
      <c r="A16" t="s">
        <v>41</v>
      </c>
      <c r="B16" s="146">
        <v>84529151.205240518</v>
      </c>
      <c r="C16" s="146">
        <v>170367259.14992908</v>
      </c>
      <c r="D16" s="80">
        <f t="shared" si="5"/>
        <v>254896410.35516959</v>
      </c>
      <c r="E16" s="146"/>
      <c r="F16" s="146"/>
      <c r="G16" s="80">
        <f t="shared" si="0"/>
        <v>0</v>
      </c>
      <c r="H16" s="22">
        <f t="shared" si="7"/>
        <v>254896410.35516959</v>
      </c>
      <c r="I16" s="192" t="s">
        <v>121</v>
      </c>
      <c r="J16" s="79">
        <f t="shared" si="2"/>
        <v>0.35516959428787231</v>
      </c>
      <c r="K16" s="78">
        <f t="shared" si="6"/>
        <v>84529151.205240518</v>
      </c>
      <c r="L16" s="78">
        <f t="shared" si="3"/>
        <v>170367259.14992908</v>
      </c>
      <c r="M16" s="16">
        <f>K16+L16</f>
        <v>254896410.35516959</v>
      </c>
    </row>
    <row r="17" spans="1:13" ht="15">
      <c r="A17" t="s">
        <v>1</v>
      </c>
      <c r="B17" s="146">
        <v>103453072.14194331</v>
      </c>
      <c r="C17" s="146">
        <v>203535963.7295748</v>
      </c>
      <c r="D17" s="80">
        <f t="shared" si="5"/>
        <v>306989035.87151814</v>
      </c>
      <c r="E17" s="146"/>
      <c r="F17" s="146"/>
      <c r="G17" s="80">
        <f t="shared" si="0"/>
        <v>0</v>
      </c>
      <c r="H17" s="22">
        <f t="shared" si="7"/>
        <v>306989035.87151814</v>
      </c>
      <c r="I17" s="191" t="s">
        <v>122</v>
      </c>
      <c r="J17" s="79">
        <f t="shared" si="2"/>
        <v>-0.12848186492919922</v>
      </c>
      <c r="K17" s="78">
        <f>AVERAGE(E17,B17)</f>
        <v>103453072.14194331</v>
      </c>
      <c r="L17" s="78">
        <f t="shared" si="3"/>
        <v>203535963.7295748</v>
      </c>
      <c r="M17" s="16">
        <f t="shared" si="4"/>
        <v>306989035.87151814</v>
      </c>
    </row>
    <row r="18" spans="1:13" ht="15">
      <c r="A18" t="s">
        <v>51</v>
      </c>
      <c r="B18" s="147">
        <v>138124809.64538619</v>
      </c>
      <c r="C18" s="147">
        <v>272843674.01687372</v>
      </c>
      <c r="D18" s="81">
        <f t="shared" si="5"/>
        <v>410968483.66225994</v>
      </c>
      <c r="E18" s="149"/>
      <c r="F18" s="149"/>
      <c r="G18" s="80">
        <f t="shared" si="0"/>
        <v>0</v>
      </c>
      <c r="H18" s="22">
        <f t="shared" si="7"/>
        <v>410968483.66225994</v>
      </c>
      <c r="I18" s="191" t="s">
        <v>123</v>
      </c>
      <c r="J18" s="79">
        <f t="shared" si="2"/>
        <v>-0.33774006366729736</v>
      </c>
      <c r="K18" s="78">
        <f t="shared" si="6"/>
        <v>138124809.64538619</v>
      </c>
      <c r="L18" s="78">
        <f t="shared" si="3"/>
        <v>272843674.01687372</v>
      </c>
      <c r="M18" s="16">
        <f t="shared" si="4"/>
        <v>410968483.66225994</v>
      </c>
    </row>
    <row r="19" spans="1:13" ht="15">
      <c r="A19"/>
      <c r="B19" s="77">
        <f t="shared" ref="B19:H19" si="8">SUM(B7:B18)</f>
        <v>1364166777.9292362</v>
      </c>
      <c r="C19" s="77">
        <f t="shared" si="8"/>
        <v>2760709159.625813</v>
      </c>
      <c r="D19" s="77">
        <f t="shared" si="8"/>
        <v>4124875937.5550499</v>
      </c>
      <c r="E19" s="77">
        <f t="shared" si="8"/>
        <v>845832259.32374322</v>
      </c>
      <c r="F19" s="77">
        <f t="shared" si="8"/>
        <v>1661472064.8105264</v>
      </c>
      <c r="G19" s="77">
        <f t="shared" si="8"/>
        <v>2507304324.1342697</v>
      </c>
      <c r="H19" s="77">
        <f t="shared" si="8"/>
        <v>4128877002.1876779</v>
      </c>
      <c r="I19" s="18">
        <v>3867544659</v>
      </c>
      <c r="J19" s="18">
        <f>SUM(J7:J18)</f>
        <v>-0.81232231855392456</v>
      </c>
      <c r="K19" s="17">
        <f>SUM(K7:K18)</f>
        <v>1371675026.2728872</v>
      </c>
      <c r="L19" s="17">
        <f>SUM(L7:L18)</f>
        <v>2757201975.9147902</v>
      </c>
      <c r="M19" s="17">
        <f>SUM(M7:M18)</f>
        <v>4128877002.1876779</v>
      </c>
    </row>
    <row r="20" spans="1:13" ht="15">
      <c r="A20"/>
      <c r="B20" s="72"/>
      <c r="C20" s="72"/>
      <c r="D20" s="72"/>
      <c r="E20" s="72"/>
      <c r="F20" s="72"/>
      <c r="G20" s="72"/>
      <c r="H20"/>
      <c r="I20" s="71"/>
      <c r="J20" s="71"/>
      <c r="K20" s="133">
        <f>K19/M19</f>
        <v>0.33221503705392719</v>
      </c>
      <c r="L20" s="133">
        <f>L19/M19</f>
        <v>0.6677849629460727</v>
      </c>
      <c r="M20" s="19">
        <f>SUM(K20:L20)</f>
        <v>0.99999999999999989</v>
      </c>
    </row>
    <row r="21" spans="1:13" ht="15">
      <c r="A21"/>
      <c r="B21" s="72"/>
      <c r="C21" s="72"/>
      <c r="D21" s="72"/>
      <c r="E21" s="72"/>
      <c r="F21" s="72"/>
      <c r="G21" s="72"/>
      <c r="H21"/>
      <c r="I21" s="16"/>
      <c r="J21" s="71"/>
      <c r="K21" s="71"/>
      <c r="L21" s="71"/>
      <c r="M21" s="71"/>
    </row>
    <row r="22" spans="1:13" ht="15">
      <c r="A22"/>
      <c r="B22" s="72"/>
      <c r="C22" s="72"/>
      <c r="D22" s="72"/>
      <c r="E22" s="69" t="s">
        <v>48</v>
      </c>
      <c r="F22" s="69" t="s">
        <v>47</v>
      </c>
      <c r="G22" s="72"/>
      <c r="H22"/>
      <c r="I22" s="71"/>
      <c r="J22" s="71"/>
      <c r="K22" s="71"/>
      <c r="L22" s="71"/>
      <c r="M22" s="71"/>
    </row>
    <row r="23" spans="1:13" ht="15">
      <c r="A23"/>
      <c r="B23" s="72"/>
      <c r="C23" s="72"/>
      <c r="D23" s="72"/>
      <c r="E23" s="16"/>
      <c r="F23" s="16"/>
      <c r="G23" s="72"/>
      <c r="H23"/>
      <c r="I23" s="71"/>
      <c r="J23" s="71"/>
      <c r="K23" s="71"/>
      <c r="L23" s="71"/>
      <c r="M23" s="71"/>
    </row>
    <row r="24" spans="1:13" ht="15">
      <c r="A24"/>
      <c r="B24" s="72"/>
      <c r="C24" s="72"/>
      <c r="D24" s="72"/>
      <c r="E24" s="20">
        <f>+K19</f>
        <v>1371675026.2728872</v>
      </c>
      <c r="F24" s="20">
        <f>+L19</f>
        <v>2757201975.9147902</v>
      </c>
      <c r="G24" s="72"/>
      <c r="H24"/>
      <c r="I24" s="71"/>
      <c r="J24" s="71"/>
      <c r="K24" s="71"/>
      <c r="L24" s="71"/>
      <c r="M24" s="71"/>
    </row>
    <row r="25" spans="1:13" ht="15">
      <c r="A25"/>
      <c r="B25" s="72"/>
      <c r="C25" s="76"/>
      <c r="D25" s="72"/>
      <c r="E25" s="72"/>
      <c r="F25" s="72"/>
      <c r="G25" s="72"/>
      <c r="H25"/>
      <c r="I25" s="74"/>
      <c r="J25" s="75"/>
      <c r="K25" s="74"/>
      <c r="L25" s="73"/>
      <c r="M25" s="71"/>
    </row>
    <row r="26" spans="1:13" ht="15">
      <c r="A26"/>
      <c r="B26" s="241" t="s">
        <v>67</v>
      </c>
      <c r="C26" s="241"/>
      <c r="D26" s="72"/>
      <c r="E26" s="72"/>
      <c r="F26" s="72"/>
      <c r="G26" s="72"/>
      <c r="H26"/>
      <c r="I26" s="71"/>
      <c r="J26" s="71"/>
      <c r="K26" s="71"/>
      <c r="L26" s="71"/>
      <c r="M26" s="71"/>
    </row>
    <row r="33" spans="1:1" s="11" customFormat="1">
      <c r="A33" s="10"/>
    </row>
  </sheetData>
  <mergeCells count="5">
    <mergeCell ref="I4:I6"/>
    <mergeCell ref="B5:C5"/>
    <mergeCell ref="E5:F5"/>
    <mergeCell ref="K5:M5"/>
    <mergeCell ref="B26:C26"/>
  </mergeCells>
  <pageMargins left="1.01" right="0.7" top="0.75" bottom="0.75" header="0.3" footer="0.3"/>
  <pageSetup scale="54" orientation="landscape" r:id="rId1"/>
  <headerFoot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activeCell="B32" sqref="B32"/>
    </sheetView>
  </sheetViews>
  <sheetFormatPr defaultRowHeight="12.75"/>
  <cols>
    <col min="1" max="1" width="24.140625" style="99" customWidth="1"/>
    <col min="2" max="2" width="13.7109375" style="99" customWidth="1"/>
    <col min="3" max="3" width="16" style="99" bestFit="1" customWidth="1"/>
    <col min="4" max="4" width="14.85546875" style="99" customWidth="1"/>
    <col min="5" max="5" width="12.85546875" style="99" bestFit="1" customWidth="1"/>
    <col min="6" max="16384" width="9.140625" style="99"/>
  </cols>
  <sheetData>
    <row r="1" spans="1:7">
      <c r="A1" s="100"/>
      <c r="B1" s="101" t="s">
        <v>77</v>
      </c>
      <c r="C1" s="100"/>
      <c r="D1" s="100"/>
      <c r="E1" s="100"/>
      <c r="F1" s="100"/>
      <c r="G1" s="100"/>
    </row>
    <row r="2" spans="1:7">
      <c r="A2" s="101"/>
      <c r="B2" s="101" t="s">
        <v>113</v>
      </c>
      <c r="C2" s="101"/>
      <c r="D2" s="101"/>
      <c r="E2" s="101"/>
      <c r="F2" s="101"/>
      <c r="G2" s="101"/>
    </row>
    <row r="3" spans="1:7">
      <c r="A3" s="101"/>
      <c r="B3" s="102" t="s">
        <v>78</v>
      </c>
      <c r="C3" s="101"/>
      <c r="D3" s="101"/>
      <c r="E3" s="101"/>
      <c r="F3" s="101"/>
      <c r="G3" s="101"/>
    </row>
    <row r="4" spans="1:7">
      <c r="A4" s="101"/>
      <c r="B4" s="101" t="s">
        <v>90</v>
      </c>
      <c r="C4" s="101"/>
      <c r="D4" s="101"/>
      <c r="E4" s="101"/>
      <c r="F4" s="101"/>
      <c r="G4" s="101"/>
    </row>
    <row r="5" spans="1:7">
      <c r="A5" s="101"/>
      <c r="B5" s="101"/>
      <c r="C5" s="101"/>
      <c r="D5" s="101"/>
      <c r="E5" s="101"/>
      <c r="F5" s="101"/>
      <c r="G5" s="101"/>
    </row>
    <row r="6" spans="1:7">
      <c r="A6" s="101"/>
      <c r="B6" s="101"/>
      <c r="C6" s="101"/>
      <c r="D6" s="101"/>
      <c r="E6" s="101"/>
      <c r="F6" s="101"/>
      <c r="G6" s="101"/>
    </row>
    <row r="7" spans="1:7">
      <c r="A7" s="101"/>
      <c r="B7" s="101"/>
      <c r="C7" s="101"/>
      <c r="D7" s="101"/>
      <c r="E7" s="101"/>
      <c r="F7" s="101"/>
      <c r="G7" s="101"/>
    </row>
    <row r="8" spans="1:7">
      <c r="A8" s="101"/>
      <c r="B8" s="100"/>
      <c r="C8" s="103" t="s">
        <v>79</v>
      </c>
      <c r="D8" s="104"/>
      <c r="E8" s="101"/>
      <c r="F8" s="101"/>
      <c r="G8" s="101"/>
    </row>
    <row r="9" spans="1:7">
      <c r="A9" s="101"/>
      <c r="B9" s="101"/>
      <c r="C9" s="101" t="s">
        <v>80</v>
      </c>
      <c r="D9" s="101" t="s">
        <v>80</v>
      </c>
      <c r="E9" s="101"/>
      <c r="F9" s="101"/>
      <c r="G9" s="101"/>
    </row>
    <row r="10" spans="1:7">
      <c r="A10" s="105" t="s">
        <v>81</v>
      </c>
      <c r="B10" s="106" t="s">
        <v>82</v>
      </c>
      <c r="C10" s="107">
        <v>45200</v>
      </c>
      <c r="D10" s="107">
        <v>45200</v>
      </c>
      <c r="E10" s="108"/>
      <c r="F10" s="108"/>
      <c r="G10" s="108"/>
    </row>
    <row r="11" spans="1:7">
      <c r="A11" s="105"/>
      <c r="B11" s="109" t="s">
        <v>83</v>
      </c>
      <c r="C11" s="109" t="s">
        <v>84</v>
      </c>
      <c r="D11" s="109" t="s">
        <v>85</v>
      </c>
      <c r="E11" s="108"/>
      <c r="F11" s="108"/>
      <c r="G11" s="108"/>
    </row>
    <row r="12" spans="1:7">
      <c r="A12" s="100"/>
      <c r="B12" s="100"/>
      <c r="C12" s="100"/>
      <c r="D12" s="101" t="s">
        <v>86</v>
      </c>
      <c r="E12" s="100"/>
      <c r="F12" s="100"/>
      <c r="G12" s="100"/>
    </row>
    <row r="13" spans="1:7">
      <c r="A13" s="100"/>
      <c r="B13" s="100"/>
      <c r="C13" s="100"/>
      <c r="D13" s="101"/>
      <c r="E13" s="100"/>
      <c r="F13" s="100"/>
      <c r="G13" s="100"/>
    </row>
    <row r="14" spans="1:7">
      <c r="A14" s="156" t="s">
        <v>92</v>
      </c>
      <c r="B14" s="185">
        <v>72797254</v>
      </c>
      <c r="C14" s="130">
        <f>+'Projected kWhs'!B25*100</f>
        <v>-0.42599999999999999</v>
      </c>
      <c r="D14" s="110">
        <f>(B14*C14)/100</f>
        <v>-310116.30203999998</v>
      </c>
      <c r="F14" s="100"/>
      <c r="G14" s="111"/>
    </row>
    <row r="15" spans="1:7">
      <c r="A15" s="101">
        <v>12</v>
      </c>
      <c r="B15" s="185">
        <v>1594245</v>
      </c>
      <c r="C15" s="130">
        <f>C14</f>
        <v>-0.42599999999999999</v>
      </c>
      <c r="D15" s="110">
        <f>(B15*C15)/100</f>
        <v>-6791.4836999999998</v>
      </c>
      <c r="E15" s="111"/>
      <c r="F15" s="100"/>
      <c r="G15" s="100"/>
    </row>
    <row r="16" spans="1:7">
      <c r="A16" s="101">
        <v>22</v>
      </c>
      <c r="B16" s="185">
        <v>849392</v>
      </c>
      <c r="C16" s="130">
        <f>C14</f>
        <v>-0.42599999999999999</v>
      </c>
      <c r="D16" s="110">
        <f>(B16*C16)/100</f>
        <v>-3618.4099199999996</v>
      </c>
      <c r="E16" s="111"/>
      <c r="F16" s="100"/>
      <c r="G16" s="100"/>
    </row>
    <row r="17" spans="1:10">
      <c r="A17" s="101">
        <v>32</v>
      </c>
      <c r="B17" s="185">
        <v>430341</v>
      </c>
      <c r="C17" s="130">
        <f>C14</f>
        <v>-0.42599999999999999</v>
      </c>
      <c r="D17" s="110">
        <f>(B17*C17)/100</f>
        <v>-1833.2526600000001</v>
      </c>
      <c r="E17" s="111"/>
      <c r="F17" s="100"/>
      <c r="G17" s="100"/>
      <c r="H17" s="100"/>
      <c r="I17" s="100"/>
      <c r="J17" s="100"/>
    </row>
    <row r="18" spans="1:10">
      <c r="A18" s="101">
        <v>48</v>
      </c>
      <c r="B18" s="186">
        <v>0</v>
      </c>
      <c r="C18" s="130">
        <f>C14</f>
        <v>-0.42599999999999999</v>
      </c>
      <c r="D18" s="112">
        <f>(B18*C18)/100</f>
        <v>0</v>
      </c>
      <c r="E18" s="111"/>
      <c r="F18" s="100"/>
      <c r="G18" s="100"/>
      <c r="H18" s="100"/>
      <c r="I18" s="100"/>
      <c r="J18" s="100"/>
    </row>
    <row r="19" spans="1:10">
      <c r="A19" s="100"/>
      <c r="B19" s="113"/>
      <c r="C19" s="114"/>
      <c r="D19" s="115"/>
      <c r="E19" s="100"/>
      <c r="F19" s="116"/>
      <c r="G19" s="100"/>
      <c r="H19" s="100"/>
      <c r="I19" s="100"/>
      <c r="J19" s="100"/>
    </row>
    <row r="20" spans="1:10">
      <c r="A20" s="117" t="s">
        <v>87</v>
      </c>
      <c r="B20" s="113">
        <f>SUM(B14:B19)</f>
        <v>75671232</v>
      </c>
      <c r="C20" s="111"/>
      <c r="D20" s="115">
        <f>SUM(D14:D19)</f>
        <v>-322359.44831999997</v>
      </c>
      <c r="E20" s="100"/>
      <c r="F20" s="100"/>
      <c r="G20" s="100"/>
      <c r="H20" s="100"/>
      <c r="I20" s="100"/>
      <c r="J20" s="115"/>
    </row>
    <row r="21" spans="1:10">
      <c r="A21" s="100"/>
      <c r="B21" s="113"/>
      <c r="C21" s="118" t="s">
        <v>54</v>
      </c>
      <c r="D21" s="141">
        <f>'Projected kWhs'!B27</f>
        <v>0.9560685516223647</v>
      </c>
      <c r="E21" s="100"/>
      <c r="F21" s="100"/>
      <c r="G21" s="100"/>
      <c r="H21" s="100"/>
      <c r="I21" s="100"/>
      <c r="J21" s="100"/>
    </row>
    <row r="22" spans="1:10">
      <c r="A22" s="119"/>
      <c r="B22" s="120"/>
      <c r="C22" s="121" t="s">
        <v>20</v>
      </c>
      <c r="D22" s="115">
        <f>D20*D21</f>
        <v>-308197.73085708689</v>
      </c>
      <c r="E22" s="100"/>
      <c r="F22" s="100"/>
      <c r="G22" s="100"/>
      <c r="H22" s="100"/>
      <c r="I22" s="100"/>
      <c r="J22" s="100"/>
    </row>
    <row r="23" spans="1:10">
      <c r="A23" s="122"/>
      <c r="B23" s="123"/>
      <c r="C23" s="100"/>
      <c r="D23" s="124"/>
      <c r="E23" s="100"/>
      <c r="F23" s="100"/>
      <c r="G23" s="100"/>
      <c r="H23" s="100"/>
      <c r="I23" s="100"/>
      <c r="J23" s="100"/>
    </row>
    <row r="24" spans="1:10">
      <c r="A24" s="122"/>
      <c r="B24" s="125"/>
      <c r="C24" s="126"/>
      <c r="D24" s="126"/>
      <c r="E24" s="100"/>
      <c r="F24" s="100"/>
      <c r="G24" s="100"/>
      <c r="H24" s="100"/>
      <c r="I24" s="100"/>
      <c r="J24" s="100"/>
    </row>
    <row r="25" spans="1:10">
      <c r="A25" s="127"/>
      <c r="B25" s="123"/>
      <c r="C25" s="126"/>
      <c r="D25" s="126"/>
      <c r="E25" s="100"/>
      <c r="F25" s="100"/>
      <c r="G25" s="100"/>
      <c r="H25" s="100"/>
      <c r="I25" s="100"/>
      <c r="J25" s="100"/>
    </row>
    <row r="26" spans="1:10">
      <c r="A26" s="128"/>
      <c r="B26" s="126"/>
      <c r="C26" s="100"/>
      <c r="D26" s="100"/>
      <c r="E26" s="100"/>
      <c r="F26" s="100"/>
      <c r="G26" s="100"/>
      <c r="H26" s="100"/>
      <c r="I26" s="100"/>
      <c r="J26" s="100"/>
    </row>
    <row r="27" spans="1:10">
      <c r="A27" s="100"/>
      <c r="B27" s="126"/>
      <c r="C27" s="100"/>
      <c r="D27" s="100"/>
      <c r="E27" s="100"/>
      <c r="F27" s="100"/>
      <c r="G27" s="100"/>
      <c r="H27" s="100"/>
      <c r="I27" s="100"/>
      <c r="J27" s="100"/>
    </row>
    <row r="28" spans="1:10">
      <c r="A28" s="100"/>
      <c r="B28" s="100"/>
      <c r="C28" s="100"/>
      <c r="D28" s="100"/>
      <c r="E28" s="100"/>
      <c r="F28" s="100"/>
      <c r="G28" s="100"/>
      <c r="H28" s="100"/>
      <c r="I28" s="100"/>
      <c r="J28" s="100"/>
    </row>
    <row r="29" spans="1:10">
      <c r="A29" s="129"/>
      <c r="B29" s="100"/>
      <c r="C29" s="100"/>
      <c r="D29" s="100"/>
      <c r="E29" s="100"/>
      <c r="F29" s="100"/>
      <c r="G29" s="100"/>
      <c r="H29" s="100"/>
      <c r="I29" s="100"/>
      <c r="J29" s="100"/>
    </row>
    <row r="30" spans="1:10">
      <c r="A30" s="100"/>
      <c r="B30" s="100"/>
      <c r="C30" s="100"/>
      <c r="D30" s="100"/>
      <c r="E30" s="100"/>
      <c r="F30" s="100"/>
      <c r="G30" s="100"/>
      <c r="H30" s="100"/>
      <c r="I30" s="100"/>
      <c r="J30" s="100"/>
    </row>
    <row r="31" spans="1:10">
      <c r="A31" s="100"/>
      <c r="B31" s="100"/>
      <c r="C31" s="100"/>
      <c r="D31" s="100"/>
      <c r="E31" s="100"/>
      <c r="F31" s="100"/>
      <c r="G31" s="100"/>
      <c r="H31" s="100"/>
      <c r="I31" s="100"/>
      <c r="J31" s="10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726B-D443-4A42-BEB4-494C7F196980}">
  <dimension ref="A1:J25"/>
  <sheetViews>
    <sheetView view="pageBreakPreview" zoomScale="120" zoomScaleNormal="100" zoomScaleSheetLayoutView="120" workbookViewId="0">
      <selection activeCell="E10" sqref="E10"/>
    </sheetView>
  </sheetViews>
  <sheetFormatPr defaultColWidth="9.140625" defaultRowHeight="12.75"/>
  <cols>
    <col min="1" max="4" width="9.140625" style="194"/>
    <col min="5" max="5" width="16.7109375" style="194" customWidth="1"/>
    <col min="6" max="6" width="9.28515625" style="194" customWidth="1"/>
    <col min="7" max="16384" width="9.140625" style="194"/>
  </cols>
  <sheetData>
    <row r="1" spans="1:6" ht="15">
      <c r="A1" s="193" t="s">
        <v>124</v>
      </c>
      <c r="B1" s="193"/>
      <c r="C1" s="193"/>
      <c r="D1" s="193"/>
      <c r="E1" s="193"/>
      <c r="F1" s="193"/>
    </row>
    <row r="2" spans="1:6" ht="15">
      <c r="A2" s="193" t="s">
        <v>125</v>
      </c>
      <c r="B2" s="193"/>
      <c r="C2" s="193"/>
      <c r="D2" s="193"/>
      <c r="E2" s="193"/>
      <c r="F2" s="193"/>
    </row>
    <row r="3" spans="1:6" ht="15">
      <c r="A3" s="193" t="s">
        <v>150</v>
      </c>
      <c r="B3" s="193"/>
      <c r="C3" s="193"/>
      <c r="D3" s="193"/>
      <c r="E3" s="193"/>
      <c r="F3" s="193"/>
    </row>
    <row r="4" spans="1:6" ht="15">
      <c r="A4" s="193" t="s">
        <v>126</v>
      </c>
      <c r="B4" s="193"/>
      <c r="C4" s="193"/>
      <c r="D4" s="193"/>
      <c r="E4" s="193"/>
      <c r="F4" s="193"/>
    </row>
    <row r="5" spans="1:6" ht="15">
      <c r="A5" s="193"/>
      <c r="B5" s="193"/>
      <c r="C5" s="193"/>
      <c r="D5" s="193"/>
      <c r="E5" s="193"/>
      <c r="F5" s="193"/>
    </row>
    <row r="6" spans="1:6" ht="15">
      <c r="A6" s="193"/>
      <c r="B6" s="193"/>
      <c r="C6" s="193"/>
      <c r="D6" s="193"/>
      <c r="E6" s="193"/>
      <c r="F6" s="193"/>
    </row>
    <row r="7" spans="1:6" ht="15">
      <c r="A7" s="193" t="s">
        <v>127</v>
      </c>
      <c r="B7" s="193"/>
      <c r="C7" s="193"/>
      <c r="D7" s="193"/>
      <c r="E7" s="193"/>
      <c r="F7" s="193"/>
    </row>
    <row r="8" spans="1:6" ht="15">
      <c r="A8" s="193" t="s">
        <v>128</v>
      </c>
      <c r="B8" s="193"/>
      <c r="C8" s="193" t="s">
        <v>129</v>
      </c>
      <c r="D8" s="193"/>
      <c r="E8" s="193"/>
      <c r="F8" s="195" t="s">
        <v>130</v>
      </c>
    </row>
    <row r="9" spans="1:6" ht="15">
      <c r="A9" s="193"/>
      <c r="B9" s="193"/>
      <c r="C9" s="193"/>
      <c r="D9" s="193"/>
      <c r="E9" s="193"/>
      <c r="F9" s="193"/>
    </row>
    <row r="10" spans="1:6" ht="15">
      <c r="A10" s="193">
        <v>1</v>
      </c>
      <c r="B10" s="193"/>
      <c r="C10" s="193" t="s">
        <v>131</v>
      </c>
      <c r="D10" s="193"/>
      <c r="E10" s="193"/>
      <c r="F10" s="196">
        <v>1</v>
      </c>
    </row>
    <row r="11" spans="1:6" ht="15">
      <c r="A11" s="193"/>
      <c r="B11" s="193"/>
      <c r="C11" s="193"/>
      <c r="D11" s="193"/>
      <c r="E11" s="193"/>
      <c r="F11" s="196"/>
    </row>
    <row r="12" spans="1:6" ht="15">
      <c r="A12" s="193"/>
      <c r="B12" s="193"/>
      <c r="C12" s="196" t="s">
        <v>132</v>
      </c>
      <c r="D12" s="196"/>
      <c r="E12" s="196"/>
      <c r="F12" s="196"/>
    </row>
    <row r="13" spans="1:6" ht="15">
      <c r="A13" s="193">
        <v>2</v>
      </c>
      <c r="B13" s="193"/>
      <c r="C13" s="196" t="s">
        <v>133</v>
      </c>
      <c r="D13" s="196"/>
      <c r="E13" s="196"/>
      <c r="F13" s="196">
        <v>3.3262888499492435E-3</v>
      </c>
    </row>
    <row r="14" spans="1:6" ht="15">
      <c r="A14" s="193"/>
      <c r="B14" s="193"/>
      <c r="C14" s="196"/>
      <c r="D14" s="196"/>
      <c r="E14" s="196"/>
      <c r="F14" s="196"/>
    </row>
    <row r="15" spans="1:6" ht="15">
      <c r="A15" s="193">
        <v>3</v>
      </c>
      <c r="B15" s="193"/>
      <c r="C15" s="196" t="s">
        <v>134</v>
      </c>
      <c r="D15" s="196"/>
      <c r="E15" s="196"/>
      <c r="F15" s="196">
        <v>2E-3</v>
      </c>
    </row>
    <row r="16" spans="1:6" ht="15">
      <c r="A16" s="193"/>
      <c r="B16" s="193"/>
      <c r="C16" s="196"/>
      <c r="D16" s="196"/>
      <c r="E16" s="196"/>
      <c r="F16" s="196"/>
    </row>
    <row r="17" spans="1:10" ht="15">
      <c r="A17" s="193">
        <v>4</v>
      </c>
      <c r="B17" s="193"/>
      <c r="C17" s="196" t="s">
        <v>138</v>
      </c>
      <c r="D17" s="196"/>
      <c r="E17" s="196"/>
      <c r="F17" s="196">
        <v>3.8605159527686062E-2</v>
      </c>
    </row>
    <row r="18" spans="1:10" ht="15">
      <c r="A18" s="193"/>
      <c r="B18" s="193"/>
      <c r="C18" s="196"/>
      <c r="D18" s="196"/>
      <c r="E18" s="196"/>
      <c r="F18" s="196"/>
    </row>
    <row r="19" spans="1:10" ht="15">
      <c r="A19" s="193">
        <v>5</v>
      </c>
      <c r="B19" s="193"/>
      <c r="C19" s="196" t="s">
        <v>135</v>
      </c>
      <c r="D19" s="196"/>
      <c r="E19" s="196"/>
      <c r="F19" s="197">
        <f>SUM(F13:F17)</f>
        <v>4.3931448377635303E-2</v>
      </c>
    </row>
    <row r="20" spans="1:10" ht="15.75" thickBot="1">
      <c r="A20" s="193"/>
      <c r="B20" s="193"/>
      <c r="C20" s="196"/>
      <c r="D20" s="196"/>
      <c r="E20" s="196"/>
      <c r="F20" s="196"/>
    </row>
    <row r="21" spans="1:10" ht="16.5" thickTop="1" thickBot="1">
      <c r="A21" s="193">
        <v>6</v>
      </c>
      <c r="B21" s="193"/>
      <c r="C21" s="196" t="s">
        <v>136</v>
      </c>
      <c r="D21" s="196"/>
      <c r="E21" s="196"/>
      <c r="F21" s="198">
        <f>F10-F19</f>
        <v>0.9560685516223647</v>
      </c>
      <c r="J21" s="199"/>
    </row>
    <row r="22" spans="1:10" ht="15.75" thickTop="1">
      <c r="A22" s="193"/>
      <c r="B22" s="193"/>
      <c r="C22" s="196"/>
      <c r="D22" s="196"/>
      <c r="E22" s="196"/>
      <c r="F22" s="193"/>
    </row>
    <row r="23" spans="1:10" ht="15">
      <c r="A23" s="193"/>
      <c r="B23" s="193"/>
      <c r="C23" s="193"/>
      <c r="D23" s="193"/>
      <c r="E23" s="193"/>
      <c r="F23" s="193"/>
    </row>
    <row r="25" spans="1:10" ht="15">
      <c r="A25" s="193" t="s">
        <v>137</v>
      </c>
    </row>
  </sheetData>
  <pageMargins left="0.7" right="0.7" top="0.75" bottom="0.75" header="0.3" footer="0.3"/>
  <pageSetup orientation="portrait" r:id="rId1"/>
  <headerFooter>
    <oddFooter>&amp;L&amp;F
&amp;A&amp;RPage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L29"/>
  <sheetViews>
    <sheetView showGridLines="0" zoomScaleNormal="100" workbookViewId="0">
      <selection activeCell="K11" sqref="K11"/>
    </sheetView>
  </sheetViews>
  <sheetFormatPr defaultRowHeight="15.75"/>
  <cols>
    <col min="1" max="1" width="9.140625" style="151"/>
    <col min="2" max="2" width="34.140625" style="151" bestFit="1" customWidth="1"/>
    <col min="3" max="3" width="9.140625" style="151"/>
    <col min="4" max="4" width="17.7109375" style="151" bestFit="1" customWidth="1"/>
    <col min="5" max="5" width="2.7109375" style="151" customWidth="1"/>
    <col min="6" max="6" width="18.5703125" style="151" bestFit="1" customWidth="1"/>
    <col min="7" max="7" width="3.140625" style="151" customWidth="1"/>
    <col min="8" max="8" width="15.7109375" style="151" bestFit="1" customWidth="1"/>
    <col min="9" max="9" width="14" style="151" bestFit="1" customWidth="1"/>
    <col min="10" max="10" width="14.42578125" style="151" customWidth="1"/>
    <col min="11" max="11" width="17.7109375" style="151" bestFit="1" customWidth="1"/>
    <col min="12" max="16384" width="9.140625" style="151"/>
  </cols>
  <sheetData>
    <row r="5" spans="2:12">
      <c r="B5" s="234" t="s">
        <v>140</v>
      </c>
      <c r="C5" s="235"/>
      <c r="D5" s="235"/>
      <c r="E5" s="235"/>
      <c r="F5" s="235"/>
      <c r="G5" s="235"/>
      <c r="H5" s="235"/>
      <c r="I5" s="236"/>
    </row>
    <row r="6" spans="2:12">
      <c r="B6" s="201"/>
      <c r="D6" s="152">
        <v>2023</v>
      </c>
      <c r="E6" s="152"/>
      <c r="F6" s="152">
        <v>2022</v>
      </c>
      <c r="I6" s="202"/>
    </row>
    <row r="7" spans="2:12">
      <c r="B7" s="201"/>
      <c r="D7" s="152" t="s">
        <v>141</v>
      </c>
      <c r="E7" s="152"/>
      <c r="F7" s="152" t="s">
        <v>91</v>
      </c>
      <c r="G7" s="152"/>
      <c r="H7" s="99"/>
      <c r="I7" s="203"/>
      <c r="J7" s="152"/>
    </row>
    <row r="8" spans="2:12">
      <c r="B8" s="201" t="s">
        <v>146</v>
      </c>
      <c r="D8" s="153">
        <f>+'Projected Benefits'!F7</f>
        <v>10780659.72582682</v>
      </c>
      <c r="F8" s="153">
        <v>10720307.939297913</v>
      </c>
      <c r="H8" s="99"/>
      <c r="I8" s="204">
        <f>+D8-F8</f>
        <v>60351.786528907716</v>
      </c>
      <c r="J8" s="187"/>
      <c r="K8" s="153">
        <f>-I14</f>
        <v>-327210.47666821093</v>
      </c>
      <c r="L8" s="151" t="s">
        <v>142</v>
      </c>
    </row>
    <row r="9" spans="2:12" ht="18">
      <c r="B9" s="205"/>
      <c r="C9" s="206"/>
      <c r="D9" s="207"/>
      <c r="E9" s="207"/>
      <c r="F9" s="207"/>
      <c r="G9" s="206"/>
      <c r="H9" s="208"/>
      <c r="I9" s="209"/>
      <c r="J9" s="188"/>
      <c r="K9" s="153">
        <f>I19</f>
        <v>-936098.10156542237</v>
      </c>
      <c r="L9" s="151" t="s">
        <v>157</v>
      </c>
    </row>
    <row r="10" spans="2:12">
      <c r="C10" s="210"/>
      <c r="J10" s="153"/>
      <c r="K10" s="153">
        <v>169656</v>
      </c>
      <c r="L10" s="151" t="s">
        <v>158</v>
      </c>
    </row>
    <row r="11" spans="2:12">
      <c r="B11" s="234" t="s">
        <v>142</v>
      </c>
      <c r="C11" s="235"/>
      <c r="D11" s="235"/>
      <c r="E11" s="235"/>
      <c r="F11" s="235"/>
      <c r="G11" s="235"/>
      <c r="H11" s="235"/>
      <c r="I11" s="236"/>
      <c r="K11" s="153">
        <f>I8</f>
        <v>60351.786528907716</v>
      </c>
      <c r="L11" s="151" t="s">
        <v>152</v>
      </c>
    </row>
    <row r="12" spans="2:12">
      <c r="B12" s="211"/>
      <c r="C12" s="152"/>
      <c r="D12" s="152">
        <v>2023</v>
      </c>
      <c r="E12" s="152"/>
      <c r="F12" s="152">
        <v>2022</v>
      </c>
      <c r="G12" s="152"/>
      <c r="H12" s="152"/>
      <c r="I12" s="203"/>
      <c r="J12" s="153"/>
      <c r="K12" s="153">
        <f>SUM(K7:K11)</f>
        <v>-1033300.7917047255</v>
      </c>
    </row>
    <row r="13" spans="2:12">
      <c r="B13" s="211"/>
      <c r="C13" s="152"/>
      <c r="D13" s="152" t="s">
        <v>141</v>
      </c>
      <c r="E13" s="152"/>
      <c r="F13" s="152" t="s">
        <v>91</v>
      </c>
      <c r="G13" s="152"/>
      <c r="H13" s="152"/>
      <c r="I13" s="203"/>
      <c r="J13" s="153"/>
    </row>
    <row r="14" spans="2:12">
      <c r="B14" s="201" t="s">
        <v>143</v>
      </c>
      <c r="D14" s="212">
        <f>+'Proposed ResEx Rate'!G17</f>
        <v>2665602607.3589158</v>
      </c>
      <c r="F14" s="212">
        <v>2588792636.31004</v>
      </c>
      <c r="H14" s="213">
        <f>+D14-F14</f>
        <v>76809971.048875809</v>
      </c>
      <c r="I14" s="204">
        <f>+H14*-F15</f>
        <v>327210.47666821093</v>
      </c>
      <c r="J14" s="228"/>
      <c r="K14" s="153"/>
    </row>
    <row r="15" spans="2:12" ht="18">
      <c r="B15" s="201" t="s">
        <v>4</v>
      </c>
      <c r="C15" s="99"/>
      <c r="D15" s="214">
        <f>+'Proposed ResEx Rate'!G25</f>
        <v>-3.8600000000000001E-3</v>
      </c>
      <c r="E15" s="189"/>
      <c r="F15" s="215">
        <f>+'Proposed ResEx Rate'!G26</f>
        <v>-4.2599999999999999E-3</v>
      </c>
      <c r="H15" s="216">
        <f>+D15-F15</f>
        <v>3.9999999999999975E-4</v>
      </c>
      <c r="I15" s="202"/>
    </row>
    <row r="16" spans="2:12">
      <c r="B16" s="217"/>
      <c r="C16" s="207"/>
      <c r="D16" s="218">
        <f>+D15*D14</f>
        <v>-10289226.064405415</v>
      </c>
      <c r="E16" s="218">
        <f>+E15*E14</f>
        <v>0</v>
      </c>
      <c r="F16" s="219">
        <f>+F15*F14</f>
        <v>-11028256.63068077</v>
      </c>
      <c r="G16" s="220"/>
      <c r="H16" s="208"/>
      <c r="I16" s="225"/>
      <c r="K16" s="231">
        <f>F16</f>
        <v>-11028256.63068077</v>
      </c>
      <c r="L16" s="151" t="s">
        <v>153</v>
      </c>
    </row>
    <row r="17" spans="2:12">
      <c r="B17" s="99"/>
      <c r="C17" s="99"/>
      <c r="D17" s="178"/>
      <c r="E17" s="99"/>
      <c r="F17" s="99"/>
      <c r="G17" s="99"/>
      <c r="H17" s="99"/>
      <c r="K17" s="231">
        <f>'Proposed ResEx Rate'!G21</f>
        <v>-10289226.064405415</v>
      </c>
      <c r="L17" s="151" t="s">
        <v>154</v>
      </c>
    </row>
    <row r="18" spans="2:12">
      <c r="B18" s="234" t="s">
        <v>144</v>
      </c>
      <c r="C18" s="235"/>
      <c r="D18" s="235"/>
      <c r="E18" s="235"/>
      <c r="F18" s="235"/>
      <c r="G18" s="235"/>
      <c r="H18" s="235"/>
      <c r="I18" s="236"/>
    </row>
    <row r="19" spans="2:12">
      <c r="B19" s="205" t="s">
        <v>145</v>
      </c>
      <c r="C19" s="206"/>
      <c r="D19" s="221"/>
      <c r="E19" s="221"/>
      <c r="F19" s="221"/>
      <c r="G19" s="206"/>
      <c r="H19" s="207"/>
      <c r="I19" s="222">
        <f>-'Washington ResX Balances'!F27</f>
        <v>-936098.10156542237</v>
      </c>
      <c r="K19" s="153">
        <f>K16-K17</f>
        <v>-739030.56627535447</v>
      </c>
      <c r="L19" s="151" t="s">
        <v>155</v>
      </c>
    </row>
    <row r="20" spans="2:12">
      <c r="D20" s="152"/>
      <c r="E20" s="152"/>
      <c r="F20" s="152"/>
      <c r="G20" s="152"/>
      <c r="H20" s="152"/>
      <c r="K20" s="153">
        <f>-I14</f>
        <v>-327210.47666821093</v>
      </c>
      <c r="L20" s="151" t="s">
        <v>142</v>
      </c>
    </row>
    <row r="21" spans="2:12">
      <c r="B21" s="99"/>
      <c r="C21" s="99"/>
      <c r="D21" s="99"/>
      <c r="E21" s="99"/>
      <c r="F21" s="99"/>
      <c r="G21" s="99"/>
      <c r="H21" s="99"/>
      <c r="I21" s="223">
        <f>+I8+I14+I19</f>
        <v>-548535.83836830372</v>
      </c>
      <c r="K21" s="153">
        <f>SUM(K19:K20)</f>
        <v>-1066241.0429435654</v>
      </c>
    </row>
    <row r="22" spans="2:12">
      <c r="F22" s="224"/>
    </row>
    <row r="24" spans="2:12">
      <c r="F24" s="153">
        <f>F16-D16</f>
        <v>-739030.56627535447</v>
      </c>
      <c r="H24" s="230"/>
      <c r="K24" s="231">
        <f>I19</f>
        <v>-936098.10156542237</v>
      </c>
      <c r="L24" s="151" t="s">
        <v>157</v>
      </c>
    </row>
    <row r="25" spans="2:12">
      <c r="K25" s="231">
        <v>-169656</v>
      </c>
      <c r="L25" s="151" t="s">
        <v>158</v>
      </c>
    </row>
    <row r="26" spans="2:12">
      <c r="D26" s="224">
        <f>D14*F15</f>
        <v>-11355467.10734898</v>
      </c>
      <c r="I26" s="153"/>
      <c r="K26" s="231">
        <f>K24-K25</f>
        <v>-766442.10156542237</v>
      </c>
    </row>
    <row r="27" spans="2:12">
      <c r="D27" s="224">
        <f>D26-D16</f>
        <v>-1066241.0429435652</v>
      </c>
      <c r="I27" s="153"/>
    </row>
    <row r="28" spans="2:12">
      <c r="I28" s="153"/>
    </row>
    <row r="29" spans="2:12">
      <c r="K29" s="153"/>
    </row>
  </sheetData>
  <mergeCells count="3">
    <mergeCell ref="B5:I5"/>
    <mergeCell ref="B11:I11"/>
    <mergeCell ref="B18:I1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D1B782C34737241868812ED02447D9F" ma:contentTypeVersion="16" ma:contentTypeDescription="" ma:contentTypeScope="" ma:versionID="6c7d4352e983a1c58a2d6127dba5c9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2023-09-01T07:00:00+00:00</OpenedDate>
    <SignificantOrder xmlns="dc463f71-b30c-4ab2-9473-d307f9d35888">false</SignificantOrder>
    <Date1 xmlns="dc463f71-b30c-4ab2-9473-d307f9d35888">2023-09-01T07:00:00+00:00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230707</DocketNumber>
    <DelegatedOrder xmlns="dc463f71-b30c-4ab2-9473-d307f9d35888">false</DelegatedOrder>
  </documentManagement>
</p:properties>
</file>

<file path=customXml/itemProps1.xml><?xml version="1.0" encoding="utf-8"?>
<ds:datastoreItem xmlns:ds="http://schemas.openxmlformats.org/officeDocument/2006/customXml" ds:itemID="{952D4AF6-13BB-4C9C-8CB6-F744FAC05A51}"/>
</file>

<file path=customXml/itemProps2.xml><?xml version="1.0" encoding="utf-8"?>
<ds:datastoreItem xmlns:ds="http://schemas.openxmlformats.org/officeDocument/2006/customXml" ds:itemID="{9F16ECE0-4D5A-4BD6-ABCE-E565844BA325}"/>
</file>

<file path=customXml/itemProps3.xml><?xml version="1.0" encoding="utf-8"?>
<ds:datastoreItem xmlns:ds="http://schemas.openxmlformats.org/officeDocument/2006/customXml" ds:itemID="{98BA4D1F-8678-4CC6-8173-537FBA7B042F}"/>
</file>

<file path=customXml/itemProps4.xml><?xml version="1.0" encoding="utf-8"?>
<ds:datastoreItem xmlns:ds="http://schemas.openxmlformats.org/officeDocument/2006/customXml" ds:itemID="{1C6CAB92-C966-4778-8E87-8C4542068F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Proposed ResEx Rate</vt:lpstr>
      <vt:lpstr>Washington ResX Balances</vt:lpstr>
      <vt:lpstr>Projected Benefits</vt:lpstr>
      <vt:lpstr>Projected kWhs</vt:lpstr>
      <vt:lpstr>Load Calculation</vt:lpstr>
      <vt:lpstr>July Unbilled</vt:lpstr>
      <vt:lpstr>Conversion Factor</vt:lpstr>
      <vt:lpstr>Table</vt:lpstr>
      <vt:lpstr>'Projected Benefits'!Print_Area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McKenzie</dc:creator>
  <cp:lastModifiedBy>Miller, Joe</cp:lastModifiedBy>
  <cp:lastPrinted>2021-08-30T22:01:12Z</cp:lastPrinted>
  <dcterms:created xsi:type="dcterms:W3CDTF">2010-06-18T20:31:54Z</dcterms:created>
  <dcterms:modified xsi:type="dcterms:W3CDTF">2023-08-29T13:29:25Z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0x0101006E56B4D1795A2E4DB2F0B01679ED314A006D1B782C34737241868812ED02447D9F</vt:lpwstr>
  </property>
  <property fmtid="{D5CDD505-2E9C-101B-9397-08002B2CF9AE}" pid="3" name="_docset_NoMedatataSyncRequired">
    <vt:lpwstr>False</vt:lpwstr>
  </property>
</Properties>
</file>