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customProperty5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6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 Low Income\2023\Sch. 129 Filing Effective 10-1-23\Analysis\"/>
    </mc:Choice>
  </mc:AlternateContent>
  <bookViews>
    <workbookView xWindow="-60" yWindow="15" windowWidth="14970" windowHeight="14430" tabRatio="837"/>
  </bookViews>
  <sheets>
    <sheet name="Rates" sheetId="7" r:id="rId1"/>
    <sheet name="Rate Impacts--&gt;" sheetId="16" r:id="rId2"/>
    <sheet name="Rate Impacts Sch 129" sheetId="87" r:id="rId3"/>
    <sheet name="Typical Res Bill Sch 129" sheetId="88" r:id="rId4"/>
    <sheet name="Sch. 129" sheetId="89" r:id="rId5"/>
    <sheet name="Work Papers--&gt;" sheetId="25" r:id="rId6"/>
    <sheet name="Sch 85 87 Rate Calc" sheetId="9" r:id="rId7"/>
    <sheet name="Margin Revenue" sheetId="8" r:id="rId8"/>
    <sheet name="Revenue Requirement" sheetId="86" r:id="rId9"/>
    <sheet name="2022 GRC Rates--&gt;" sheetId="42" r:id="rId10"/>
    <sheet name="Exh JDT-5 (JDT-RES_RD)" sheetId="74" r:id="rId11"/>
    <sheet name="Exh JDT-5 (JDT-C&amp;I-RD)" sheetId="75" r:id="rId12"/>
    <sheet name="Exh JDT-5 (JDT-INTRPL-RD)" sheetId="76" r:id="rId13"/>
    <sheet name="Exh JDT-5 (JDT-MYRP)" sheetId="77" r:id="rId14"/>
  </sheets>
  <definedNames>
    <definedName name="_xlnm.Print_Area" localSheetId="13">'Exh JDT-5 (JDT-MYRP)'!$B$1:$R$256</definedName>
    <definedName name="_xlnm.Print_Area" localSheetId="7">'Margin Revenue'!$B$1:$O$38</definedName>
    <definedName name="_xlnm.Print_Area" localSheetId="2">'Rate Impacts Sch 129'!$B$1:$V$37</definedName>
    <definedName name="_xlnm.Print_Area" localSheetId="0">Rates!$B$1:$K$52</definedName>
    <definedName name="_xlnm.Print_Area" localSheetId="6">'Sch 85 87 Rate Calc'!$B$1:$N$53</definedName>
    <definedName name="_xlnm.Print_Area" localSheetId="4">'Sch. 129'!$A$1:$I$50</definedName>
    <definedName name="_xlnm.Print_Area" localSheetId="3">'Typical Res Bill Sch 129'!$B$1:$H$40</definedName>
    <definedName name="_xlnm.Print_Titles" localSheetId="11">'Exh JDT-5 (JDT-C&amp;I-RD)'!$1:$8</definedName>
    <definedName name="_xlnm.Print_Titles" localSheetId="12">'Exh JDT-5 (JDT-INTRPL-RD)'!$1:$8</definedName>
    <definedName name="_xlnm.Print_Titles" localSheetId="13">'Exh JDT-5 (JDT-MYRP)'!$B:$B,'Exh JDT-5 (JDT-MYRP)'!$1:$8</definedName>
  </definedNames>
  <calcPr calcId="162913"/>
</workbook>
</file>

<file path=xl/calcChain.xml><?xml version="1.0" encoding="utf-8"?>
<calcChain xmlns="http://schemas.openxmlformats.org/spreadsheetml/2006/main">
  <c r="V18" i="87" l="1"/>
  <c r="J12" i="89" l="1"/>
  <c r="F47" i="89"/>
  <c r="G46" i="89"/>
  <c r="F46" i="89"/>
  <c r="H46" i="89"/>
  <c r="I46" i="89" s="1"/>
  <c r="J46" i="89" s="1"/>
  <c r="F45" i="89"/>
  <c r="G44" i="89"/>
  <c r="F44" i="89"/>
  <c r="H44" i="89"/>
  <c r="F43" i="89"/>
  <c r="G42" i="89"/>
  <c r="F42" i="89"/>
  <c r="D48" i="89"/>
  <c r="F38" i="89"/>
  <c r="H38" i="89"/>
  <c r="H37" i="89"/>
  <c r="I37" i="89" s="1"/>
  <c r="J37" i="89" s="1"/>
  <c r="G37" i="89"/>
  <c r="F37" i="89"/>
  <c r="F36" i="89"/>
  <c r="H36" i="89"/>
  <c r="F32" i="89"/>
  <c r="G31" i="89"/>
  <c r="F31" i="89"/>
  <c r="H31" i="89"/>
  <c r="F30" i="89"/>
  <c r="G29" i="89"/>
  <c r="F29" i="89"/>
  <c r="H29" i="89"/>
  <c r="I29" i="89" s="1"/>
  <c r="J29" i="89" s="1"/>
  <c r="F28" i="89"/>
  <c r="G27" i="89"/>
  <c r="F27" i="89"/>
  <c r="F24" i="89"/>
  <c r="G23" i="89"/>
  <c r="F23" i="89"/>
  <c r="H23" i="89"/>
  <c r="I23" i="89" s="1"/>
  <c r="J23" i="89" s="1"/>
  <c r="F20" i="89"/>
  <c r="H20" i="89"/>
  <c r="H19" i="89"/>
  <c r="I19" i="89" s="1"/>
  <c r="J19" i="89" s="1"/>
  <c r="G19" i="89"/>
  <c r="F19" i="89"/>
  <c r="F18" i="89"/>
  <c r="H18" i="89"/>
  <c r="H15" i="89"/>
  <c r="I15" i="89" s="1"/>
  <c r="J15" i="89" s="1"/>
  <c r="G15" i="89"/>
  <c r="F15" i="89"/>
  <c r="F14" i="89"/>
  <c r="H14" i="89"/>
  <c r="H12" i="89"/>
  <c r="I12" i="89" s="1"/>
  <c r="G12" i="89"/>
  <c r="F12" i="89"/>
  <c r="F11" i="89"/>
  <c r="H9" i="89"/>
  <c r="F9" i="89"/>
  <c r="D8" i="89"/>
  <c r="G31" i="88"/>
  <c r="H31" i="88" s="1"/>
  <c r="G30" i="88"/>
  <c r="G29" i="88"/>
  <c r="D31" i="88"/>
  <c r="E31" i="88" s="1"/>
  <c r="G27" i="88"/>
  <c r="H27" i="88" s="1"/>
  <c r="E27" i="88"/>
  <c r="G24" i="88"/>
  <c r="G23" i="88"/>
  <c r="G22" i="88"/>
  <c r="G21" i="88"/>
  <c r="G20" i="88"/>
  <c r="G19" i="88"/>
  <c r="G18" i="88"/>
  <c r="G17" i="88"/>
  <c r="D17" i="88"/>
  <c r="D13" i="88"/>
  <c r="B4" i="88"/>
  <c r="B2" i="88"/>
  <c r="U33" i="87"/>
  <c r="S33" i="87"/>
  <c r="M33" i="87"/>
  <c r="L33" i="87"/>
  <c r="K33" i="87"/>
  <c r="J33" i="87"/>
  <c r="I33" i="87"/>
  <c r="S32" i="87"/>
  <c r="I31" i="87"/>
  <c r="D31" i="87"/>
  <c r="S30" i="87"/>
  <c r="Q30" i="87"/>
  <c r="G30" i="87"/>
  <c r="J29" i="87"/>
  <c r="D29" i="87"/>
  <c r="M28" i="87"/>
  <c r="G28" i="87"/>
  <c r="G34" i="87" s="1"/>
  <c r="J27" i="87"/>
  <c r="R33" i="87"/>
  <c r="Q33" i="87"/>
  <c r="P33" i="87"/>
  <c r="O33" i="87"/>
  <c r="N33" i="87"/>
  <c r="G33" i="87"/>
  <c r="E33" i="87"/>
  <c r="F23" i="87"/>
  <c r="H23" i="87" s="1"/>
  <c r="Q32" i="87"/>
  <c r="F22" i="87"/>
  <c r="H22" i="87" s="1"/>
  <c r="M24" i="87"/>
  <c r="F21" i="87"/>
  <c r="H21" i="87" s="1"/>
  <c r="F20" i="87"/>
  <c r="H20" i="87" s="1"/>
  <c r="L19" i="87"/>
  <c r="F19" i="87"/>
  <c r="H19" i="87" s="1"/>
  <c r="T19" i="87" s="1"/>
  <c r="U18" i="87"/>
  <c r="L18" i="87"/>
  <c r="F18" i="87"/>
  <c r="H18" i="87" s="1"/>
  <c r="T18" i="87" s="1"/>
  <c r="R32" i="87"/>
  <c r="P32" i="87"/>
  <c r="O32" i="87"/>
  <c r="N32" i="87"/>
  <c r="M32" i="87"/>
  <c r="K32" i="87"/>
  <c r="J32" i="87"/>
  <c r="I32" i="87"/>
  <c r="G32" i="87"/>
  <c r="E32" i="87"/>
  <c r="F32" i="87" s="1"/>
  <c r="D32" i="87"/>
  <c r="S31" i="87"/>
  <c r="R31" i="87"/>
  <c r="Q31" i="87"/>
  <c r="P31" i="87"/>
  <c r="O31" i="87"/>
  <c r="N31" i="87"/>
  <c r="M31" i="87"/>
  <c r="L16" i="87"/>
  <c r="K31" i="87"/>
  <c r="J31" i="87"/>
  <c r="G31" i="87"/>
  <c r="F16" i="87"/>
  <c r="H16" i="87" s="1"/>
  <c r="E31" i="87"/>
  <c r="F31" i="87" s="1"/>
  <c r="R30" i="87"/>
  <c r="P30" i="87"/>
  <c r="O30" i="87"/>
  <c r="N30" i="87"/>
  <c r="M30" i="87"/>
  <c r="K30" i="87"/>
  <c r="J30" i="87"/>
  <c r="I30" i="87"/>
  <c r="E30" i="87"/>
  <c r="F30" i="87" s="1"/>
  <c r="D30" i="87"/>
  <c r="S29" i="87"/>
  <c r="R29" i="87"/>
  <c r="Q29" i="87"/>
  <c r="P29" i="87"/>
  <c r="O29" i="87"/>
  <c r="N29" i="87"/>
  <c r="M29" i="87"/>
  <c r="K29" i="87"/>
  <c r="I29" i="87"/>
  <c r="G29" i="87"/>
  <c r="S28" i="87"/>
  <c r="R28" i="87"/>
  <c r="Q28" i="87"/>
  <c r="O28" i="87"/>
  <c r="N28" i="87"/>
  <c r="K28" i="87"/>
  <c r="J28" i="87"/>
  <c r="I28" i="87"/>
  <c r="F13" i="87"/>
  <c r="H13" i="87" s="1"/>
  <c r="E28" i="87"/>
  <c r="F28" i="87" s="1"/>
  <c r="D28" i="87"/>
  <c r="F12" i="87"/>
  <c r="H12" i="87" s="1"/>
  <c r="T12" i="87" s="1"/>
  <c r="V12" i="87" s="1"/>
  <c r="S27" i="87"/>
  <c r="Q24" i="87"/>
  <c r="P24" i="87"/>
  <c r="O24" i="87"/>
  <c r="M27" i="87"/>
  <c r="K24" i="87"/>
  <c r="I27" i="87"/>
  <c r="G27" i="87"/>
  <c r="E24" i="87"/>
  <c r="D27" i="87"/>
  <c r="E7" i="87"/>
  <c r="H31" i="87" l="1"/>
  <c r="T16" i="87"/>
  <c r="H28" i="87"/>
  <c r="T13" i="87"/>
  <c r="T28" i="87" s="1"/>
  <c r="M34" i="87"/>
  <c r="I34" i="87"/>
  <c r="D34" i="87"/>
  <c r="S34" i="87"/>
  <c r="T23" i="87"/>
  <c r="H33" i="87"/>
  <c r="E27" i="87"/>
  <c r="D25" i="88"/>
  <c r="G16" i="88"/>
  <c r="G25" i="88" s="1"/>
  <c r="D50" i="89"/>
  <c r="U19" i="87"/>
  <c r="V19" i="87" s="1"/>
  <c r="D24" i="87"/>
  <c r="F24" i="87" s="1"/>
  <c r="I24" i="87"/>
  <c r="Q27" i="87"/>
  <c r="Q34" i="87" s="1"/>
  <c r="D33" i="87"/>
  <c r="F33" i="87" s="1"/>
  <c r="H21" i="89"/>
  <c r="H28" i="89"/>
  <c r="G28" i="89"/>
  <c r="G33" i="89" s="1"/>
  <c r="L17" i="87" s="1"/>
  <c r="H32" i="89"/>
  <c r="I32" i="89" s="1"/>
  <c r="J32" i="89" s="1"/>
  <c r="G32" i="89"/>
  <c r="H39" i="89"/>
  <c r="I36" i="89"/>
  <c r="H45" i="89"/>
  <c r="I45" i="89" s="1"/>
  <c r="J45" i="89" s="1"/>
  <c r="G45" i="89"/>
  <c r="S24" i="87"/>
  <c r="P27" i="87"/>
  <c r="F11" i="87"/>
  <c r="H11" i="87" s="1"/>
  <c r="J24" i="87"/>
  <c r="N24" i="87"/>
  <c r="R24" i="87"/>
  <c r="P28" i="87"/>
  <c r="E29" i="87"/>
  <c r="F29" i="87" s="1"/>
  <c r="F15" i="87"/>
  <c r="H15" i="87" s="1"/>
  <c r="R27" i="87"/>
  <c r="R34" i="87" s="1"/>
  <c r="G12" i="88"/>
  <c r="E12" i="88"/>
  <c r="E13" i="88" s="1"/>
  <c r="I9" i="89"/>
  <c r="D33" i="89"/>
  <c r="I31" i="89"/>
  <c r="J31" i="89" s="1"/>
  <c r="I44" i="89"/>
  <c r="J44" i="89" s="1"/>
  <c r="J34" i="87"/>
  <c r="K27" i="87"/>
  <c r="K34" i="87" s="1"/>
  <c r="O27" i="87"/>
  <c r="O34" i="87" s="1"/>
  <c r="F14" i="87"/>
  <c r="H14" i="87" s="1"/>
  <c r="U16" i="87"/>
  <c r="F17" i="87"/>
  <c r="H17" i="87" s="1"/>
  <c r="G24" i="87"/>
  <c r="N27" i="87"/>
  <c r="N34" i="87" s="1"/>
  <c r="H11" i="89"/>
  <c r="H24" i="89"/>
  <c r="G24" i="89"/>
  <c r="L21" i="87" s="1"/>
  <c r="L31" i="87" s="1"/>
  <c r="H30" i="89"/>
  <c r="G30" i="89"/>
  <c r="H43" i="89"/>
  <c r="G43" i="89"/>
  <c r="G48" i="89" s="1"/>
  <c r="L22" i="87" s="1"/>
  <c r="T22" i="87" s="1"/>
  <c r="H47" i="89"/>
  <c r="G47" i="89"/>
  <c r="G11" i="89"/>
  <c r="L13" i="87" s="1"/>
  <c r="L28" i="87" s="1"/>
  <c r="G14" i="89"/>
  <c r="L14" i="87" s="1"/>
  <c r="L29" i="87" s="1"/>
  <c r="G18" i="89"/>
  <c r="G20" i="89"/>
  <c r="I20" i="89" s="1"/>
  <c r="J20" i="89" s="1"/>
  <c r="D21" i="89"/>
  <c r="H27" i="89"/>
  <c r="G36" i="89"/>
  <c r="G38" i="89"/>
  <c r="I38" i="89" s="1"/>
  <c r="J38" i="89" s="1"/>
  <c r="D39" i="89"/>
  <c r="H42" i="89"/>
  <c r="G9" i="89"/>
  <c r="L32" i="87" l="1"/>
  <c r="H12" i="88"/>
  <c r="H13" i="88" s="1"/>
  <c r="G13" i="88"/>
  <c r="J9" i="89"/>
  <c r="U11" i="87"/>
  <c r="P34" i="87"/>
  <c r="I39" i="89"/>
  <c r="J36" i="89"/>
  <c r="G38" i="88"/>
  <c r="H25" i="88"/>
  <c r="H32" i="88" s="1"/>
  <c r="G32" i="88"/>
  <c r="T33" i="87"/>
  <c r="V33" i="87" s="1"/>
  <c r="V23" i="87"/>
  <c r="I42" i="89"/>
  <c r="H48" i="89"/>
  <c r="H24" i="87"/>
  <c r="H27" i="87"/>
  <c r="H32" i="87"/>
  <c r="T17" i="87"/>
  <c r="T32" i="87" s="1"/>
  <c r="I11" i="89"/>
  <c r="V16" i="87"/>
  <c r="H30" i="87"/>
  <c r="I28" i="89"/>
  <c r="J28" i="89" s="1"/>
  <c r="E25" i="88"/>
  <c r="E32" i="88" s="1"/>
  <c r="D38" i="88"/>
  <c r="D32" i="88"/>
  <c r="T21" i="87"/>
  <c r="T31" i="87" s="1"/>
  <c r="I27" i="89"/>
  <c r="H33" i="89"/>
  <c r="H50" i="89" s="1"/>
  <c r="I14" i="89"/>
  <c r="I43" i="89"/>
  <c r="J43" i="89" s="1"/>
  <c r="I24" i="89"/>
  <c r="G50" i="89"/>
  <c r="L11" i="87"/>
  <c r="T11" i="87" s="1"/>
  <c r="G39" i="89"/>
  <c r="L20" i="87" s="1"/>
  <c r="T20" i="87" s="1"/>
  <c r="G21" i="89"/>
  <c r="L15" i="87" s="1"/>
  <c r="I47" i="89"/>
  <c r="J47" i="89" s="1"/>
  <c r="I30" i="89"/>
  <c r="J30" i="89" s="1"/>
  <c r="H29" i="87"/>
  <c r="T14" i="87"/>
  <c r="T29" i="87" s="1"/>
  <c r="E34" i="88"/>
  <c r="I18" i="89"/>
  <c r="E34" i="87"/>
  <c r="F34" i="87" s="1"/>
  <c r="F27" i="87"/>
  <c r="T27" i="87" l="1"/>
  <c r="U14" i="87"/>
  <c r="J14" i="89"/>
  <c r="J39" i="89"/>
  <c r="U20" i="87"/>
  <c r="V20" i="87" s="1"/>
  <c r="J42" i="89"/>
  <c r="I48" i="89"/>
  <c r="L24" i="87"/>
  <c r="L27" i="87"/>
  <c r="L30" i="87"/>
  <c r="J24" i="89"/>
  <c r="U21" i="87"/>
  <c r="J27" i="89"/>
  <c r="I33" i="89"/>
  <c r="I50" i="89" s="1"/>
  <c r="J50" i="89" s="1"/>
  <c r="T15" i="87"/>
  <c r="T30" i="87" s="1"/>
  <c r="U13" i="87"/>
  <c r="J11" i="89"/>
  <c r="H34" i="87"/>
  <c r="U27" i="87"/>
  <c r="V11" i="87"/>
  <c r="H34" i="88"/>
  <c r="H35" i="88" s="1"/>
  <c r="H36" i="88" s="1"/>
  <c r="I21" i="89"/>
  <c r="J18" i="89"/>
  <c r="U29" i="87" l="1"/>
  <c r="V29" i="87" s="1"/>
  <c r="V14" i="87"/>
  <c r="U28" i="87"/>
  <c r="V28" i="87" s="1"/>
  <c r="V13" i="87"/>
  <c r="V21" i="87"/>
  <c r="U31" i="87"/>
  <c r="V31" i="87" s="1"/>
  <c r="L34" i="87"/>
  <c r="T24" i="87"/>
  <c r="J33" i="89"/>
  <c r="U17" i="87"/>
  <c r="J48" i="89"/>
  <c r="U22" i="87"/>
  <c r="V22" i="87" s="1"/>
  <c r="J21" i="89"/>
  <c r="U15" i="87"/>
  <c r="V27" i="87"/>
  <c r="T34" i="87"/>
  <c r="U30" i="87" l="1"/>
  <c r="V15" i="87"/>
  <c r="U32" i="87"/>
  <c r="V32" i="87" s="1"/>
  <c r="V17" i="87"/>
  <c r="U24" i="87"/>
  <c r="V24" i="87" s="1"/>
  <c r="V30" i="87" l="1"/>
  <c r="U34" i="87"/>
  <c r="V34" i="87" s="1"/>
  <c r="I49" i="7" l="1"/>
  <c r="H45" i="86"/>
  <c r="H44" i="86"/>
  <c r="H43" i="86"/>
  <c r="H42" i="86"/>
  <c r="H41" i="86"/>
  <c r="G46" i="86"/>
  <c r="H40" i="86"/>
  <c r="H46" i="86" s="1"/>
  <c r="H30" i="86"/>
  <c r="G26" i="86"/>
  <c r="F26" i="86"/>
  <c r="G17" i="86"/>
  <c r="F17" i="86"/>
  <c r="G16" i="86"/>
  <c r="F16" i="86"/>
  <c r="H15" i="86"/>
  <c r="H14" i="86"/>
  <c r="G10" i="86"/>
  <c r="F10" i="86"/>
  <c r="H10" i="86" s="1"/>
  <c r="G9" i="86"/>
  <c r="F9" i="86"/>
  <c r="A9" i="86"/>
  <c r="A10" i="86" s="1"/>
  <c r="A11" i="86" s="1"/>
  <c r="A12" i="86" s="1"/>
  <c r="A13" i="86" s="1"/>
  <c r="A14" i="86" s="1"/>
  <c r="A15" i="86" s="1"/>
  <c r="A16" i="86" s="1"/>
  <c r="A17" i="86" s="1"/>
  <c r="A18" i="86" s="1"/>
  <c r="A19" i="86" s="1"/>
  <c r="A20" i="86" s="1"/>
  <c r="A21" i="86" s="1"/>
  <c r="A22" i="86" s="1"/>
  <c r="A23" i="86" s="1"/>
  <c r="A24" i="86" s="1"/>
  <c r="A25" i="86" s="1"/>
  <c r="A26" i="86" s="1"/>
  <c r="A27" i="86" s="1"/>
  <c r="A28" i="86" s="1"/>
  <c r="A29" i="86" s="1"/>
  <c r="A30" i="86" s="1"/>
  <c r="A31" i="86" s="1"/>
  <c r="A32" i="86" s="1"/>
  <c r="F11" i="86" l="1"/>
  <c r="H11" i="86" s="1"/>
  <c r="H12" i="86" s="1"/>
  <c r="H19" i="86" s="1"/>
  <c r="G11" i="86"/>
  <c r="G12" i="86" s="1"/>
  <c r="G13" i="86" s="1"/>
  <c r="G19" i="86" s="1"/>
  <c r="G28" i="86" s="1"/>
  <c r="G32" i="86" s="1"/>
  <c r="F46" i="86"/>
  <c r="F12" i="86" l="1"/>
  <c r="F13" i="86" s="1"/>
  <c r="F19" i="86" s="1"/>
  <c r="F28" i="86" s="1"/>
  <c r="F32" i="86" l="1"/>
  <c r="H28" i="86"/>
  <c r="H32" i="86" s="1"/>
  <c r="C51" i="7" l="1"/>
  <c r="Q11" i="9"/>
  <c r="Q12" i="9"/>
  <c r="Q13" i="9"/>
  <c r="Q14" i="9"/>
  <c r="Q15" i="9"/>
  <c r="Q10" i="9"/>
  <c r="C52" i="9" l="1"/>
  <c r="T11" i="9"/>
  <c r="T12" i="9"/>
  <c r="T13" i="9"/>
  <c r="T14" i="9"/>
  <c r="T15" i="9"/>
  <c r="T10" i="9"/>
  <c r="S11" i="9"/>
  <c r="S12" i="9"/>
  <c r="S13" i="9"/>
  <c r="S14" i="9"/>
  <c r="S15" i="9"/>
  <c r="S10" i="9"/>
  <c r="U11" i="9"/>
  <c r="U12" i="9"/>
  <c r="U13" i="9"/>
  <c r="U14" i="9"/>
  <c r="U15" i="9"/>
  <c r="U10" i="9"/>
  <c r="K20" i="8" l="1"/>
  <c r="K19" i="8"/>
  <c r="K16" i="8"/>
  <c r="K14" i="8"/>
  <c r="K12" i="8"/>
  <c r="K9" i="8"/>
  <c r="J20" i="8"/>
  <c r="J19" i="8"/>
  <c r="J16" i="8"/>
  <c r="J14" i="8"/>
  <c r="J12" i="8"/>
  <c r="J9" i="8"/>
  <c r="I20" i="8"/>
  <c r="I19" i="8"/>
  <c r="I16" i="8"/>
  <c r="I14" i="8"/>
  <c r="I12" i="8"/>
  <c r="I9" i="8"/>
  <c r="L24" i="8"/>
  <c r="L25" i="8"/>
  <c r="F25" i="8"/>
  <c r="E25" i="8"/>
  <c r="F24" i="8"/>
  <c r="E24" i="8"/>
  <c r="F20" i="8"/>
  <c r="E20" i="8"/>
  <c r="F19" i="8"/>
  <c r="E19" i="8"/>
  <c r="F16" i="8"/>
  <c r="E16" i="8"/>
  <c r="F14" i="8"/>
  <c r="E14" i="8"/>
  <c r="F12" i="8"/>
  <c r="E12" i="8"/>
  <c r="F9" i="8"/>
  <c r="E9" i="8"/>
  <c r="P252" i="77"/>
  <c r="B213" i="77"/>
  <c r="E209" i="77"/>
  <c r="F207" i="77"/>
  <c r="F203" i="77"/>
  <c r="M200" i="77"/>
  <c r="F200" i="77"/>
  <c r="D198" i="77"/>
  <c r="G198" i="77" s="1"/>
  <c r="B193" i="77"/>
  <c r="M190" i="77"/>
  <c r="M182" i="77"/>
  <c r="F182" i="77"/>
  <c r="C181" i="77"/>
  <c r="N179" i="77"/>
  <c r="G179" i="77"/>
  <c r="D179" i="77"/>
  <c r="B170" i="77"/>
  <c r="M164" i="77"/>
  <c r="F160" i="77"/>
  <c r="B154" i="77"/>
  <c r="L152" i="77"/>
  <c r="F151" i="77"/>
  <c r="M147" i="77"/>
  <c r="F147" i="77"/>
  <c r="M145" i="77"/>
  <c r="F144" i="77"/>
  <c r="B135" i="77"/>
  <c r="M128" i="77"/>
  <c r="M125" i="77"/>
  <c r="F125" i="77"/>
  <c r="B118" i="77"/>
  <c r="L116" i="77"/>
  <c r="L109" i="77" s="1"/>
  <c r="N107" i="77"/>
  <c r="D107" i="77"/>
  <c r="Q102" i="77"/>
  <c r="Q117" i="77" s="1"/>
  <c r="B98" i="77"/>
  <c r="M91" i="77"/>
  <c r="F91" i="77"/>
  <c r="E93" i="77"/>
  <c r="E86" i="77"/>
  <c r="B81" i="77"/>
  <c r="L77" i="77"/>
  <c r="D75" i="77"/>
  <c r="F71" i="77"/>
  <c r="L70" i="77"/>
  <c r="C70" i="77"/>
  <c r="D69" i="77"/>
  <c r="G69" i="77" s="1"/>
  <c r="B60" i="77"/>
  <c r="B50" i="77"/>
  <c r="M47" i="77"/>
  <c r="M46" i="77"/>
  <c r="L47" i="77"/>
  <c r="N45" i="77"/>
  <c r="G45" i="77"/>
  <c r="D45" i="77"/>
  <c r="Q40" i="77"/>
  <c r="Q49" i="77" s="1"/>
  <c r="L39" i="77"/>
  <c r="P40" i="77" s="1"/>
  <c r="B36" i="77"/>
  <c r="B28" i="77"/>
  <c r="G24" i="77"/>
  <c r="D24" i="77"/>
  <c r="C24" i="77"/>
  <c r="B20" i="77"/>
  <c r="D16" i="77"/>
  <c r="D149" i="76"/>
  <c r="D148" i="76"/>
  <c r="D141" i="76"/>
  <c r="C208" i="77"/>
  <c r="F208" i="77" s="1"/>
  <c r="F132" i="76"/>
  <c r="C207" i="77"/>
  <c r="M207" i="77" s="1"/>
  <c r="D151" i="76"/>
  <c r="F131" i="76"/>
  <c r="C206" i="77"/>
  <c r="F206" i="77" s="1"/>
  <c r="C205" i="77"/>
  <c r="M205" i="77" s="1"/>
  <c r="C204" i="77"/>
  <c r="F204" i="77" s="1"/>
  <c r="F129" i="76"/>
  <c r="F128" i="76"/>
  <c r="F147" i="76" s="1"/>
  <c r="C203" i="77"/>
  <c r="M203" i="77" s="1"/>
  <c r="D147" i="76"/>
  <c r="L125" i="76"/>
  <c r="I125" i="76"/>
  <c r="I144" i="76" s="1"/>
  <c r="C199" i="77"/>
  <c r="F199" i="77" s="1"/>
  <c r="I123" i="76"/>
  <c r="F123" i="76"/>
  <c r="C198" i="77"/>
  <c r="F198" i="77" s="1"/>
  <c r="H115" i="76"/>
  <c r="F115" i="76"/>
  <c r="C190" i="77"/>
  <c r="C187" i="77"/>
  <c r="F111" i="76"/>
  <c r="F148" i="76" s="1"/>
  <c r="C186" i="77"/>
  <c r="M186" i="77" s="1"/>
  <c r="O110" i="76"/>
  <c r="F110" i="76"/>
  <c r="C185" i="77"/>
  <c r="F185" i="77" s="1"/>
  <c r="I107" i="76"/>
  <c r="K107" i="76" s="1"/>
  <c r="L107" i="76" s="1"/>
  <c r="H106" i="76"/>
  <c r="D181" i="77" s="1"/>
  <c r="H105" i="76"/>
  <c r="C180" i="77"/>
  <c r="F105" i="76"/>
  <c r="I104" i="76"/>
  <c r="F104" i="76"/>
  <c r="C179" i="77"/>
  <c r="M179" i="77" s="1"/>
  <c r="D88" i="76"/>
  <c r="C165" i="77"/>
  <c r="F165" i="77" s="1"/>
  <c r="C164" i="77"/>
  <c r="I76" i="76"/>
  <c r="K76" i="76" s="1"/>
  <c r="L76" i="76" s="1"/>
  <c r="H75" i="76"/>
  <c r="D160" i="77" s="1"/>
  <c r="F75" i="76"/>
  <c r="C160" i="77"/>
  <c r="D67" i="76"/>
  <c r="F66" i="76"/>
  <c r="C151" i="77"/>
  <c r="M151" i="77" s="1"/>
  <c r="F65" i="76"/>
  <c r="C150" i="77"/>
  <c r="M150" i="77" s="1"/>
  <c r="H61" i="76"/>
  <c r="D146" i="77" s="1"/>
  <c r="C146" i="77"/>
  <c r="D61" i="76"/>
  <c r="H60" i="76"/>
  <c r="D145" i="77" s="1"/>
  <c r="N145" i="77" s="1"/>
  <c r="F60" i="76"/>
  <c r="F89" i="76" s="1"/>
  <c r="C145" i="77"/>
  <c r="D89" i="76"/>
  <c r="H59" i="76"/>
  <c r="D144" i="77" s="1"/>
  <c r="N144" i="77" s="1"/>
  <c r="F59" i="76"/>
  <c r="C144" i="77"/>
  <c r="M144" i="77" s="1"/>
  <c r="D51" i="76"/>
  <c r="D44" i="76"/>
  <c r="F35" i="76"/>
  <c r="C130" i="77"/>
  <c r="C129" i="77"/>
  <c r="C128" i="77"/>
  <c r="I30" i="76"/>
  <c r="K30" i="76" s="1"/>
  <c r="L30" i="76" s="1"/>
  <c r="F29" i="76"/>
  <c r="C124" i="77"/>
  <c r="F28" i="76"/>
  <c r="H28" i="76"/>
  <c r="D123" i="77" s="1"/>
  <c r="D43" i="76"/>
  <c r="F19" i="76"/>
  <c r="C113" i="77"/>
  <c r="M113" i="77" s="1"/>
  <c r="H13" i="76"/>
  <c r="D108" i="77" s="1"/>
  <c r="N108" i="77" s="1"/>
  <c r="C108" i="77"/>
  <c r="M108" i="77" s="1"/>
  <c r="F13" i="76"/>
  <c r="F44" i="76" s="1"/>
  <c r="I12" i="76"/>
  <c r="K12" i="76" s="1"/>
  <c r="L12" i="76" s="1"/>
  <c r="F12" i="76"/>
  <c r="C107" i="77"/>
  <c r="M107" i="77" s="1"/>
  <c r="D79" i="75"/>
  <c r="D74" i="75"/>
  <c r="D75" i="75" s="1"/>
  <c r="C92" i="77"/>
  <c r="F92" i="77" s="1"/>
  <c r="H64" i="75"/>
  <c r="F64" i="75"/>
  <c r="C91" i="77"/>
  <c r="H63" i="75"/>
  <c r="D90" i="77" s="1"/>
  <c r="C90" i="77"/>
  <c r="C87" i="77"/>
  <c r="F87" i="77" s="1"/>
  <c r="C86" i="77"/>
  <c r="D59" i="75"/>
  <c r="F59" i="75" s="1"/>
  <c r="H58" i="75"/>
  <c r="D85" i="77" s="1"/>
  <c r="F58" i="75"/>
  <c r="C85" i="77"/>
  <c r="F85" i="77" s="1"/>
  <c r="D78" i="77"/>
  <c r="C78" i="77"/>
  <c r="F48" i="75"/>
  <c r="C75" i="77"/>
  <c r="F47" i="75"/>
  <c r="H46" i="75"/>
  <c r="D74" i="77" s="1"/>
  <c r="C74" i="77"/>
  <c r="H43" i="75"/>
  <c r="C71" i="77"/>
  <c r="F43" i="75"/>
  <c r="H42" i="75"/>
  <c r="D70" i="77" s="1"/>
  <c r="F42" i="75"/>
  <c r="D42" i="75"/>
  <c r="I41" i="75"/>
  <c r="C69" i="77"/>
  <c r="D31" i="75"/>
  <c r="C55" i="77"/>
  <c r="F23" i="75"/>
  <c r="F24" i="75" s="1"/>
  <c r="F26" i="75" s="1"/>
  <c r="H22" i="75"/>
  <c r="D54" i="77" s="1"/>
  <c r="F22" i="75"/>
  <c r="C54" i="77"/>
  <c r="I14" i="75"/>
  <c r="I33" i="75" s="1"/>
  <c r="D47" i="77"/>
  <c r="N47" i="77" s="1"/>
  <c r="C47" i="77"/>
  <c r="D14" i="75"/>
  <c r="F13" i="75"/>
  <c r="C46" i="77"/>
  <c r="I12" i="75"/>
  <c r="F12" i="75"/>
  <c r="F31" i="75" s="1"/>
  <c r="C45" i="77"/>
  <c r="M45" i="77" s="1"/>
  <c r="C25" i="77"/>
  <c r="F21" i="74"/>
  <c r="H20" i="74"/>
  <c r="F20" i="74"/>
  <c r="F22" i="74" s="1"/>
  <c r="F24" i="74" s="1"/>
  <c r="C17" i="77"/>
  <c r="D37" i="74"/>
  <c r="I12" i="74"/>
  <c r="F12" i="74"/>
  <c r="C16" i="77"/>
  <c r="B5" i="77"/>
  <c r="F50" i="76" l="1"/>
  <c r="F34" i="75"/>
  <c r="F36" i="75" s="1"/>
  <c r="D71" i="77"/>
  <c r="G71" i="77" s="1"/>
  <c r="H60" i="75"/>
  <c r="I43" i="75"/>
  <c r="K43" i="75" s="1"/>
  <c r="L43" i="75" s="1"/>
  <c r="K33" i="75"/>
  <c r="L33" i="75" s="1"/>
  <c r="C32" i="77"/>
  <c r="F32" i="77" s="1"/>
  <c r="F34" i="77" s="1"/>
  <c r="H28" i="74"/>
  <c r="I48" i="75"/>
  <c r="K48" i="75" s="1"/>
  <c r="L48" i="75" s="1"/>
  <c r="D80" i="75"/>
  <c r="F36" i="76"/>
  <c r="F38" i="76" s="1"/>
  <c r="D90" i="76"/>
  <c r="F61" i="76"/>
  <c r="F90" i="76" s="1"/>
  <c r="L78" i="77"/>
  <c r="M187" i="77"/>
  <c r="H59" i="75"/>
  <c r="I59" i="76"/>
  <c r="F91" i="76"/>
  <c r="I62" i="76"/>
  <c r="I75" i="76"/>
  <c r="K75" i="76" s="1"/>
  <c r="L75" i="76" s="1"/>
  <c r="F113" i="76"/>
  <c r="K168" i="76"/>
  <c r="L168" i="76" s="1"/>
  <c r="Q219" i="77"/>
  <c r="Q226" i="77" s="1"/>
  <c r="G16" i="77"/>
  <c r="F16" i="77"/>
  <c r="F25" i="77"/>
  <c r="E47" i="77"/>
  <c r="F46" i="77"/>
  <c r="E77" i="77"/>
  <c r="M92" i="77"/>
  <c r="M130" i="77"/>
  <c r="K12" i="74"/>
  <c r="I20" i="74"/>
  <c r="F32" i="75"/>
  <c r="F15" i="75"/>
  <c r="F41" i="75"/>
  <c r="K41" i="75" s="1"/>
  <c r="I42" i="75"/>
  <c r="K42" i="75" s="1"/>
  <c r="L42" i="75" s="1"/>
  <c r="I47" i="75"/>
  <c r="K47" i="75" s="1"/>
  <c r="L47" i="75" s="1"/>
  <c r="I58" i="75"/>
  <c r="F110" i="77"/>
  <c r="M110" i="77" s="1"/>
  <c r="F46" i="76"/>
  <c r="C114" i="77"/>
  <c r="H19" i="76"/>
  <c r="C115" i="77"/>
  <c r="H20" i="76"/>
  <c r="H29" i="76"/>
  <c r="D124" i="77" s="1"/>
  <c r="G124" i="77" s="1"/>
  <c r="F33" i="76"/>
  <c r="D49" i="76"/>
  <c r="D36" i="76"/>
  <c r="D50" i="76"/>
  <c r="F34" i="76"/>
  <c r="F74" i="76"/>
  <c r="C188" i="77"/>
  <c r="M188" i="77" s="1"/>
  <c r="I115" i="76"/>
  <c r="K115" i="76" s="1"/>
  <c r="L115" i="76" s="1"/>
  <c r="F209" i="77"/>
  <c r="F211" i="77" s="1"/>
  <c r="J219" i="77"/>
  <c r="N16" i="77"/>
  <c r="M16" i="77"/>
  <c r="M18" i="77" s="1"/>
  <c r="F45" i="77"/>
  <c r="F55" i="77"/>
  <c r="G107" i="77"/>
  <c r="F107" i="77"/>
  <c r="M198" i="77"/>
  <c r="N198" i="77"/>
  <c r="F205" i="77"/>
  <c r="F13" i="74"/>
  <c r="F14" i="74" s="1"/>
  <c r="K14" i="75"/>
  <c r="L14" i="75" s="1"/>
  <c r="F80" i="75"/>
  <c r="N160" i="77"/>
  <c r="G160" i="77"/>
  <c r="C189" i="77"/>
  <c r="F189" i="77" s="1"/>
  <c r="F114" i="76"/>
  <c r="F151" i="76" s="1"/>
  <c r="F133" i="76"/>
  <c r="F152" i="76" s="1"/>
  <c r="D152" i="76"/>
  <c r="M17" i="77"/>
  <c r="L10" i="77"/>
  <c r="N24" i="77"/>
  <c r="M24" i="77"/>
  <c r="M26" i="77" s="1"/>
  <c r="L86" i="77"/>
  <c r="N85" i="77"/>
  <c r="M85" i="77"/>
  <c r="K12" i="75"/>
  <c r="F14" i="75"/>
  <c r="F33" i="75" s="1"/>
  <c r="D33" i="75"/>
  <c r="D49" i="75"/>
  <c r="D50" i="75" s="1"/>
  <c r="C76" i="77"/>
  <c r="M76" i="77" s="1"/>
  <c r="H48" i="75"/>
  <c r="D91" i="77"/>
  <c r="N91" i="77" s="1"/>
  <c r="I64" i="75"/>
  <c r="I13" i="76"/>
  <c r="F18" i="76"/>
  <c r="F49" i="76" s="1"/>
  <c r="D21" i="76"/>
  <c r="D14" i="76" s="1"/>
  <c r="F14" i="76" s="1"/>
  <c r="I20" i="76"/>
  <c r="F80" i="76"/>
  <c r="F95" i="76" s="1"/>
  <c r="D190" i="77"/>
  <c r="G190" i="77" s="1"/>
  <c r="H133" i="76"/>
  <c r="D208" i="77" s="1"/>
  <c r="G208" i="77" s="1"/>
  <c r="P59" i="77"/>
  <c r="P49" i="77"/>
  <c r="F28" i="74"/>
  <c r="F32" i="74" s="1"/>
  <c r="M48" i="77"/>
  <c r="I22" i="75"/>
  <c r="I31" i="75" s="1"/>
  <c r="D32" i="75"/>
  <c r="D93" i="75" s="1"/>
  <c r="F75" i="75"/>
  <c r="D76" i="75"/>
  <c r="F60" i="75"/>
  <c r="F76" i="75" s="1"/>
  <c r="F65" i="75"/>
  <c r="F81" i="75" s="1"/>
  <c r="D81" i="75"/>
  <c r="D82" i="75" s="1"/>
  <c r="D66" i="75"/>
  <c r="D94" i="75" s="1"/>
  <c r="C109" i="77"/>
  <c r="M109" i="77" s="1"/>
  <c r="H14" i="76"/>
  <c r="D109" i="77" s="1"/>
  <c r="N109" i="77" s="1"/>
  <c r="I15" i="76"/>
  <c r="I19" i="76"/>
  <c r="F20" i="76"/>
  <c r="F51" i="76" s="1"/>
  <c r="N123" i="77"/>
  <c r="G123" i="77"/>
  <c r="F43" i="76"/>
  <c r="F67" i="76"/>
  <c r="I61" i="76"/>
  <c r="H74" i="76"/>
  <c r="D159" i="77" s="1"/>
  <c r="C159" i="77"/>
  <c r="F159" i="77" s="1"/>
  <c r="D81" i="76"/>
  <c r="F79" i="76"/>
  <c r="F94" i="76" s="1"/>
  <c r="D95" i="76"/>
  <c r="I105" i="76"/>
  <c r="K105" i="76" s="1"/>
  <c r="L105" i="76" s="1"/>
  <c r="F112" i="76"/>
  <c r="D116" i="76"/>
  <c r="D106" i="76" s="1"/>
  <c r="F141" i="76"/>
  <c r="F150" i="76"/>
  <c r="D134" i="76"/>
  <c r="F17" i="77"/>
  <c r="E10" i="77"/>
  <c r="J11" i="77" s="1"/>
  <c r="O225" i="77"/>
  <c r="H225" i="77"/>
  <c r="O224" i="77"/>
  <c r="H224" i="77"/>
  <c r="O223" i="77"/>
  <c r="H223" i="77"/>
  <c r="O222" i="77"/>
  <c r="H222" i="77"/>
  <c r="O221" i="77"/>
  <c r="H221" i="77"/>
  <c r="O220" i="77"/>
  <c r="H220" i="77"/>
  <c r="Q225" i="77"/>
  <c r="J225" i="77"/>
  <c r="Q224" i="77"/>
  <c r="J224" i="77"/>
  <c r="Q223" i="77"/>
  <c r="J223" i="77"/>
  <c r="Q222" i="77"/>
  <c r="J222" i="77"/>
  <c r="Q221" i="77"/>
  <c r="J221" i="77"/>
  <c r="Q220" i="77"/>
  <c r="J220" i="77"/>
  <c r="P225" i="77"/>
  <c r="I225" i="77"/>
  <c r="P224" i="77"/>
  <c r="I224" i="77"/>
  <c r="P223" i="77"/>
  <c r="I223" i="77"/>
  <c r="P222" i="77"/>
  <c r="I222" i="77"/>
  <c r="P221" i="77"/>
  <c r="I221" i="77"/>
  <c r="P220" i="77"/>
  <c r="I220" i="77"/>
  <c r="E225" i="77"/>
  <c r="L220" i="77"/>
  <c r="L225" i="77"/>
  <c r="G54" i="77"/>
  <c r="F54" i="77"/>
  <c r="F69" i="77"/>
  <c r="C123" i="77"/>
  <c r="F123" i="77" s="1"/>
  <c r="I60" i="76"/>
  <c r="D94" i="76"/>
  <c r="D96" i="76" s="1"/>
  <c r="D162" i="76" s="1"/>
  <c r="F180" i="77"/>
  <c r="M180" i="77"/>
  <c r="I141" i="76"/>
  <c r="K123" i="76"/>
  <c r="M25" i="77"/>
  <c r="O40" i="77"/>
  <c r="N54" i="77"/>
  <c r="Q64" i="77"/>
  <c r="Q80" i="77" s="1"/>
  <c r="N70" i="77"/>
  <c r="N75" i="77"/>
  <c r="F86" i="77"/>
  <c r="F94" i="77" s="1"/>
  <c r="F96" i="77" s="1"/>
  <c r="L93" i="77"/>
  <c r="L63" i="77" s="1"/>
  <c r="I28" i="76"/>
  <c r="K104" i="76"/>
  <c r="L104" i="76" s="1"/>
  <c r="D180" i="77"/>
  <c r="H124" i="76"/>
  <c r="D142" i="76"/>
  <c r="F124" i="76"/>
  <c r="F142" i="76" s="1"/>
  <c r="F144" i="76"/>
  <c r="K144" i="76" s="1"/>
  <c r="L144" i="76" s="1"/>
  <c r="F130" i="76"/>
  <c r="F24" i="77"/>
  <c r="F26" i="77" s="1"/>
  <c r="M32" i="77"/>
  <c r="M34" i="77" s="1"/>
  <c r="M54" i="77"/>
  <c r="M55" i="77"/>
  <c r="N69" i="77"/>
  <c r="M69" i="77"/>
  <c r="M70" i="77"/>
  <c r="M75" i="77"/>
  <c r="M87" i="77"/>
  <c r="J139" i="77"/>
  <c r="J153" i="77" s="1"/>
  <c r="L146" i="77"/>
  <c r="Q139" i="77"/>
  <c r="Q153" i="77" s="1"/>
  <c r="D150" i="76"/>
  <c r="D153" i="76" s="1"/>
  <c r="D163" i="76" s="1"/>
  <c r="H219" i="77"/>
  <c r="O219" i="77"/>
  <c r="E70" i="77"/>
  <c r="F75" i="77"/>
  <c r="G108" i="77"/>
  <c r="E116" i="77"/>
  <c r="N124" i="77"/>
  <c r="M124" i="77"/>
  <c r="M159" i="77"/>
  <c r="F179" i="77"/>
  <c r="I219" i="77"/>
  <c r="P219" i="77"/>
  <c r="P226" i="77" s="1"/>
  <c r="M71" i="77"/>
  <c r="G75" i="77"/>
  <c r="G85" i="77"/>
  <c r="F108" i="77"/>
  <c r="F113" i="77"/>
  <c r="L131" i="77"/>
  <c r="L101" i="77" s="1"/>
  <c r="L222" i="77" s="1"/>
  <c r="M129" i="77"/>
  <c r="G144" i="77"/>
  <c r="G145" i="77"/>
  <c r="F145" i="77"/>
  <c r="L166" i="77"/>
  <c r="M165" i="77"/>
  <c r="M185" i="77"/>
  <c r="L191" i="77"/>
  <c r="F190" i="77"/>
  <c r="M204" i="77"/>
  <c r="M206" i="77"/>
  <c r="M208" i="77"/>
  <c r="I252" i="77"/>
  <c r="E152" i="77"/>
  <c r="E146" i="77" s="1"/>
  <c r="M160" i="77"/>
  <c r="E191" i="77"/>
  <c r="F124" i="77"/>
  <c r="E131" i="77"/>
  <c r="F128" i="77"/>
  <c r="F129" i="77"/>
  <c r="F130" i="77"/>
  <c r="F150" i="77"/>
  <c r="E166" i="77"/>
  <c r="F164" i="77"/>
  <c r="F187" i="77"/>
  <c r="M199" i="77"/>
  <c r="F186" i="77"/>
  <c r="L209" i="77"/>
  <c r="L41" i="75" l="1"/>
  <c r="O64" i="77"/>
  <c r="P64" i="77"/>
  <c r="L221" i="77"/>
  <c r="F45" i="76"/>
  <c r="F21" i="76"/>
  <c r="J27" i="77"/>
  <c r="J35" i="77"/>
  <c r="J19" i="77"/>
  <c r="K31" i="75"/>
  <c r="F70" i="77"/>
  <c r="G70" i="77"/>
  <c r="N180" i="77"/>
  <c r="G180" i="77"/>
  <c r="K28" i="76"/>
  <c r="F131" i="77"/>
  <c r="F133" i="77" s="1"/>
  <c r="I90" i="76"/>
  <c r="K90" i="76" s="1"/>
  <c r="L90" i="76" s="1"/>
  <c r="K61" i="76"/>
  <c r="L61" i="76" s="1"/>
  <c r="F188" i="77"/>
  <c r="O226" i="77"/>
  <c r="O59" i="77"/>
  <c r="O49" i="77"/>
  <c r="L123" i="76"/>
  <c r="I89" i="76"/>
  <c r="K89" i="76" s="1"/>
  <c r="L89" i="76" s="1"/>
  <c r="K60" i="76"/>
  <c r="L60" i="76" s="1"/>
  <c r="M86" i="77"/>
  <c r="N86" i="77"/>
  <c r="F67" i="75"/>
  <c r="F69" i="75" s="1"/>
  <c r="M209" i="77"/>
  <c r="M211" i="77" s="1"/>
  <c r="I74" i="75"/>
  <c r="K58" i="75"/>
  <c r="F93" i="75"/>
  <c r="F17" i="75"/>
  <c r="L12" i="74"/>
  <c r="P102" i="77"/>
  <c r="E78" i="77"/>
  <c r="E63" i="77"/>
  <c r="G47" i="77"/>
  <c r="J40" i="77"/>
  <c r="J49" i="77" s="1"/>
  <c r="F47" i="77"/>
  <c r="E39" i="77"/>
  <c r="F18" i="77"/>
  <c r="F12" i="77" s="1"/>
  <c r="K62" i="76"/>
  <c r="L62" i="76" s="1"/>
  <c r="I91" i="76"/>
  <c r="K91" i="76" s="1"/>
  <c r="L91" i="76" s="1"/>
  <c r="N78" i="77"/>
  <c r="M78" i="77"/>
  <c r="D32" i="77"/>
  <c r="I28" i="74"/>
  <c r="I133" i="76"/>
  <c r="M189" i="77"/>
  <c r="N190" i="77"/>
  <c r="E181" i="77"/>
  <c r="E173" i="77"/>
  <c r="E224" i="77" s="1"/>
  <c r="E109" i="77"/>
  <c r="J102" i="77"/>
  <c r="J117" i="77" s="1"/>
  <c r="H226" i="77"/>
  <c r="G91" i="77"/>
  <c r="M56" i="77"/>
  <c r="M58" i="77" s="1"/>
  <c r="F149" i="76"/>
  <c r="F56" i="77"/>
  <c r="F58" i="77" s="1"/>
  <c r="F106" i="76"/>
  <c r="I106" i="76"/>
  <c r="F166" i="77"/>
  <c r="F168" i="77" s="1"/>
  <c r="F52" i="76"/>
  <c r="F54" i="76" s="1"/>
  <c r="M41" i="77"/>
  <c r="D76" i="77"/>
  <c r="H65" i="75"/>
  <c r="O102" i="77"/>
  <c r="J64" i="77"/>
  <c r="J80" i="77" s="1"/>
  <c r="O11" i="77"/>
  <c r="L219" i="77"/>
  <c r="P11" i="77"/>
  <c r="D167" i="76"/>
  <c r="D169" i="76" s="1"/>
  <c r="F81" i="76"/>
  <c r="F83" i="76" s="1"/>
  <c r="F88" i="76"/>
  <c r="F96" i="76" s="1"/>
  <c r="F98" i="76" s="1"/>
  <c r="D52" i="76"/>
  <c r="D161" i="76" s="1"/>
  <c r="D164" i="76" s="1"/>
  <c r="D115" i="77"/>
  <c r="H35" i="76"/>
  <c r="F76" i="77"/>
  <c r="E219" i="77"/>
  <c r="H11" i="77"/>
  <c r="K19" i="76"/>
  <c r="L19" i="76" s="1"/>
  <c r="K20" i="76"/>
  <c r="L20" i="76" s="1"/>
  <c r="I80" i="75"/>
  <c r="K64" i="75"/>
  <c r="I50" i="75"/>
  <c r="F50" i="75"/>
  <c r="F83" i="75" s="1"/>
  <c r="D83" i="75"/>
  <c r="I43" i="76"/>
  <c r="M12" i="77"/>
  <c r="D114" i="77"/>
  <c r="H34" i="76"/>
  <c r="F51" i="75"/>
  <c r="K20" i="74"/>
  <c r="M123" i="77"/>
  <c r="M131" i="77" s="1"/>
  <c r="M133" i="77" s="1"/>
  <c r="I59" i="75"/>
  <c r="D86" i="77"/>
  <c r="G86" i="77" s="1"/>
  <c r="G146" i="77"/>
  <c r="F146" i="77"/>
  <c r="F152" i="77" s="1"/>
  <c r="F140" i="77" s="1"/>
  <c r="E138" i="77"/>
  <c r="N208" i="77"/>
  <c r="L181" i="77"/>
  <c r="L173" i="77"/>
  <c r="L224" i="77" s="1"/>
  <c r="I226" i="77"/>
  <c r="M166" i="77"/>
  <c r="M168" i="77" s="1"/>
  <c r="F162" i="76"/>
  <c r="F69" i="76"/>
  <c r="I46" i="76"/>
  <c r="K46" i="76" s="1"/>
  <c r="L46" i="76" s="1"/>
  <c r="K15" i="76"/>
  <c r="L15" i="76" s="1"/>
  <c r="K22" i="75"/>
  <c r="D45" i="76"/>
  <c r="I14" i="76"/>
  <c r="F37" i="74"/>
  <c r="F39" i="74" s="1"/>
  <c r="F16" i="74"/>
  <c r="M114" i="77"/>
  <c r="M116" i="77" s="1"/>
  <c r="M103" i="77" s="1"/>
  <c r="F114" i="77"/>
  <c r="N71" i="77"/>
  <c r="L138" i="77"/>
  <c r="M146" i="77"/>
  <c r="M152" i="77" s="1"/>
  <c r="N146" i="77"/>
  <c r="M79" i="77"/>
  <c r="M65" i="77" s="1"/>
  <c r="D199" i="77"/>
  <c r="I124" i="76"/>
  <c r="K141" i="76"/>
  <c r="F134" i="76"/>
  <c r="F136" i="76" s="1"/>
  <c r="G159" i="77"/>
  <c r="N159" i="77"/>
  <c r="I29" i="76"/>
  <c r="K29" i="76" s="1"/>
  <c r="L29" i="76" s="1"/>
  <c r="D95" i="75"/>
  <c r="I11" i="77"/>
  <c r="I44" i="76"/>
  <c r="K44" i="76" s="1"/>
  <c r="L44" i="76" s="1"/>
  <c r="K13" i="76"/>
  <c r="L12" i="75"/>
  <c r="M94" i="77"/>
  <c r="M96" i="77" s="1"/>
  <c r="F48" i="77"/>
  <c r="F41" i="77" s="1"/>
  <c r="J226" i="77"/>
  <c r="I74" i="76"/>
  <c r="M115" i="77"/>
  <c r="F115" i="77"/>
  <c r="Q11" i="77"/>
  <c r="I88" i="76"/>
  <c r="K59" i="76"/>
  <c r="F74" i="75"/>
  <c r="F84" i="75" s="1"/>
  <c r="F86" i="75" s="1"/>
  <c r="D87" i="77"/>
  <c r="I60" i="75"/>
  <c r="H13" i="75"/>
  <c r="Q35" i="77" l="1"/>
  <c r="Q19" i="77"/>
  <c r="Q27" i="77"/>
  <c r="D129" i="77"/>
  <c r="I34" i="76"/>
  <c r="D46" i="77"/>
  <c r="H23" i="75"/>
  <c r="I13" i="75"/>
  <c r="L59" i="76"/>
  <c r="M181" i="77"/>
  <c r="M191" i="77" s="1"/>
  <c r="M175" i="77" s="1"/>
  <c r="N181" i="77"/>
  <c r="N114" i="77"/>
  <c r="G114" i="77"/>
  <c r="K43" i="76"/>
  <c r="I83" i="75"/>
  <c r="K83" i="75" s="1"/>
  <c r="L83" i="75" s="1"/>
  <c r="K50" i="75"/>
  <c r="N115" i="77"/>
  <c r="G115" i="77"/>
  <c r="I143" i="76"/>
  <c r="K143" i="76" s="1"/>
  <c r="L143" i="76" s="1"/>
  <c r="K106" i="76"/>
  <c r="L106" i="76" s="1"/>
  <c r="K28" i="74"/>
  <c r="I32" i="74"/>
  <c r="H13" i="74" s="1"/>
  <c r="G78" i="77"/>
  <c r="F78" i="77"/>
  <c r="F79" i="77" s="1"/>
  <c r="F65" i="77" s="1"/>
  <c r="F232" i="77" s="1"/>
  <c r="F234" i="77" s="1"/>
  <c r="L28" i="76"/>
  <c r="F161" i="76"/>
  <c r="F23" i="76"/>
  <c r="O97" i="77"/>
  <c r="O80" i="77"/>
  <c r="I76" i="75"/>
  <c r="K60" i="75"/>
  <c r="L13" i="76"/>
  <c r="K124" i="76"/>
  <c r="I142" i="76"/>
  <c r="M140" i="77"/>
  <c r="L22" i="75"/>
  <c r="L20" i="74"/>
  <c r="K80" i="75"/>
  <c r="L80" i="75" s="1"/>
  <c r="L64" i="75"/>
  <c r="P35" i="77"/>
  <c r="P19" i="77"/>
  <c r="P27" i="77"/>
  <c r="O134" i="77"/>
  <c r="O117" i="77"/>
  <c r="I51" i="75"/>
  <c r="F143" i="76"/>
  <c r="F153" i="76" s="1"/>
  <c r="F155" i="76" s="1"/>
  <c r="F167" i="76" s="1"/>
  <c r="F169" i="76" s="1"/>
  <c r="F174" i="76" s="1"/>
  <c r="F116" i="76"/>
  <c r="G109" i="77"/>
  <c r="E101" i="77"/>
  <c r="F109" i="77"/>
  <c r="F116" i="77" s="1"/>
  <c r="F103" i="77" s="1"/>
  <c r="G32" i="77"/>
  <c r="G34" i="77" s="1"/>
  <c r="N32" i="77"/>
  <c r="N34" i="77" s="1"/>
  <c r="P36" i="77" s="1"/>
  <c r="P241" i="77" s="1"/>
  <c r="P134" i="77"/>
  <c r="P117" i="77"/>
  <c r="F95" i="75"/>
  <c r="F97" i="75" s="1"/>
  <c r="I27" i="77"/>
  <c r="I35" i="77"/>
  <c r="I19" i="77"/>
  <c r="L141" i="76"/>
  <c r="N87" i="77"/>
  <c r="G87" i="77"/>
  <c r="K88" i="76"/>
  <c r="O65" i="76"/>
  <c r="K74" i="76"/>
  <c r="G199" i="77"/>
  <c r="N199" i="77"/>
  <c r="P139" i="77"/>
  <c r="L223" i="77"/>
  <c r="O139" i="77"/>
  <c r="I45" i="76"/>
  <c r="K45" i="76" s="1"/>
  <c r="L45" i="76" s="1"/>
  <c r="K14" i="76"/>
  <c r="L14" i="76" s="1"/>
  <c r="I139" i="77"/>
  <c r="H139" i="77"/>
  <c r="E223" i="77"/>
  <c r="K59" i="75"/>
  <c r="I75" i="75"/>
  <c r="F94" i="75"/>
  <c r="F53" i="75"/>
  <c r="H35" i="77"/>
  <c r="H19" i="77"/>
  <c r="H27" i="77"/>
  <c r="L226" i="77"/>
  <c r="L229" i="77" s="1"/>
  <c r="D92" i="77"/>
  <c r="I65" i="75"/>
  <c r="I67" i="75" s="1"/>
  <c r="I69" i="75" s="1"/>
  <c r="L31" i="75"/>
  <c r="D130" i="77"/>
  <c r="I35" i="76"/>
  <c r="O27" i="77"/>
  <c r="O35" i="77"/>
  <c r="O19" i="77"/>
  <c r="N76" i="77"/>
  <c r="N79" i="77" s="1"/>
  <c r="G76" i="77"/>
  <c r="G79" i="77" s="1"/>
  <c r="G181" i="77"/>
  <c r="F181" i="77"/>
  <c r="F191" i="77" s="1"/>
  <c r="F175" i="77" s="1"/>
  <c r="I152" i="76"/>
  <c r="K152" i="76" s="1"/>
  <c r="L152" i="76" s="1"/>
  <c r="K133" i="76"/>
  <c r="L133" i="76" s="1"/>
  <c r="I40" i="77"/>
  <c r="H40" i="77"/>
  <c r="E220" i="77"/>
  <c r="H64" i="77"/>
  <c r="I64" i="77"/>
  <c r="E221" i="77"/>
  <c r="L58" i="75"/>
  <c r="K74" i="75"/>
  <c r="P80" i="77"/>
  <c r="P97" i="77"/>
  <c r="I84" i="75" l="1"/>
  <c r="I86" i="75" s="1"/>
  <c r="O43" i="75" s="1"/>
  <c r="P81" i="77"/>
  <c r="P244" i="77" s="1"/>
  <c r="H59" i="77"/>
  <c r="H49" i="77"/>
  <c r="O169" i="77"/>
  <c r="O153" i="77"/>
  <c r="H65" i="76"/>
  <c r="H66" i="76"/>
  <c r="I36" i="77"/>
  <c r="I241" i="77" s="1"/>
  <c r="L43" i="76"/>
  <c r="K34" i="76"/>
  <c r="L34" i="76" s="1"/>
  <c r="I50" i="76"/>
  <c r="K50" i="76" s="1"/>
  <c r="L50" i="76" s="1"/>
  <c r="L74" i="75"/>
  <c r="I80" i="77"/>
  <c r="I97" i="77"/>
  <c r="I49" i="77"/>
  <c r="I59" i="77"/>
  <c r="N130" i="77"/>
  <c r="G130" i="77"/>
  <c r="H18" i="76"/>
  <c r="L88" i="76"/>
  <c r="D17" i="77"/>
  <c r="H21" i="74"/>
  <c r="I21" i="74" s="1"/>
  <c r="I13" i="74"/>
  <c r="I32" i="75"/>
  <c r="K13" i="75"/>
  <c r="I15" i="75"/>
  <c r="G129" i="77"/>
  <c r="N129" i="77"/>
  <c r="H80" i="77"/>
  <c r="I81" i="77" s="1"/>
  <c r="I244" i="77" s="1"/>
  <c r="H97" i="77"/>
  <c r="H169" i="77"/>
  <c r="H153" i="77"/>
  <c r="P169" i="77"/>
  <c r="P153" i="77"/>
  <c r="I102" i="77"/>
  <c r="H102" i="77"/>
  <c r="E222" i="77"/>
  <c r="E226" i="77" s="1"/>
  <c r="E229" i="77" s="1"/>
  <c r="I53" i="75"/>
  <c r="I94" i="75"/>
  <c r="K94" i="75" s="1"/>
  <c r="L94" i="75" s="1"/>
  <c r="K142" i="76"/>
  <c r="O109" i="76"/>
  <c r="K76" i="75"/>
  <c r="L76" i="75" s="1"/>
  <c r="L60" i="75"/>
  <c r="K32" i="74"/>
  <c r="L32" i="74" s="1"/>
  <c r="L28" i="74"/>
  <c r="L50" i="75"/>
  <c r="K51" i="75"/>
  <c r="D55" i="77"/>
  <c r="I23" i="75"/>
  <c r="K35" i="76"/>
  <c r="L35" i="76" s="1"/>
  <c r="I51" i="76"/>
  <c r="K51" i="76" s="1"/>
  <c r="L51" i="76" s="1"/>
  <c r="N92" i="77"/>
  <c r="N94" i="77" s="1"/>
  <c r="N96" i="77" s="1"/>
  <c r="G92" i="77"/>
  <c r="L59" i="75"/>
  <c r="K75" i="75"/>
  <c r="L75" i="75" s="1"/>
  <c r="F118" i="76"/>
  <c r="F163" i="76"/>
  <c r="K65" i="75"/>
  <c r="I81" i="75"/>
  <c r="I153" i="77"/>
  <c r="I169" i="77"/>
  <c r="L74" i="76"/>
  <c r="G94" i="77"/>
  <c r="G96" i="77" s="1"/>
  <c r="I98" i="77" s="1"/>
  <c r="I245" i="77" s="1"/>
  <c r="L124" i="76"/>
  <c r="F164" i="76"/>
  <c r="F173" i="76" s="1"/>
  <c r="N46" i="77"/>
  <c r="N48" i="77" s="1"/>
  <c r="G46" i="77"/>
  <c r="G48" i="77" s="1"/>
  <c r="M232" i="77"/>
  <c r="M234" i="77" s="1"/>
  <c r="P98" i="77" l="1"/>
  <c r="P245" i="77" s="1"/>
  <c r="N65" i="77"/>
  <c r="P50" i="77"/>
  <c r="P242" i="77" s="1"/>
  <c r="N41" i="77"/>
  <c r="L65" i="75"/>
  <c r="K81" i="75"/>
  <c r="N55" i="77"/>
  <c r="N56" i="77" s="1"/>
  <c r="N58" i="77" s="1"/>
  <c r="P60" i="77" s="1"/>
  <c r="P243" i="77" s="1"/>
  <c r="G55" i="77"/>
  <c r="G56" i="77" s="1"/>
  <c r="G58" i="77" s="1"/>
  <c r="I60" i="77" s="1"/>
  <c r="I243" i="77" s="1"/>
  <c r="H112" i="76"/>
  <c r="H111" i="76"/>
  <c r="H110" i="76"/>
  <c r="H113" i="76"/>
  <c r="H114" i="76"/>
  <c r="L13" i="75"/>
  <c r="K15" i="75"/>
  <c r="K21" i="74"/>
  <c r="I22" i="74"/>
  <c r="I24" i="74" s="1"/>
  <c r="D113" i="77"/>
  <c r="H33" i="76"/>
  <c r="I18" i="76"/>
  <c r="K67" i="75"/>
  <c r="L51" i="75"/>
  <c r="K53" i="75"/>
  <c r="L53" i="75" s="1"/>
  <c r="L142" i="76"/>
  <c r="H134" i="77"/>
  <c r="H117" i="77"/>
  <c r="K32" i="75"/>
  <c r="I34" i="75"/>
  <c r="I36" i="75" s="1"/>
  <c r="O14" i="75" s="1"/>
  <c r="D25" i="77"/>
  <c r="N17" i="77"/>
  <c r="N18" i="77" s="1"/>
  <c r="G17" i="77"/>
  <c r="G18" i="77" s="1"/>
  <c r="I134" i="77"/>
  <c r="I117" i="77"/>
  <c r="D151" i="77"/>
  <c r="H80" i="76"/>
  <c r="I66" i="76"/>
  <c r="I50" i="77"/>
  <c r="I242" i="77" s="1"/>
  <c r="K23" i="75"/>
  <c r="I24" i="75"/>
  <c r="I26" i="75" s="1"/>
  <c r="I93" i="75"/>
  <c r="I17" i="75"/>
  <c r="K13" i="74"/>
  <c r="I14" i="74"/>
  <c r="D150" i="77"/>
  <c r="H79" i="76"/>
  <c r="I65" i="76"/>
  <c r="G65" i="77"/>
  <c r="D164" i="77" l="1"/>
  <c r="I79" i="76"/>
  <c r="I94" i="76"/>
  <c r="K65" i="76"/>
  <c r="I67" i="76"/>
  <c r="L13" i="74"/>
  <c r="K14" i="74"/>
  <c r="L23" i="75"/>
  <c r="K24" i="75"/>
  <c r="D165" i="77"/>
  <c r="I80" i="76"/>
  <c r="K80" i="76" s="1"/>
  <c r="L80" i="76" s="1"/>
  <c r="I20" i="77"/>
  <c r="I239" i="77" s="1"/>
  <c r="L32" i="75"/>
  <c r="K34" i="75"/>
  <c r="K18" i="76"/>
  <c r="I21" i="76"/>
  <c r="L21" i="74"/>
  <c r="K22" i="74"/>
  <c r="D188" i="77"/>
  <c r="H131" i="76"/>
  <c r="I113" i="76"/>
  <c r="K113" i="76" s="1"/>
  <c r="L113" i="76" s="1"/>
  <c r="N151" i="77"/>
  <c r="G151" i="77"/>
  <c r="P20" i="77"/>
  <c r="P239" i="77" s="1"/>
  <c r="N12" i="77"/>
  <c r="D128" i="77"/>
  <c r="I33" i="76"/>
  <c r="L15" i="75"/>
  <c r="K17" i="75"/>
  <c r="L17" i="75" s="1"/>
  <c r="D185" i="77"/>
  <c r="H128" i="76"/>
  <c r="I110" i="76"/>
  <c r="N150" i="77"/>
  <c r="G150" i="77"/>
  <c r="G152" i="77" s="1"/>
  <c r="K93" i="75"/>
  <c r="I95" i="75"/>
  <c r="G41" i="77"/>
  <c r="G25" i="77"/>
  <c r="G26" i="77" s="1"/>
  <c r="I28" i="77" s="1"/>
  <c r="I240" i="77" s="1"/>
  <c r="N25" i="77"/>
  <c r="N26" i="77" s="1"/>
  <c r="P28" i="77" s="1"/>
  <c r="P240" i="77" s="1"/>
  <c r="N113" i="77"/>
  <c r="N116" i="77" s="1"/>
  <c r="G113" i="77"/>
  <c r="G116" i="77" s="1"/>
  <c r="D186" i="77"/>
  <c r="H129" i="76"/>
  <c r="I111" i="76"/>
  <c r="K111" i="76" s="1"/>
  <c r="L111" i="76" s="1"/>
  <c r="L81" i="75"/>
  <c r="K84" i="75"/>
  <c r="I16" i="74"/>
  <c r="I37" i="74"/>
  <c r="I95" i="76"/>
  <c r="K95" i="76" s="1"/>
  <c r="L95" i="76" s="1"/>
  <c r="K66" i="76"/>
  <c r="L66" i="76" s="1"/>
  <c r="K69" i="75"/>
  <c r="L69" i="75" s="1"/>
  <c r="L67" i="75"/>
  <c r="D189" i="77"/>
  <c r="H132" i="76"/>
  <c r="I114" i="76"/>
  <c r="K114" i="76" s="1"/>
  <c r="L114" i="76" s="1"/>
  <c r="D187" i="77"/>
  <c r="H130" i="76"/>
  <c r="I112" i="76"/>
  <c r="K112" i="76" s="1"/>
  <c r="L112" i="76" s="1"/>
  <c r="L65" i="76" l="1"/>
  <c r="K67" i="76"/>
  <c r="D205" i="77"/>
  <c r="I130" i="76"/>
  <c r="N189" i="77"/>
  <c r="G189" i="77"/>
  <c r="I118" i="77"/>
  <c r="I246" i="77" s="1"/>
  <c r="N152" i="77"/>
  <c r="L34" i="75"/>
  <c r="K36" i="75"/>
  <c r="L36" i="75" s="1"/>
  <c r="K16" i="74"/>
  <c r="L16" i="74" s="1"/>
  <c r="L14" i="74"/>
  <c r="K94" i="76"/>
  <c r="I96" i="76"/>
  <c r="I98" i="76" s="1"/>
  <c r="O61" i="76" s="1"/>
  <c r="G185" i="77"/>
  <c r="N185" i="77"/>
  <c r="L18" i="76"/>
  <c r="K21" i="76"/>
  <c r="G187" i="77"/>
  <c r="N187" i="77"/>
  <c r="K37" i="74"/>
  <c r="L37" i="74" s="1"/>
  <c r="N14" i="74"/>
  <c r="P118" i="77"/>
  <c r="P246" i="77" s="1"/>
  <c r="K110" i="76"/>
  <c r="L110" i="76" s="1"/>
  <c r="I116" i="76"/>
  <c r="D206" i="77"/>
  <c r="I131" i="76"/>
  <c r="I23" i="76"/>
  <c r="G165" i="77"/>
  <c r="N165" i="77"/>
  <c r="K79" i="76"/>
  <c r="I81" i="76"/>
  <c r="I83" i="76" s="1"/>
  <c r="D207" i="77"/>
  <c r="I132" i="76"/>
  <c r="K86" i="75"/>
  <c r="L86" i="75" s="1"/>
  <c r="L84" i="75"/>
  <c r="G186" i="77"/>
  <c r="N186" i="77"/>
  <c r="I154" i="77"/>
  <c r="I248" i="77" s="1"/>
  <c r="N128" i="77"/>
  <c r="N131" i="77" s="1"/>
  <c r="N133" i="77" s="1"/>
  <c r="P135" i="77" s="1"/>
  <c r="P247" i="77" s="1"/>
  <c r="G128" i="77"/>
  <c r="G131" i="77" s="1"/>
  <c r="G133" i="77" s="1"/>
  <c r="I135" i="77" s="1"/>
  <c r="I247" i="77" s="1"/>
  <c r="L22" i="74"/>
  <c r="K24" i="74"/>
  <c r="L24" i="74" s="1"/>
  <c r="D204" i="77"/>
  <c r="I129" i="76"/>
  <c r="K95" i="75"/>
  <c r="L95" i="75" s="1"/>
  <c r="L93" i="75"/>
  <c r="D203" i="77"/>
  <c r="I128" i="76"/>
  <c r="K33" i="76"/>
  <c r="I36" i="76"/>
  <c r="I38" i="76" s="1"/>
  <c r="G188" i="77"/>
  <c r="N188" i="77"/>
  <c r="I49" i="76"/>
  <c r="G12" i="77"/>
  <c r="L24" i="75"/>
  <c r="L26" i="75"/>
  <c r="I162" i="76"/>
  <c r="K162" i="76" s="1"/>
  <c r="L162" i="76" s="1"/>
  <c r="I69" i="76"/>
  <c r="N164" i="77"/>
  <c r="N166" i="77" s="1"/>
  <c r="N168" i="77" s="1"/>
  <c r="P170" i="77" s="1"/>
  <c r="P249" i="77" s="1"/>
  <c r="G164" i="77"/>
  <c r="G166" i="77" s="1"/>
  <c r="G168" i="77" s="1"/>
  <c r="I170" i="77" s="1"/>
  <c r="I249" i="77" s="1"/>
  <c r="G203" i="77" l="1"/>
  <c r="N203" i="77"/>
  <c r="G204" i="77"/>
  <c r="N204" i="77"/>
  <c r="G205" i="77"/>
  <c r="N205" i="77"/>
  <c r="G207" i="77"/>
  <c r="N207" i="77"/>
  <c r="G206" i="77"/>
  <c r="N206" i="77"/>
  <c r="G191" i="77"/>
  <c r="L67" i="76"/>
  <c r="K69" i="76"/>
  <c r="L69" i="76" s="1"/>
  <c r="K132" i="76"/>
  <c r="L132" i="76" s="1"/>
  <c r="I151" i="76"/>
  <c r="K151" i="76" s="1"/>
  <c r="L151" i="76" s="1"/>
  <c r="I150" i="76"/>
  <c r="K150" i="76" s="1"/>
  <c r="L150" i="76" s="1"/>
  <c r="K131" i="76"/>
  <c r="L131" i="76" s="1"/>
  <c r="L94" i="76"/>
  <c r="K96" i="76"/>
  <c r="Q174" i="77"/>
  <c r="Q175" i="77" s="1"/>
  <c r="Q190" i="77" s="1"/>
  <c r="Q176" i="77" s="1"/>
  <c r="Q186" i="77" s="1"/>
  <c r="N191" i="77"/>
  <c r="K49" i="76"/>
  <c r="I52" i="76"/>
  <c r="I54" i="76" s="1"/>
  <c r="L33" i="76"/>
  <c r="K36" i="76"/>
  <c r="G140" i="77"/>
  <c r="N103" i="77"/>
  <c r="J174" i="77"/>
  <c r="J175" i="77" s="1"/>
  <c r="J190" i="77" s="1"/>
  <c r="J176" i="77" s="1"/>
  <c r="J187" i="77" s="1"/>
  <c r="I174" i="77"/>
  <c r="I175" i="77" s="1"/>
  <c r="P154" i="77"/>
  <c r="P248" i="77" s="1"/>
  <c r="N140" i="77"/>
  <c r="Q189" i="77"/>
  <c r="Q188" i="77"/>
  <c r="K128" i="76"/>
  <c r="I147" i="76"/>
  <c r="I134" i="76"/>
  <c r="I136" i="76" s="1"/>
  <c r="I148" i="76"/>
  <c r="K148" i="76" s="1"/>
  <c r="L148" i="76" s="1"/>
  <c r="K129" i="76"/>
  <c r="L129" i="76" s="1"/>
  <c r="L79" i="76"/>
  <c r="K81" i="76"/>
  <c r="I161" i="76"/>
  <c r="I118" i="76"/>
  <c r="I163" i="76"/>
  <c r="K163" i="76" s="1"/>
  <c r="L163" i="76" s="1"/>
  <c r="K116" i="76"/>
  <c r="L21" i="76"/>
  <c r="K23" i="76"/>
  <c r="L23" i="76" s="1"/>
  <c r="G103" i="77"/>
  <c r="I149" i="76"/>
  <c r="K149" i="76" s="1"/>
  <c r="L149" i="76" s="1"/>
  <c r="K130" i="76"/>
  <c r="L130" i="76" s="1"/>
  <c r="L36" i="76" l="1"/>
  <c r="K38" i="76"/>
  <c r="L38" i="76" s="1"/>
  <c r="K98" i="76"/>
  <c r="L98" i="76" s="1"/>
  <c r="L96" i="76"/>
  <c r="J189" i="77"/>
  <c r="J186" i="77"/>
  <c r="I164" i="76"/>
  <c r="K161" i="76"/>
  <c r="H174" i="77"/>
  <c r="H175" i="77" s="1"/>
  <c r="J185" i="77"/>
  <c r="P174" i="77"/>
  <c r="P175" i="77" s="1"/>
  <c r="Q187" i="77"/>
  <c r="N209" i="77"/>
  <c r="N211" i="77" s="1"/>
  <c r="J188" i="77"/>
  <c r="L128" i="76"/>
  <c r="K134" i="76"/>
  <c r="L116" i="76"/>
  <c r="K118" i="76"/>
  <c r="L118" i="76" s="1"/>
  <c r="L81" i="76"/>
  <c r="K83" i="76"/>
  <c r="L83" i="76" s="1"/>
  <c r="I190" i="77"/>
  <c r="I208" i="77"/>
  <c r="O14" i="76"/>
  <c r="O174" i="77"/>
  <c r="O175" i="77" s="1"/>
  <c r="Q185" i="77"/>
  <c r="Q192" i="77" s="1"/>
  <c r="G209" i="77"/>
  <c r="G211" i="77" s="1"/>
  <c r="K147" i="76"/>
  <c r="I153" i="76"/>
  <c r="I155" i="76" s="1"/>
  <c r="O106" i="76" s="1"/>
  <c r="L49" i="76"/>
  <c r="K52" i="76"/>
  <c r="G175" i="77"/>
  <c r="K54" i="76" l="1"/>
  <c r="L54" i="76" s="1"/>
  <c r="L52" i="76"/>
  <c r="O190" i="77"/>
  <c r="O176" i="77" s="1"/>
  <c r="O208" i="77"/>
  <c r="L161" i="76"/>
  <c r="K164" i="76"/>
  <c r="L164" i="76" s="1"/>
  <c r="I167" i="76"/>
  <c r="I176" i="77"/>
  <c r="P208" i="77"/>
  <c r="P190" i="77"/>
  <c r="P176" i="77" s="1"/>
  <c r="J192" i="77"/>
  <c r="N175" i="77"/>
  <c r="N232" i="77" s="1"/>
  <c r="K136" i="76"/>
  <c r="L136" i="76" s="1"/>
  <c r="L134" i="76"/>
  <c r="L147" i="76"/>
  <c r="K153" i="76"/>
  <c r="H190" i="77"/>
  <c r="H208" i="77"/>
  <c r="G232" i="77"/>
  <c r="O188" i="77" l="1"/>
  <c r="O189" i="77"/>
  <c r="O187" i="77"/>
  <c r="O186" i="77"/>
  <c r="O185" i="77"/>
  <c r="O203" i="77"/>
  <c r="O204" i="77"/>
  <c r="O206" i="77"/>
  <c r="O207" i="77"/>
  <c r="O205" i="77"/>
  <c r="H176" i="77"/>
  <c r="P187" i="77"/>
  <c r="P186" i="77"/>
  <c r="P189" i="77"/>
  <c r="P185" i="77"/>
  <c r="P188" i="77"/>
  <c r="P203" i="77"/>
  <c r="P204" i="77"/>
  <c r="P207" i="77"/>
  <c r="P206" i="77"/>
  <c r="P205" i="77"/>
  <c r="L153" i="76"/>
  <c r="K155" i="76"/>
  <c r="L155" i="76" s="1"/>
  <c r="I169" i="76"/>
  <c r="I174" i="76" s="1"/>
  <c r="K167" i="76"/>
  <c r="I186" i="77"/>
  <c r="I189" i="77"/>
  <c r="I188" i="77"/>
  <c r="I187" i="77"/>
  <c r="I185" i="77"/>
  <c r="I192" i="77" s="1"/>
  <c r="I204" i="77"/>
  <c r="I207" i="77"/>
  <c r="I203" i="77"/>
  <c r="I206" i="77"/>
  <c r="I205" i="77"/>
  <c r="P192" i="77" l="1"/>
  <c r="H188" i="77"/>
  <c r="H186" i="77"/>
  <c r="H189" i="77"/>
  <c r="H185" i="77"/>
  <c r="H187" i="77"/>
  <c r="H205" i="77"/>
  <c r="H207" i="77"/>
  <c r="H204" i="77"/>
  <c r="H203" i="77"/>
  <c r="H206" i="77"/>
  <c r="O212" i="77"/>
  <c r="I212" i="77"/>
  <c r="K169" i="76"/>
  <c r="L167" i="76"/>
  <c r="P212" i="77"/>
  <c r="O192" i="77"/>
  <c r="P193" i="77" s="1"/>
  <c r="P250" i="77" s="1"/>
  <c r="P213" i="77" l="1"/>
  <c r="P251" i="77" s="1"/>
  <c r="P253" i="77" s="1"/>
  <c r="P256" i="77" s="1"/>
  <c r="K174" i="76"/>
  <c r="L169" i="76"/>
  <c r="H212" i="77"/>
  <c r="I213" i="77" s="1"/>
  <c r="I251" i="77" s="1"/>
  <c r="H192" i="77"/>
  <c r="I193" i="77" s="1"/>
  <c r="I250" i="77" s="1"/>
  <c r="I253" i="77" s="1"/>
  <c r="I256" i="77" s="1"/>
  <c r="J25" i="8" l="1"/>
  <c r="J24" i="8"/>
  <c r="K25" i="8"/>
  <c r="K24" i="8"/>
  <c r="H25" i="8" l="1"/>
  <c r="H24" i="8"/>
  <c r="F9" i="7" l="1"/>
  <c r="C52" i="7" l="1"/>
  <c r="B4" i="9" l="1"/>
  <c r="B2" i="8" l="1"/>
  <c r="B2" i="9" l="1"/>
  <c r="R15" i="9" l="1"/>
  <c r="R14" i="9"/>
  <c r="R13" i="9"/>
  <c r="R12" i="9"/>
  <c r="R11" i="9"/>
  <c r="E36" i="9"/>
  <c r="E17" i="9"/>
  <c r="F10" i="9" s="1"/>
  <c r="R10" i="9" l="1"/>
  <c r="V10" i="9" s="1"/>
  <c r="G45" i="9"/>
  <c r="G36" i="9"/>
  <c r="G26" i="9"/>
  <c r="G17" i="9"/>
  <c r="V11" i="9" l="1"/>
  <c r="H40" i="9" s="1"/>
  <c r="V12" i="9"/>
  <c r="H41" i="9" s="1"/>
  <c r="V13" i="9"/>
  <c r="H42" i="9" s="1"/>
  <c r="V14" i="9"/>
  <c r="H43" i="9" s="1"/>
  <c r="V15" i="9"/>
  <c r="H44" i="9" s="1"/>
  <c r="H39" i="9"/>
  <c r="B11" i="8" l="1"/>
  <c r="B12" i="8" s="1"/>
  <c r="B14" i="8" l="1"/>
  <c r="B16" i="8" s="1"/>
  <c r="B18" i="8" s="1"/>
  <c r="B19" i="8" s="1"/>
  <c r="B20" i="8" s="1"/>
  <c r="B21" i="8" s="1"/>
  <c r="G6" i="8"/>
  <c r="G25" i="8"/>
  <c r="M25" i="8" s="1"/>
  <c r="G24" i="8"/>
  <c r="M24" i="8" s="1"/>
  <c r="G20" i="8"/>
  <c r="M20" i="8" s="1"/>
  <c r="G19" i="8"/>
  <c r="M19" i="8" s="1"/>
  <c r="G16" i="8"/>
  <c r="M16" i="8" s="1"/>
  <c r="G14" i="8"/>
  <c r="M14" i="8" s="1"/>
  <c r="G12" i="8"/>
  <c r="M12" i="8" s="1"/>
  <c r="G9" i="8"/>
  <c r="M9" i="8" s="1"/>
  <c r="B23" i="8" l="1"/>
  <c r="B24" i="8" s="1"/>
  <c r="B25" i="8" s="1"/>
  <c r="B26" i="8" s="1"/>
  <c r="B27" i="8" s="1"/>
  <c r="F21" i="7"/>
  <c r="F13" i="7"/>
  <c r="F11" i="7"/>
  <c r="H10" i="9" l="1"/>
  <c r="H12" i="9"/>
  <c r="H14" i="9"/>
  <c r="E16" i="9"/>
  <c r="F11" i="9" s="1"/>
  <c r="G11" i="9" s="1"/>
  <c r="H20" i="9"/>
  <c r="H22" i="9"/>
  <c r="H24" i="9"/>
  <c r="E26" i="9"/>
  <c r="F22" i="9" s="1"/>
  <c r="G22" i="9" s="1"/>
  <c r="B28" i="9"/>
  <c r="B29" i="9" s="1"/>
  <c r="B30" i="9" s="1"/>
  <c r="B31" i="9" s="1"/>
  <c r="B32" i="9" s="1"/>
  <c r="B33" i="9" s="1"/>
  <c r="B34" i="9" s="1"/>
  <c r="B35" i="9" s="1"/>
  <c r="B36" i="9" s="1"/>
  <c r="B38" i="9" s="1"/>
  <c r="B39" i="9" s="1"/>
  <c r="B40" i="9" s="1"/>
  <c r="B41" i="9" s="1"/>
  <c r="B42" i="9" s="1"/>
  <c r="B43" i="9" s="1"/>
  <c r="B44" i="9" s="1"/>
  <c r="B45" i="9" s="1"/>
  <c r="H29" i="9"/>
  <c r="H30" i="9"/>
  <c r="H31" i="9"/>
  <c r="H32" i="9"/>
  <c r="H33" i="9"/>
  <c r="H34" i="9"/>
  <c r="E35" i="9"/>
  <c r="F29" i="9" s="1"/>
  <c r="H21" i="9"/>
  <c r="H13" i="9"/>
  <c r="H15" i="9"/>
  <c r="E45" i="9"/>
  <c r="F39" i="9" s="1"/>
  <c r="G47" i="9"/>
  <c r="F6" i="8"/>
  <c r="O6" i="8"/>
  <c r="E21" i="8"/>
  <c r="F21" i="8"/>
  <c r="E26" i="8"/>
  <c r="F26" i="8"/>
  <c r="G6" i="7"/>
  <c r="B32" i="7"/>
  <c r="B33" i="7" s="1"/>
  <c r="B34" i="7" s="1"/>
  <c r="B35" i="7" s="1"/>
  <c r="B36" i="7" s="1"/>
  <c r="B38" i="7" s="1"/>
  <c r="B39" i="7" s="1"/>
  <c r="B40" i="7" s="1"/>
  <c r="B41" i="7" s="1"/>
  <c r="B42" i="7" s="1"/>
  <c r="B43" i="7" s="1"/>
  <c r="B44" i="7" s="1"/>
  <c r="B45" i="7" s="1"/>
  <c r="B47" i="7" s="1"/>
  <c r="B49" i="7" s="1"/>
  <c r="G39" i="9" l="1"/>
  <c r="F39" i="7" s="1"/>
  <c r="G29" i="9"/>
  <c r="I29" i="9" s="1"/>
  <c r="F27" i="8"/>
  <c r="F30" i="9"/>
  <c r="G30" i="9" s="1"/>
  <c r="F34" i="7" s="1"/>
  <c r="E27" i="8"/>
  <c r="F23" i="9"/>
  <c r="G23" i="9" s="1"/>
  <c r="F21" i="9"/>
  <c r="G21" i="9" s="1"/>
  <c r="F25" i="9"/>
  <c r="G25" i="9" s="1"/>
  <c r="F20" i="9"/>
  <c r="F24" i="9"/>
  <c r="G24" i="9" s="1"/>
  <c r="F17" i="7"/>
  <c r="F32" i="9"/>
  <c r="G32" i="9" s="1"/>
  <c r="I32" i="9" s="1"/>
  <c r="F34" i="9"/>
  <c r="G34" i="9" s="1"/>
  <c r="I34" i="9" s="1"/>
  <c r="F33" i="9"/>
  <c r="G33" i="9" s="1"/>
  <c r="I33" i="9" s="1"/>
  <c r="F31" i="9"/>
  <c r="G31" i="9" s="1"/>
  <c r="I22" i="9"/>
  <c r="F26" i="7"/>
  <c r="F12" i="9"/>
  <c r="G12" i="9" s="1"/>
  <c r="E47" i="9"/>
  <c r="H23" i="9"/>
  <c r="F15" i="9"/>
  <c r="G15" i="9" s="1"/>
  <c r="I15" i="9" s="1"/>
  <c r="H11" i="9"/>
  <c r="I11" i="9" s="1"/>
  <c r="F14" i="9"/>
  <c r="G14" i="9" s="1"/>
  <c r="I14" i="9" s="1"/>
  <c r="F44" i="9"/>
  <c r="G44" i="9" s="1"/>
  <c r="F43" i="9"/>
  <c r="G43" i="9" s="1"/>
  <c r="F42" i="9"/>
  <c r="G42" i="9" s="1"/>
  <c r="F41" i="9"/>
  <c r="G41" i="9" s="1"/>
  <c r="F40" i="9"/>
  <c r="G40" i="9" s="1"/>
  <c r="H25" i="9"/>
  <c r="F13" i="9"/>
  <c r="G13" i="9" s="1"/>
  <c r="I13" i="9" s="1"/>
  <c r="F36" i="9" l="1"/>
  <c r="I39" i="9"/>
  <c r="F33" i="7"/>
  <c r="F45" i="9"/>
  <c r="G20" i="9"/>
  <c r="I20" i="9" s="1"/>
  <c r="F26" i="9"/>
  <c r="G10" i="9"/>
  <c r="I10" i="9" s="1"/>
  <c r="F17" i="9"/>
  <c r="I30" i="9"/>
  <c r="I41" i="9"/>
  <c r="F41" i="7"/>
  <c r="G16" i="9"/>
  <c r="I12" i="9"/>
  <c r="G59" i="9"/>
  <c r="I23" i="9"/>
  <c r="F27" i="7"/>
  <c r="F42" i="7"/>
  <c r="I42" i="9"/>
  <c r="I43" i="9"/>
  <c r="F43" i="7"/>
  <c r="I25" i="9"/>
  <c r="F29" i="7"/>
  <c r="F40" i="7"/>
  <c r="I40" i="9"/>
  <c r="F44" i="7"/>
  <c r="I44" i="9"/>
  <c r="I21" i="9"/>
  <c r="F25" i="7"/>
  <c r="I24" i="9"/>
  <c r="F28" i="7"/>
  <c r="I31" i="9"/>
  <c r="G35" i="9"/>
  <c r="G58" i="9"/>
  <c r="G56" i="9" l="1"/>
  <c r="G57" i="9"/>
  <c r="F24" i="7"/>
  <c r="F30" i="7" s="1"/>
  <c r="F16" i="7"/>
  <c r="F45" i="7"/>
  <c r="I35" i="9"/>
  <c r="I45" i="9"/>
  <c r="I17" i="9"/>
  <c r="I16" i="9"/>
  <c r="I26" i="9"/>
  <c r="F18" i="7"/>
  <c r="F35" i="7"/>
  <c r="F36" i="7" s="1"/>
  <c r="N26" i="8" s="1"/>
  <c r="I36" i="9"/>
  <c r="F19" i="7" l="1"/>
  <c r="F47" i="7" s="1"/>
  <c r="I47" i="9"/>
  <c r="N21" i="8" l="1"/>
  <c r="N27" i="8" s="1"/>
  <c r="O25" i="8"/>
  <c r="G45" i="7" s="1"/>
  <c r="O20" i="8"/>
  <c r="G30" i="7" s="1"/>
  <c r="O14" i="8"/>
  <c r="G13" i="7" s="1"/>
  <c r="O16" i="8"/>
  <c r="G21" i="7" s="1"/>
  <c r="O12" i="8"/>
  <c r="G11" i="7" s="1"/>
  <c r="O24" i="8"/>
  <c r="O19" i="8" l="1"/>
  <c r="G19" i="7" s="1"/>
  <c r="O9" i="8"/>
  <c r="O26" i="8"/>
  <c r="G36" i="7"/>
  <c r="O21" i="8" l="1"/>
  <c r="O27" i="8" s="1"/>
  <c r="G9" i="7"/>
  <c r="G47" i="7" l="1"/>
  <c r="H9" i="7" s="1"/>
  <c r="H21" i="7" l="1"/>
  <c r="I21" i="7" s="1"/>
  <c r="J21" i="7" s="1"/>
  <c r="H11" i="7"/>
  <c r="I11" i="7" s="1"/>
  <c r="J11" i="7" s="1"/>
  <c r="H30" i="7"/>
  <c r="I30" i="7" s="1"/>
  <c r="J26" i="9" s="1"/>
  <c r="H13" i="7"/>
  <c r="I13" i="7" s="1"/>
  <c r="J13" i="7" s="1"/>
  <c r="H19" i="7"/>
  <c r="I19" i="7" s="1"/>
  <c r="J17" i="9" s="1"/>
  <c r="H45" i="7"/>
  <c r="I45" i="7" s="1"/>
  <c r="J45" i="9" s="1"/>
  <c r="H36" i="7"/>
  <c r="I36" i="7" s="1"/>
  <c r="J36" i="9" s="1"/>
  <c r="I9" i="7"/>
  <c r="J9" i="7" s="1"/>
  <c r="K13" i="7" l="1"/>
  <c r="K11" i="7"/>
  <c r="K21" i="7"/>
  <c r="H47" i="7"/>
  <c r="J47" i="9"/>
  <c r="I47" i="7"/>
  <c r="J48" i="9" l="1"/>
  <c r="K11" i="9" s="1"/>
  <c r="K9" i="7"/>
  <c r="K22" i="9" l="1"/>
  <c r="K31" i="9"/>
  <c r="K25" i="9"/>
  <c r="K39" i="9"/>
  <c r="L39" i="9" s="1"/>
  <c r="L29" i="9" s="1"/>
  <c r="K29" i="9"/>
  <c r="K42" i="9"/>
  <c r="L42" i="9" s="1"/>
  <c r="L23" i="9" s="1"/>
  <c r="J27" i="7" s="1"/>
  <c r="K10" i="9"/>
  <c r="K24" i="9"/>
  <c r="K21" i="9"/>
  <c r="K43" i="9"/>
  <c r="L43" i="9" s="1"/>
  <c r="M43" i="9" s="1"/>
  <c r="K34" i="9"/>
  <c r="K12" i="9"/>
  <c r="K40" i="9"/>
  <c r="L40" i="9" s="1"/>
  <c r="L30" i="9" s="1"/>
  <c r="L11" i="9" s="1"/>
  <c r="K20" i="9"/>
  <c r="K30" i="9"/>
  <c r="K41" i="9"/>
  <c r="L41" i="9" s="1"/>
  <c r="M41" i="9" s="1"/>
  <c r="K44" i="9"/>
  <c r="L44" i="9" s="1"/>
  <c r="L25" i="9" s="1"/>
  <c r="J29" i="7" s="1"/>
  <c r="K33" i="9"/>
  <c r="K13" i="9"/>
  <c r="K15" i="9"/>
  <c r="K23" i="9"/>
  <c r="K32" i="9"/>
  <c r="K14" i="9"/>
  <c r="J44" i="7"/>
  <c r="M25" i="9"/>
  <c r="J42" i="7" l="1"/>
  <c r="L20" i="9"/>
  <c r="M30" i="9"/>
  <c r="L24" i="9"/>
  <c r="J28" i="7" s="1"/>
  <c r="M39" i="9"/>
  <c r="J39" i="7"/>
  <c r="M23" i="9"/>
  <c r="L21" i="9"/>
  <c r="J25" i="7" s="1"/>
  <c r="J34" i="7"/>
  <c r="J40" i="7"/>
  <c r="M42" i="9"/>
  <c r="K45" i="9"/>
  <c r="L22" i="9"/>
  <c r="M22" i="9" s="1"/>
  <c r="J41" i="7"/>
  <c r="K35" i="9"/>
  <c r="K26" i="9"/>
  <c r="J43" i="7"/>
  <c r="M40" i="9"/>
  <c r="M44" i="9"/>
  <c r="K36" i="9"/>
  <c r="K16" i="9"/>
  <c r="K17" i="9"/>
  <c r="J33" i="7"/>
  <c r="M29" i="9"/>
  <c r="L10" i="9"/>
  <c r="J24" i="7"/>
  <c r="M20" i="9"/>
  <c r="M11" i="9"/>
  <c r="J17" i="7"/>
  <c r="M21" i="9" l="1"/>
  <c r="M24" i="9"/>
  <c r="M26" i="9" s="1"/>
  <c r="N26" i="9" s="1"/>
  <c r="M45" i="9"/>
  <c r="N45" i="9" s="1"/>
  <c r="L35" i="9"/>
  <c r="L16" i="9" s="1"/>
  <c r="J18" i="7" s="1"/>
  <c r="J26" i="7"/>
  <c r="K47" i="9"/>
  <c r="M10" i="9"/>
  <c r="J16" i="7"/>
  <c r="K45" i="7" l="1"/>
  <c r="M16" i="9"/>
  <c r="M17" i="9" s="1"/>
  <c r="J35" i="7"/>
  <c r="M35" i="9"/>
  <c r="M36" i="9" s="1"/>
  <c r="K36" i="7" s="1"/>
  <c r="K30" i="7"/>
  <c r="N36" i="9" l="1"/>
  <c r="N17" i="9"/>
  <c r="M47" i="9"/>
  <c r="K19" i="7"/>
  <c r="K47" i="7" s="1"/>
  <c r="N47" i="9" l="1"/>
  <c r="N48" i="9" s="1"/>
  <c r="J47" i="7"/>
  <c r="L47" i="7"/>
  <c r="L48" i="7" s="1"/>
</calcChain>
</file>

<file path=xl/sharedStrings.xml><?xml version="1.0" encoding="utf-8"?>
<sst xmlns="http://schemas.openxmlformats.org/spreadsheetml/2006/main" count="1076" uniqueCount="395">
  <si>
    <t>Total</t>
  </si>
  <si>
    <t>Subtotal</t>
  </si>
  <si>
    <t>87T</t>
  </si>
  <si>
    <t>85T</t>
  </si>
  <si>
    <t>Interruptible</t>
  </si>
  <si>
    <t>Residential</t>
  </si>
  <si>
    <t>Revenue</t>
  </si>
  <si>
    <t>Schedule</t>
  </si>
  <si>
    <t>Rate Class</t>
  </si>
  <si>
    <t>Margin</t>
  </si>
  <si>
    <t>Volume</t>
  </si>
  <si>
    <t>Rate</t>
  </si>
  <si>
    <t>Puget Sound Energy</t>
  </si>
  <si>
    <t>Check</t>
  </si>
  <si>
    <t>Next 300,000 therms</t>
  </si>
  <si>
    <t>Next 100,000 therms</t>
  </si>
  <si>
    <t>Next 50,000 therms</t>
  </si>
  <si>
    <t>Next 25,000 therms</t>
  </si>
  <si>
    <t>First 25,000 therms</t>
  </si>
  <si>
    <t>Over 500,000 therms</t>
  </si>
  <si>
    <t>Transportation</t>
  </si>
  <si>
    <t>Over 50,000 therms</t>
  </si>
  <si>
    <t>Large volume</t>
  </si>
  <si>
    <t>Commercial &amp; industrial</t>
  </si>
  <si>
    <t>23/53</t>
  </si>
  <si>
    <t>Customer Class</t>
  </si>
  <si>
    <t>Proposed</t>
  </si>
  <si>
    <t>Estimated</t>
  </si>
  <si>
    <t>(3)</t>
  </si>
  <si>
    <t>(2)</t>
  </si>
  <si>
    <t>(1)</t>
  </si>
  <si>
    <t>86/86T</t>
  </si>
  <si>
    <t>41/41T</t>
  </si>
  <si>
    <t>31/31T</t>
  </si>
  <si>
    <t>Requirement</t>
  </si>
  <si>
    <t>Spread</t>
  </si>
  <si>
    <t>Line</t>
  </si>
  <si>
    <t>Margin at</t>
  </si>
  <si>
    <t>Low Income</t>
  </si>
  <si>
    <t xml:space="preserve">   Subtotal</t>
  </si>
  <si>
    <t>Non exclusive interruptible</t>
  </si>
  <si>
    <t>Limited interruptible</t>
  </si>
  <si>
    <t>General service</t>
  </si>
  <si>
    <t>Margin/Therm</t>
  </si>
  <si>
    <t>Revenue at</t>
  </si>
  <si>
    <t>Average</t>
  </si>
  <si>
    <t>Percent of revenue at Schedule 87T base rates</t>
  </si>
  <si>
    <t>Transportation Schedule 87T</t>
  </si>
  <si>
    <t>Subtotal over 50,000 therms</t>
  </si>
  <si>
    <t>Transportation Schedule 85T</t>
  </si>
  <si>
    <t>Interruptible Schedule 87</t>
  </si>
  <si>
    <t>Interruptible Schedule 85</t>
  </si>
  <si>
    <t>Therm</t>
  </si>
  <si>
    <t>Base Rates</t>
  </si>
  <si>
    <t>(Therms)</t>
  </si>
  <si>
    <t>% to Total</t>
  </si>
  <si>
    <t>Rate Schedule</t>
  </si>
  <si>
    <t>Rate per</t>
  </si>
  <si>
    <t>Allocated</t>
  </si>
  <si>
    <t>Normalized</t>
  </si>
  <si>
    <t>Gas</t>
  </si>
  <si>
    <t>Electric</t>
  </si>
  <si>
    <r>
      <t>Volume</t>
    </r>
    <r>
      <rPr>
        <vertAlign val="superscript"/>
        <sz val="10"/>
        <rFont val="Arial"/>
        <family val="2"/>
      </rPr>
      <t xml:space="preserve"> (1)</t>
    </r>
  </si>
  <si>
    <r>
      <t>Volume</t>
    </r>
    <r>
      <rPr>
        <vertAlign val="superscript"/>
        <sz val="10"/>
        <rFont val="Arial"/>
        <family val="2"/>
      </rPr>
      <t xml:space="preserve"> (2)</t>
    </r>
  </si>
  <si>
    <r>
      <t>(Therms)</t>
    </r>
    <r>
      <rPr>
        <vertAlign val="superscript"/>
        <sz val="10"/>
        <rFont val="Arial"/>
        <family val="2"/>
      </rPr>
      <t xml:space="preserve"> (1)</t>
    </r>
  </si>
  <si>
    <r>
      <t>Current Rates</t>
    </r>
    <r>
      <rPr>
        <vertAlign val="superscript"/>
        <sz val="10"/>
        <rFont val="Arial"/>
        <family val="2"/>
      </rPr>
      <t xml:space="preserve"> (2)</t>
    </r>
  </si>
  <si>
    <r>
      <t xml:space="preserve">(Therms) </t>
    </r>
    <r>
      <rPr>
        <vertAlign val="superscript"/>
        <sz val="10"/>
        <rFont val="Arial"/>
        <family val="2"/>
      </rPr>
      <t>(1)</t>
    </r>
  </si>
  <si>
    <r>
      <t xml:space="preserve">Base Rates </t>
    </r>
    <r>
      <rPr>
        <vertAlign val="superscript"/>
        <sz val="10"/>
        <rFont val="Arial"/>
        <family val="2"/>
      </rPr>
      <t>(3)</t>
    </r>
  </si>
  <si>
    <t>Base</t>
  </si>
  <si>
    <t>Sched 140</t>
  </si>
  <si>
    <t>Property Tax</t>
  </si>
  <si>
    <r>
      <t>Revenue</t>
    </r>
    <r>
      <rPr>
        <vertAlign val="superscript"/>
        <sz val="10"/>
        <rFont val="Arial"/>
        <family val="2"/>
      </rPr>
      <t xml:space="preserve"> (2)</t>
    </r>
  </si>
  <si>
    <t>Percent</t>
  </si>
  <si>
    <t>Change</t>
  </si>
  <si>
    <t>A</t>
  </si>
  <si>
    <t>B</t>
  </si>
  <si>
    <t>C</t>
  </si>
  <si>
    <t>D</t>
  </si>
  <si>
    <t>H</t>
  </si>
  <si>
    <t>I</t>
  </si>
  <si>
    <t>J</t>
  </si>
  <si>
    <t>Charges</t>
  </si>
  <si>
    <t>Rates</t>
  </si>
  <si>
    <t>Sch. 87T</t>
  </si>
  <si>
    <t>Sch. 140</t>
  </si>
  <si>
    <t xml:space="preserve">Billing </t>
  </si>
  <si>
    <t>Current</t>
  </si>
  <si>
    <t>Target</t>
  </si>
  <si>
    <t>Description</t>
  </si>
  <si>
    <t>Units</t>
  </si>
  <si>
    <t>Determinants</t>
  </si>
  <si>
    <t>Revenues</t>
  </si>
  <si>
    <t>Basic Charge</t>
  </si>
  <si>
    <t>Bills</t>
  </si>
  <si>
    <t>Delivery Charge</t>
  </si>
  <si>
    <t>Therms</t>
  </si>
  <si>
    <t>Mantles</t>
  </si>
  <si>
    <t>Procurement Charge</t>
  </si>
  <si>
    <t>Demand</t>
  </si>
  <si>
    <t>Minimum Bill</t>
  </si>
  <si>
    <t>Demand Charge</t>
  </si>
  <si>
    <t>Delivery Charge:</t>
  </si>
  <si>
    <t>First 900 therms</t>
  </si>
  <si>
    <t>in minimum bills</t>
  </si>
  <si>
    <t>Next 4,100 therms</t>
  </si>
  <si>
    <t>All over 5,000 therms</t>
  </si>
  <si>
    <t>Total Volume</t>
  </si>
  <si>
    <t>Minimum Bills</t>
  </si>
  <si>
    <t>First 25,000 Therms</t>
  </si>
  <si>
    <t>Next 25,000 Therms</t>
  </si>
  <si>
    <t>All over 50,000 Therms</t>
  </si>
  <si>
    <t>Next 50,000 Therms</t>
  </si>
  <si>
    <t>First 1,000 therms</t>
  </si>
  <si>
    <t>All over 1,000 therms</t>
  </si>
  <si>
    <t xml:space="preserve"> </t>
  </si>
  <si>
    <t>All over 500,000 therms</t>
  </si>
  <si>
    <t>Sch. 129</t>
  </si>
  <si>
    <t>Proposed Rates</t>
  </si>
  <si>
    <t>Schedule 87T Margin Rates:</t>
  </si>
  <si>
    <t>Current and Proposed Rates by Rate Schedule (Schedules 16, 23 &amp; 53)</t>
  </si>
  <si>
    <t xml:space="preserve">Difference </t>
  </si>
  <si>
    <t>$</t>
  </si>
  <si>
    <t>%</t>
  </si>
  <si>
    <t>Increase</t>
  </si>
  <si>
    <t>Schedule 23</t>
  </si>
  <si>
    <t>over (under)</t>
  </si>
  <si>
    <t>Total Revenues</t>
  </si>
  <si>
    <t>Schedule 53</t>
  </si>
  <si>
    <t>Total Delivery Charges</t>
  </si>
  <si>
    <t>Schedule 16</t>
  </si>
  <si>
    <t>Total Delivery Charge</t>
  </si>
  <si>
    <t>Calculated Total Therms</t>
  </si>
  <si>
    <t>Residential Summary</t>
  </si>
  <si>
    <t>(1) Schedule 101 rates in effective November 1, 2018</t>
  </si>
  <si>
    <t>Current and Proposed Rates by Rate Schedule (Schedules 31, 31T, 41 &amp; 41T)</t>
  </si>
  <si>
    <t>Schedule 31 - Sales</t>
  </si>
  <si>
    <t>TARGET 31/31T</t>
  </si>
  <si>
    <t>Schedule 31 - Transportation</t>
  </si>
  <si>
    <t>Schedule 31 - Total</t>
  </si>
  <si>
    <t>Schedule 41 - Sales</t>
  </si>
  <si>
    <t>TARGET 41/41T</t>
  </si>
  <si>
    <t>Schedule 41 - Transportation</t>
  </si>
  <si>
    <t>Schedule 41 - Total</t>
  </si>
  <si>
    <t>Commercial &amp; Industrial Summary</t>
  </si>
  <si>
    <t>Schedule 41, 41T</t>
  </si>
  <si>
    <t>Schedules 31, 31T</t>
  </si>
  <si>
    <t>Current and Proposed Rates by Rate Schedule (Schedules 85, 85T, 86, 86T, 87 &amp; 87T)</t>
  </si>
  <si>
    <t>Schedule 85 - Sales</t>
  </si>
  <si>
    <t>TARGET 85/85T</t>
  </si>
  <si>
    <t>Schedule 85 - Transportation</t>
  </si>
  <si>
    <t>Schedule 85 - Total</t>
  </si>
  <si>
    <t>Schedule 86 - Sales</t>
  </si>
  <si>
    <t>TARGET 86/86T</t>
  </si>
  <si>
    <t>Schedule 86 - Transportation</t>
  </si>
  <si>
    <t>Schedule 86 - Total</t>
  </si>
  <si>
    <t>Schedule 87 - Sales</t>
  </si>
  <si>
    <t>TARGET 87/87T</t>
  </si>
  <si>
    <t>Schedule 87 - Transportation</t>
  </si>
  <si>
    <t>Schedule 87 - Total</t>
  </si>
  <si>
    <t>Interruptible Summary</t>
  </si>
  <si>
    <t>Schedules 85, 85T</t>
  </si>
  <si>
    <t>Schedules 86, 86T</t>
  </si>
  <si>
    <t>Schedules 87, 87T</t>
  </si>
  <si>
    <t>Total Summary</t>
  </si>
  <si>
    <t>Plus Contracts</t>
  </si>
  <si>
    <t>Grand Total</t>
  </si>
  <si>
    <t>(5)</t>
  </si>
  <si>
    <t>(4)</t>
  </si>
  <si>
    <t>(6)</t>
  </si>
  <si>
    <t>(7)</t>
  </si>
  <si>
    <t>Sched 141Z</t>
  </si>
  <si>
    <t>(8)</t>
  </si>
  <si>
    <t>UP EDIT</t>
  </si>
  <si>
    <t>(Eff. Oct 1, 2020)</t>
  </si>
  <si>
    <t>Sch. 141Z</t>
  </si>
  <si>
    <t>Schedule 141Z Unprotected Excess Deferred Income Tax (UP EDIT) Reversal rates effective October 1, 2020.</t>
  </si>
  <si>
    <t>Rate Change Impacts by Rate Schedule</t>
  </si>
  <si>
    <t>Forecasted</t>
  </si>
  <si>
    <t>Total Forecasted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</si>
  <si>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</si>
  <si>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</si>
  <si>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>$/Therm</t>
  </si>
  <si>
    <r>
      <t>Revenue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</si>
  <si>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t>E=D/C</t>
  </si>
  <si>
    <t xml:space="preserve">F </t>
  </si>
  <si>
    <t xml:space="preserve">G=E*F </t>
  </si>
  <si>
    <t>K</t>
  </si>
  <si>
    <t>L</t>
  </si>
  <si>
    <t>M</t>
  </si>
  <si>
    <t>N</t>
  </si>
  <si>
    <t>O</t>
  </si>
  <si>
    <t>P</t>
  </si>
  <si>
    <t>23,53</t>
  </si>
  <si>
    <t>Residential Gas Lights</t>
  </si>
  <si>
    <t>Commercial &amp; Industrial</t>
  </si>
  <si>
    <t>Large Volume</t>
  </si>
  <si>
    <t>Limited Interruptible</t>
  </si>
  <si>
    <t>Non-exclusive Interruptible</t>
  </si>
  <si>
    <t>Commercial &amp; Industrial Transportation</t>
  </si>
  <si>
    <t>31T</t>
  </si>
  <si>
    <t>Large Volume Transportation</t>
  </si>
  <si>
    <t>41T</t>
  </si>
  <si>
    <t>Interruptible Transportation</t>
  </si>
  <si>
    <t>Limited Interruptible Transportation</t>
  </si>
  <si>
    <t>86T</t>
  </si>
  <si>
    <t>Non-exclusive Interruptible Transportation</t>
  </si>
  <si>
    <t>Contracts</t>
  </si>
  <si>
    <t>By Customer Class:</t>
  </si>
  <si>
    <t>Typical Residential Bill Impacts</t>
  </si>
  <si>
    <t>Current Rates</t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</si>
  <si>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</si>
  <si>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t>Volume (therms)</t>
  </si>
  <si>
    <t>Customer charge ($/month)</t>
  </si>
  <si>
    <t>Volumetric charges ($/therm)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</si>
  <si>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</si>
  <si>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</si>
  <si>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</si>
  <si>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</si>
  <si>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</si>
  <si>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t>Volume (Therms)</t>
  </si>
  <si>
    <t xml:space="preserve">Rate </t>
  </si>
  <si>
    <r>
      <t xml:space="preserve">Rates </t>
    </r>
    <r>
      <rPr>
        <vertAlign val="superscript"/>
        <sz val="10"/>
        <rFont val="Arial"/>
        <family val="2"/>
      </rPr>
      <t>(3)</t>
    </r>
  </si>
  <si>
    <r>
      <t xml:space="preserve">Rates </t>
    </r>
    <r>
      <rPr>
        <vertAlign val="superscript"/>
        <sz val="10"/>
        <rFont val="Arial"/>
        <family val="2"/>
      </rPr>
      <t>(4)</t>
    </r>
  </si>
  <si>
    <r>
      <t xml:space="preserve">Rates </t>
    </r>
    <r>
      <rPr>
        <vertAlign val="superscript"/>
        <sz val="10"/>
        <rFont val="Arial"/>
        <family val="2"/>
      </rPr>
      <t>(5)</t>
    </r>
  </si>
  <si>
    <r>
      <t>Rates</t>
    </r>
    <r>
      <rPr>
        <vertAlign val="superscript"/>
        <sz val="10"/>
        <rFont val="Arial"/>
        <family val="2"/>
      </rPr>
      <t xml:space="preserve"> (6)</t>
    </r>
  </si>
  <si>
    <t>Base Sch.</t>
  </si>
  <si>
    <t>Base Schedule</t>
  </si>
  <si>
    <t>Sch. 101</t>
  </si>
  <si>
    <t>Sch. 106</t>
  </si>
  <si>
    <t>Sch. 120</t>
  </si>
  <si>
    <t>Sch. 142</t>
  </si>
  <si>
    <t>16,23,53</t>
  </si>
  <si>
    <t>31,31T</t>
  </si>
  <si>
    <t>41,41T</t>
  </si>
  <si>
    <t>85,85T</t>
  </si>
  <si>
    <t>86,86T</t>
  </si>
  <si>
    <t>Non-exclusive interruptible</t>
  </si>
  <si>
    <t>87,87T</t>
  </si>
  <si>
    <t>Rate Change</t>
  </si>
  <si>
    <t>Basic charge (Sch. 23)</t>
  </si>
  <si>
    <t>Delivery charge (Sch. 23)</t>
  </si>
  <si>
    <t>UP EDIT adjusting charge (Sch. 141Z)</t>
  </si>
  <si>
    <t>Decoupling charge (Sch. 142)</t>
  </si>
  <si>
    <t>Conservation charge (Sch. 120)</t>
  </si>
  <si>
    <t>Gas cost charge (Sch. 101)</t>
  </si>
  <si>
    <t>Gas cost amort. charge (Sch. 106)</t>
  </si>
  <si>
    <t>Proposed Effective October 1, 2023</t>
  </si>
  <si>
    <t>Weather normalized margin revenue for 12 months ending December 31, 2022, given 2022 volume, priced at current rates effective May 1, 2023.</t>
  </si>
  <si>
    <t>Sch. 129D</t>
  </si>
  <si>
    <t>Current Base Rates</t>
  </si>
  <si>
    <t>Proposed Base Rates</t>
  </si>
  <si>
    <t>TARGET</t>
  </si>
  <si>
    <t>Total Base Revenues</t>
  </si>
  <si>
    <t>Total Residential Base Revenues</t>
  </si>
  <si>
    <t>Backup</t>
  </si>
  <si>
    <t>Delta</t>
  </si>
  <si>
    <t>Multi-Year Rates by Rate Schedule</t>
  </si>
  <si>
    <t>Proposed 2023 Rates</t>
  </si>
  <si>
    <t>Proposed 2024 Rates</t>
  </si>
  <si>
    <t>Proposed 2025 Rates</t>
  </si>
  <si>
    <t>Billing Determinants</t>
  </si>
  <si>
    <t>Proforma $</t>
  </si>
  <si>
    <t>Proposed Revenues</t>
  </si>
  <si>
    <t>Sch 141N</t>
  </si>
  <si>
    <t>Sch 141R</t>
  </si>
  <si>
    <t>Sch 141D
(Sales Only)</t>
  </si>
  <si>
    <t>Multi-Year Rates (Schedules 16, 23 &amp; 53)</t>
  </si>
  <si>
    <t>141N/R Rate</t>
  </si>
  <si>
    <t>Subtotal Base Revenue</t>
  </si>
  <si>
    <t>Schedule 141R/N/D Revenue</t>
  </si>
  <si>
    <t>Multi-Year Rates (Schedules 31 &amp; 31T)</t>
  </si>
  <si>
    <t>Multi-Year Rates (Schedules 41 &amp; 41T)</t>
  </si>
  <si>
    <t>Multi-Year Rates (Schedules 85 &amp; 85T)</t>
  </si>
  <si>
    <t>Multi-Year Rates (Schedules 86 &amp; 86T)</t>
  </si>
  <si>
    <t>Multi-Year Rates (Schedules 87 &amp; 87T)</t>
  </si>
  <si>
    <t>% Margin</t>
  </si>
  <si>
    <t>Note:  Amounts in bold and italics are different from the October 18, 2022 PSE Response to WUTC Bench Request 002.</t>
  </si>
  <si>
    <t>Pro-forma therms</t>
  </si>
  <si>
    <t>Pro-forma revenues</t>
  </si>
  <si>
    <t>Total Schedule 23</t>
  </si>
  <si>
    <t>Total Schedule 53</t>
  </si>
  <si>
    <t>Total Schedule 16</t>
  </si>
  <si>
    <t>Total Schedule 31 - Sales</t>
  </si>
  <si>
    <t>Total Schedule 31 - Transportation</t>
  </si>
  <si>
    <t>Total Schedule 41 - Sales</t>
  </si>
  <si>
    <t>Total Schedule 41 - Transportation</t>
  </si>
  <si>
    <t>Total Schedule 85 - Sales</t>
  </si>
  <si>
    <t>Total Schedule 85 - Transportation</t>
  </si>
  <si>
    <t>Total Schedule 86 - Sales</t>
  </si>
  <si>
    <t>Total Schedule 86 - Transportation</t>
  </si>
  <si>
    <t>Total Schedule 87 - Sales</t>
  </si>
  <si>
    <t>Total Schedule 87 - Transportation</t>
  </si>
  <si>
    <t>Tie out</t>
  </si>
  <si>
    <t>UG-220067</t>
  </si>
  <si>
    <t>Weather normalized volume for the 12 months ended June 2021 from the 2022 General Rate Case Filing (UG-220067).</t>
  </si>
  <si>
    <t>Base schedule revenue for the 12 months ended June 2021 from the 2022 General Rate Case Filing (UG-220067).</t>
  </si>
  <si>
    <t>Schedule 140 Property Tax rates effective May 1, 2023.</t>
  </si>
  <si>
    <t>Sched 141D</t>
  </si>
  <si>
    <t>Sched 141N</t>
  </si>
  <si>
    <t>Sched 141R</t>
  </si>
  <si>
    <t>Dist. Pipeline</t>
  </si>
  <si>
    <t>Rate Plan</t>
  </si>
  <si>
    <r>
      <t>Rates</t>
    </r>
    <r>
      <rPr>
        <vertAlign val="superscript"/>
        <sz val="10"/>
        <rFont val="Arial"/>
        <family val="2"/>
      </rPr>
      <t xml:space="preserve"> (7)</t>
    </r>
  </si>
  <si>
    <r>
      <t>(Therms)</t>
    </r>
    <r>
      <rPr>
        <vertAlign val="superscript"/>
        <sz val="10"/>
        <rFont val="Arial"/>
        <family val="2"/>
      </rPr>
      <t xml:space="preserve"> (8)</t>
    </r>
  </si>
  <si>
    <r>
      <t>Current Rates</t>
    </r>
    <r>
      <rPr>
        <vertAlign val="superscript"/>
        <sz val="10"/>
        <rFont val="Arial"/>
        <family val="2"/>
      </rPr>
      <t xml:space="preserve"> (9)</t>
    </r>
  </si>
  <si>
    <t>Schedule 141D Distribution Pipeline Provisional Recovery rates effective January 7, 2023 (UG-220067).</t>
  </si>
  <si>
    <t>Schedule 141N Not Subject to Refund rates effective January 7, 2023 (UG-220067).</t>
  </si>
  <si>
    <t>Schedule 141R Subject to Refund rates effective January 7, 2023 (UG-220067).</t>
  </si>
  <si>
    <t>(9)</t>
  </si>
  <si>
    <t>Weather normalized volume for the year ending December 31, 2022 from the 2022 Commission Basis Report (CBR).</t>
  </si>
  <si>
    <t>Estimated 2022 Margin Revenue at Current Rates</t>
  </si>
  <si>
    <t>Average Base</t>
  </si>
  <si>
    <t>2022 Gas General Rate Case Filing</t>
  </si>
  <si>
    <t>Gas Rate Spread &amp; Design Work Paper</t>
  </si>
  <si>
    <t>Rate Spread and Schedule 141R and 141N Allocation</t>
  </si>
  <si>
    <t>Sch. 141N</t>
  </si>
  <si>
    <t>Sch. 141R</t>
  </si>
  <si>
    <t>(Eff. Jan 7, 2023)</t>
  </si>
  <si>
    <t>(Eff. May 1, 2023)</t>
  </si>
  <si>
    <t>Calendar volume for year ending December 31, 2022 from Customer Information System (CIS).</t>
  </si>
  <si>
    <t>Current Schedule 87T rates including Base, Property Tax (Sch. 140), Not Subject to Refund (Sch. 141N), Subject to Refund (Sch. 141R) and UP EDIT (Sch. 141Z).</t>
  </si>
  <si>
    <t>Proposed Rates Effective October 1, 2023</t>
  </si>
  <si>
    <t>12ME Sept. 2024</t>
  </si>
  <si>
    <t>Oct 2023 -</t>
  </si>
  <si>
    <t>Sch. 141D</t>
  </si>
  <si>
    <t>Sept. 2024</t>
  </si>
  <si>
    <t>Q</t>
  </si>
  <si>
    <t>R</t>
  </si>
  <si>
    <t>S = sum(G:R)</t>
  </si>
  <si>
    <t>T</t>
  </si>
  <si>
    <t>W= T/S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</si>
  <si>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Weather normalized volume and base schedule margin for 12 months ending June 2021, at approved rates from UG-220067 GRC compliance filing.</t>
    </r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</si>
  <si>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revenues at current rates effective May 1, 2023.</t>
    </r>
  </si>
  <si>
    <t>Low Income charge (Sch. 129)</t>
  </si>
  <si>
    <t>Low Income Discount charge (Sch. 129D)</t>
  </si>
  <si>
    <t>Property Tax charge (Sch. 140)</t>
  </si>
  <si>
    <t>Dist. Pipeline Provisional (Sch. 141D)</t>
  </si>
  <si>
    <t>Rates Not Subject to Refund (Sch. 141N)</t>
  </si>
  <si>
    <t>Rates Subject to Refund (Sch. 141R)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</si>
  <si>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23 customers in effect May 1, 2023</t>
    </r>
  </si>
  <si>
    <t>2023 Gas Schedule 129 Low Income Program Rate Filing</t>
  </si>
  <si>
    <t>Calculation of Schedule 129 Rates</t>
  </si>
  <si>
    <t>Total revenue requirement for low income program</t>
  </si>
  <si>
    <t>Calculation of Low Income Program Rates by Block for Schedules 85, 85T, 87 and 87T</t>
  </si>
  <si>
    <t>PUGET SOUND ENERGY</t>
  </si>
  <si>
    <t>LOW INCOME PROGRAM</t>
  </si>
  <si>
    <t xml:space="preserve">REVENUE REQUIREMENTS </t>
  </si>
  <si>
    <t>OCTOBER 2023 THROUGH SEPTEMBER 2024</t>
  </si>
  <si>
    <t>LINE 
NO.</t>
  </si>
  <si>
    <t>ELECTRIC</t>
  </si>
  <si>
    <t>GAS</t>
  </si>
  <si>
    <t>TOTAL</t>
  </si>
  <si>
    <t>Notes</t>
  </si>
  <si>
    <t>(a)</t>
  </si>
  <si>
    <t>(b)</t>
  </si>
  <si>
    <t xml:space="preserve">(c) </t>
  </si>
  <si>
    <t>(d)</t>
  </si>
  <si>
    <t>(e)</t>
  </si>
  <si>
    <t>(f)</t>
  </si>
  <si>
    <t>(g)</t>
  </si>
  <si>
    <t>(h)</t>
  </si>
  <si>
    <t>(i)</t>
  </si>
  <si>
    <t>Prior Low Income Cap UE-220656 &amp; UG-220657</t>
  </si>
  <si>
    <t>Decoupling Residential Bill Impact UE-230206 and UG-230207</t>
  </si>
  <si>
    <t>Increase pursuant to GRC Final Order 24/10 UE-220066 &amp; UG-220067</t>
  </si>
  <si>
    <t xml:space="preserve">Note (A) </t>
  </si>
  <si>
    <t>Current Year Low Income Cap</t>
  </si>
  <si>
    <t>True-up Estimate in Prior Year Filing</t>
  </si>
  <si>
    <t>Public Utility Tax Credits Received from Department of Revenue under RCW 82.16.0497</t>
  </si>
  <si>
    <t>Revenue Sensitive Items:</t>
  </si>
  <si>
    <t>Current Annual Filing Fee</t>
  </si>
  <si>
    <t xml:space="preserve">Current State Utility Tax </t>
  </si>
  <si>
    <t>Conversion Factor</t>
  </si>
  <si>
    <t>Low income revenue requirement to be recovered in rates</t>
  </si>
  <si>
    <t>Low Income revenue requirement set in rates in October 2022</t>
  </si>
  <si>
    <t>Change in Revenue Requirement</t>
  </si>
  <si>
    <t>Components of Whole Dollar Increase/(Decrease) in Low Income Requirement</t>
  </si>
  <si>
    <t xml:space="preserve">Increase (Decrease) in LIHEAP Credit </t>
  </si>
  <si>
    <t xml:space="preserve">Total Whole Dollar Increase/(Decrease) </t>
  </si>
  <si>
    <t>Increase (Decrease) in Volume True-Up</t>
  </si>
  <si>
    <t>2023 Gas Schedule 129 Low Income Program Rates Filing</t>
  </si>
  <si>
    <t>Schedule 129 Low Income</t>
  </si>
  <si>
    <t>Gas Schedule 129</t>
  </si>
  <si>
    <t>Low Income Program</t>
  </si>
  <si>
    <t>Sched 129</t>
  </si>
  <si>
    <t>(A) Twice the residential base rates increase under UE-220066 and UG-220067 - Order No. 24/10 and the Compliance Filing and RCW 80.28.425 (2)</t>
  </si>
  <si>
    <t>True-up the estimates used in the true-up in last year's filing</t>
  </si>
  <si>
    <t>Under / (Over) Collection through September 2023 (Excludes Revenue Sensitive Items)</t>
  </si>
  <si>
    <t xml:space="preserve">Reduce the revenue requirement by the 2022 SQI Penalty </t>
  </si>
  <si>
    <t>Amount to be recovered October 2023 through September 2024</t>
  </si>
  <si>
    <t>Bad Debts Conversion Factor used in 2022 GRC UE-220066, et al</t>
  </si>
  <si>
    <t>Change In Prior Low Income Cap</t>
  </si>
  <si>
    <t>Settlement Agreement</t>
  </si>
  <si>
    <t xml:space="preserve">Reduction for 2022 SQI Penalty </t>
  </si>
  <si>
    <t xml:space="preserve">(Decrease) for ending the recovery of COVID-19 bill payment assistance program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</si>
</sst>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_(&quot;$&quot;* #,##0.00000_);_(&quot;$&quot;* \(#,##0.00000\);_(&quot;$&quot;* &quot;-&quot;?????_);_(@_)"/>
    <numFmt numFmtId="168" formatCode="_(&quot;$&quot;* #,##0.00000_);_(&quot;$&quot;* \(#,##0.00000\);_(&quot;$&quot;* &quot;-&quot;??_);_(@_)"/>
    <numFmt numFmtId="169" formatCode="_(* #,##0.00000_);_(* \(#,##0.00000\);_(* &quot;-&quot;??_);_(@_)"/>
    <numFmt numFmtId="170" formatCode="_(&quot;$&quot;* #,##0.0000_);_(&quot;$&quot;* \(#,##0.0000\);_(&quot;$&quot;* &quot;-&quot;??_);_(@_)"/>
    <numFmt numFmtId="171" formatCode="0.0000%"/>
    <numFmt numFmtId="172" formatCode="&quot;$&quot;#,##0\ ;\(&quot;$&quot;#,##0\)"/>
    <numFmt numFmtId="173" formatCode="0.000%"/>
    <numFmt numFmtId="174" formatCode="&quot;$&quot;#,##0.00\ ;\(&quot;$&quot;#,##0.00\)"/>
    <numFmt numFmtId="175" formatCode="&quot;$&quot;#,##0.00000\ ;\(&quot;$&quot;#,##0.00000\)"/>
    <numFmt numFmtId="176" formatCode="&quot;$&quot;#,##0.0000\ ;\(&quot;$&quot;#,##0.0000\)"/>
    <numFmt numFmtId="177" formatCode="#,##0.00000"/>
    <numFmt numFmtId="178" formatCode="#,##0.0"/>
    <numFmt numFmtId="179" formatCode="&quot;$&quot;#,##0"/>
    <numFmt numFmtId="180" formatCode="_(&quot;$&quot;* #,##0.00_);_(&quot;$&quot;* \(#,##0.00\);_(&quot;$&quot;* &quot;-&quot;_);_(@_)"/>
    <numFmt numFmtId="181" formatCode="&quot;$&quot;#,##0.00000000_);\(&quot;$&quot;#,##0.00000000\)"/>
    <numFmt numFmtId="182" formatCode="&quot;$&quot;#,##0.00000_);\(&quot;$&quot;#,##0.00000\)"/>
    <numFmt numFmtId="183" formatCode="#,##0.000000_);\(#,##0.000000\)"/>
    <numFmt numFmtId="184" formatCode="0.0000000"/>
    <numFmt numFmtId="185" formatCode="_(* #,##0.0000000_);_(* \(#,##0.0000000\);_(* &quot;-&quot;??_);_(@_)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rgb="FF0000FF"/>
      <name val="Arial"/>
      <family val="2"/>
    </font>
    <font>
      <sz val="10"/>
      <color indexed="21"/>
      <name val="Arial"/>
      <family val="2"/>
    </font>
    <font>
      <sz val="10"/>
      <color theme="1"/>
      <name val="Arial"/>
      <family val="2"/>
    </font>
    <font>
      <sz val="10"/>
      <color rgb="FF009999"/>
      <name val="Arial"/>
      <family val="2"/>
    </font>
    <font>
      <vertAlign val="superscript"/>
      <sz val="10"/>
      <name val="Arial"/>
      <family val="2"/>
    </font>
    <font>
      <sz val="10"/>
      <color rgb="FF006666"/>
      <name val="Arial"/>
      <family val="2"/>
    </font>
    <font>
      <sz val="10"/>
      <color rgb="FF008080"/>
      <name val="Arial"/>
      <family val="2"/>
    </font>
    <font>
      <b/>
      <sz val="10"/>
      <color indexed="12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rgb="FF008080"/>
      <name val="Calibri"/>
      <family val="2"/>
      <scheme val="minor"/>
    </font>
    <font>
      <u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0"/>
      <color rgb="FFFF0000"/>
      <name val="Arial"/>
      <family val="2"/>
    </font>
    <font>
      <b/>
      <i/>
      <sz val="10"/>
      <color rgb="FF0000FF"/>
      <name val="Arial"/>
      <family val="2"/>
    </font>
    <font>
      <b/>
      <sz val="10"/>
      <color theme="9" tint="-0.499984740745262"/>
      <name val="Arial"/>
      <family val="2"/>
    </font>
    <font>
      <sz val="10"/>
      <color theme="9" tint="-0.499984740745262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sz val="10"/>
      <color rgb="FF00B0F0"/>
      <name val="Arial"/>
      <family val="2"/>
    </font>
    <font>
      <u/>
      <sz val="10"/>
      <name val="Arial"/>
      <family val="2"/>
    </font>
    <font>
      <sz val="11"/>
      <color rgb="FF0000FF"/>
      <name val="Calibri"/>
      <family val="2"/>
    </font>
    <font>
      <sz val="10"/>
      <color theme="0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73">
    <xf numFmtId="0" fontId="0" fillId="0" borderId="0" xfId="0"/>
    <xf numFmtId="0" fontId="0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/>
    </xf>
    <xf numFmtId="3" fontId="7" fillId="0" borderId="2" xfId="0" applyNumberFormat="1" applyFont="1" applyFill="1" applyBorder="1"/>
    <xf numFmtId="3" fontId="7" fillId="0" borderId="0" xfId="0" applyNumberFormat="1" applyFont="1" applyFill="1"/>
    <xf numFmtId="3" fontId="3" fillId="0" borderId="0" xfId="0" applyNumberFormat="1" applyFont="1" applyFill="1"/>
    <xf numFmtId="166" fontId="1" fillId="0" borderId="0" xfId="0" applyNumberFormat="1" applyFont="1" applyFill="1"/>
    <xf numFmtId="166" fontId="1" fillId="0" borderId="0" xfId="0" applyNumberFormat="1" applyFont="1" applyFill="1" applyBorder="1"/>
    <xf numFmtId="164" fontId="1" fillId="0" borderId="0" xfId="0" applyNumberFormat="1" applyFont="1" applyFill="1" applyBorder="1"/>
    <xf numFmtId="42" fontId="1" fillId="0" borderId="0" xfId="0" applyNumberFormat="1" applyFont="1" applyFill="1" applyBorder="1"/>
    <xf numFmtId="42" fontId="3" fillId="0" borderId="0" xfId="0" applyNumberFormat="1" applyFont="1" applyFill="1" applyBorder="1"/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42" fontId="1" fillId="0" borderId="1" xfId="0" applyNumberFormat="1" applyFont="1" applyFill="1" applyBorder="1"/>
    <xf numFmtId="164" fontId="4" fillId="0" borderId="3" xfId="0" applyNumberFormat="1" applyFont="1" applyFill="1" applyBorder="1"/>
    <xf numFmtId="3" fontId="4" fillId="0" borderId="3" xfId="0" applyNumberFormat="1" applyFont="1" applyFill="1" applyBorder="1"/>
    <xf numFmtId="3" fontId="3" fillId="0" borderId="0" xfId="0" applyNumberFormat="1" applyFont="1" applyFill="1" applyBorder="1"/>
    <xf numFmtId="3" fontId="1" fillId="0" borderId="1" xfId="0" applyNumberFormat="1" applyFont="1" applyFill="1" applyBorder="1"/>
    <xf numFmtId="0" fontId="1" fillId="0" borderId="0" xfId="0" applyFont="1" applyFill="1" applyBorder="1" applyAlignment="1">
      <alignment horizontal="left" indent="1"/>
    </xf>
    <xf numFmtId="0" fontId="1" fillId="0" borderId="2" xfId="0" applyFont="1" applyFill="1" applyBorder="1" applyAlignment="1">
      <alignment horizontal="center"/>
    </xf>
    <xf numFmtId="3" fontId="1" fillId="0" borderId="7" xfId="0" applyNumberFormat="1" applyFont="1" applyFill="1" applyBorder="1"/>
    <xf numFmtId="3" fontId="1" fillId="0" borderId="8" xfId="0" applyNumberFormat="1" applyFont="1" applyFill="1" applyBorder="1"/>
    <xf numFmtId="0" fontId="1" fillId="0" borderId="9" xfId="0" applyFont="1" applyFill="1" applyBorder="1" applyAlignment="1">
      <alignment horizontal="center"/>
    </xf>
    <xf numFmtId="42" fontId="5" fillId="0" borderId="4" xfId="0" applyNumberFormat="1" applyFont="1" applyFill="1" applyBorder="1"/>
    <xf numFmtId="164" fontId="1" fillId="0" borderId="2" xfId="0" applyNumberFormat="1" applyFont="1" applyFill="1" applyBorder="1"/>
    <xf numFmtId="164" fontId="1" fillId="0" borderId="0" xfId="0" applyNumberFormat="1" applyFont="1" applyFill="1"/>
    <xf numFmtId="3" fontId="8" fillId="0" borderId="0" xfId="0" applyNumberFormat="1" applyFont="1" applyFill="1" applyAlignment="1">
      <alignment horizontal="right"/>
    </xf>
    <xf numFmtId="164" fontId="1" fillId="0" borderId="3" xfId="0" applyNumberFormat="1" applyFont="1" applyFill="1" applyBorder="1"/>
    <xf numFmtId="167" fontId="1" fillId="0" borderId="0" xfId="0" applyNumberFormat="1" applyFont="1" applyFill="1"/>
    <xf numFmtId="164" fontId="1" fillId="0" borderId="1" xfId="0" applyNumberFormat="1" applyFont="1" applyFill="1" applyBorder="1"/>
    <xf numFmtId="3" fontId="1" fillId="0" borderId="1" xfId="0" applyNumberFormat="1" applyFont="1" applyFill="1" applyBorder="1" applyAlignment="1">
      <alignment horizontal="right"/>
    </xf>
    <xf numFmtId="3" fontId="11" fillId="0" borderId="0" xfId="0" applyNumberFormat="1" applyFont="1" applyFill="1"/>
    <xf numFmtId="10" fontId="1" fillId="0" borderId="1" xfId="0" applyNumberFormat="1" applyFont="1" applyFill="1" applyBorder="1" applyAlignment="1">
      <alignment horizontal="right"/>
    </xf>
    <xf numFmtId="10" fontId="8" fillId="0" borderId="0" xfId="0" applyNumberFormat="1" applyFont="1" applyFill="1"/>
    <xf numFmtId="10" fontId="8" fillId="0" borderId="2" xfId="0" applyNumberFormat="1" applyFont="1" applyFill="1" applyBorder="1"/>
    <xf numFmtId="0" fontId="1" fillId="0" borderId="0" xfId="0" applyFont="1" applyAlignment="1">
      <alignment horizontal="centerContinuous"/>
    </xf>
    <xf numFmtId="3" fontId="1" fillId="0" borderId="0" xfId="0" applyNumberFormat="1" applyFont="1" applyFill="1"/>
    <xf numFmtId="0" fontId="1" fillId="0" borderId="0" xfId="0" applyFont="1" applyBorder="1"/>
    <xf numFmtId="0" fontId="1" fillId="0" borderId="0" xfId="0" quotePrefix="1" applyFont="1" applyAlignment="1">
      <alignment vertical="top"/>
    </xf>
    <xf numFmtId="0" fontId="5" fillId="0" borderId="0" xfId="0" applyFont="1"/>
    <xf numFmtId="41" fontId="1" fillId="0" borderId="0" xfId="0" quotePrefix="1" applyNumberFormat="1" applyFont="1" applyAlignment="1">
      <alignment horizontal="right"/>
    </xf>
    <xf numFmtId="3" fontId="1" fillId="0" borderId="0" xfId="0" applyNumberFormat="1" applyFont="1" applyFill="1" applyBorder="1"/>
    <xf numFmtId="168" fontId="8" fillId="0" borderId="2" xfId="0" applyNumberFormat="1" applyFont="1" applyFill="1" applyBorder="1"/>
    <xf numFmtId="168" fontId="1" fillId="0" borderId="0" xfId="0" applyNumberFormat="1" applyFont="1" applyFill="1"/>
    <xf numFmtId="0" fontId="1" fillId="0" borderId="0" xfId="0" applyFont="1" applyFill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44" fontId="1" fillId="0" borderId="0" xfId="0" applyNumberFormat="1" applyFont="1" applyFill="1"/>
    <xf numFmtId="42" fontId="12" fillId="0" borderId="0" xfId="0" applyNumberFormat="1" applyFont="1" applyFill="1"/>
    <xf numFmtId="165" fontId="8" fillId="0" borderId="0" xfId="0" applyNumberFormat="1" applyFont="1" applyFill="1"/>
    <xf numFmtId="164" fontId="7" fillId="0" borderId="0" xfId="0" applyNumberFormat="1" applyFont="1" applyFill="1"/>
    <xf numFmtId="164" fontId="12" fillId="0" borderId="0" xfId="0" applyNumberFormat="1" applyFont="1" applyFill="1"/>
    <xf numFmtId="3" fontId="7" fillId="0" borderId="0" xfId="0" applyNumberFormat="1" applyFont="1" applyFill="1" applyBorder="1"/>
    <xf numFmtId="10" fontId="1" fillId="0" borderId="0" xfId="0" applyNumberFormat="1" applyFont="1" applyFill="1"/>
    <xf numFmtId="8" fontId="1" fillId="0" borderId="0" xfId="0" applyNumberFormat="1" applyFont="1" applyFill="1"/>
    <xf numFmtId="3" fontId="12" fillId="0" borderId="1" xfId="0" applyNumberFormat="1" applyFont="1" applyFill="1" applyBorder="1"/>
    <xf numFmtId="3" fontId="8" fillId="0" borderId="0" xfId="0" applyNumberFormat="1" applyFont="1" applyFill="1"/>
    <xf numFmtId="3" fontId="8" fillId="0" borderId="3" xfId="0" applyNumberFormat="1" applyFont="1" applyFill="1" applyBorder="1"/>
    <xf numFmtId="168" fontId="12" fillId="0" borderId="0" xfId="0" applyNumberFormat="1" applyFont="1" applyFill="1"/>
    <xf numFmtId="0" fontId="1" fillId="0" borderId="0" xfId="0" applyFont="1" applyFill="1" applyAlignment="1">
      <alignment horizontal="centerContinuous"/>
    </xf>
    <xf numFmtId="10" fontId="8" fillId="0" borderId="3" xfId="0" applyNumberFormat="1" applyFont="1" applyFill="1" applyBorder="1"/>
    <xf numFmtId="0" fontId="2" fillId="0" borderId="0" xfId="0" applyFont="1" applyFill="1"/>
    <xf numFmtId="166" fontId="2" fillId="0" borderId="0" xfId="0" applyNumberFormat="1" applyFont="1" applyFill="1" applyBorder="1"/>
    <xf numFmtId="168" fontId="2" fillId="0" borderId="0" xfId="0" applyNumberFormat="1" applyFont="1" applyFill="1" applyBorder="1"/>
    <xf numFmtId="41" fontId="2" fillId="0" borderId="0" xfId="0" applyNumberFormat="1" applyFont="1" applyFill="1" applyBorder="1"/>
    <xf numFmtId="42" fontId="13" fillId="0" borderId="0" xfId="0" applyNumberFormat="1" applyFont="1" applyFill="1" applyBorder="1"/>
    <xf numFmtId="42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/>
    <xf numFmtId="0" fontId="2" fillId="0" borderId="0" xfId="0" applyFont="1" applyFill="1" applyAlignment="1">
      <alignment horizontal="centerContinuous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Continuous"/>
    </xf>
    <xf numFmtId="0" fontId="1" fillId="0" borderId="1" xfId="0" applyFont="1" applyFill="1" applyBorder="1"/>
    <xf numFmtId="0" fontId="1" fillId="0" borderId="20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172" fontId="7" fillId="0" borderId="10" xfId="0" applyNumberFormat="1" applyFont="1" applyFill="1" applyBorder="1" applyAlignment="1">
      <alignment horizontal="center"/>
    </xf>
    <xf numFmtId="175" fontId="1" fillId="0" borderId="0" xfId="0" applyNumberFormat="1" applyFont="1" applyFill="1" applyBorder="1"/>
    <xf numFmtId="0" fontId="1" fillId="0" borderId="16" xfId="0" applyFont="1" applyFill="1" applyBorder="1"/>
    <xf numFmtId="0" fontId="1" fillId="0" borderId="2" xfId="0" applyFont="1" applyFill="1" applyBorder="1"/>
    <xf numFmtId="172" fontId="1" fillId="0" borderId="2" xfId="0" applyNumberFormat="1" applyFont="1" applyFill="1" applyBorder="1"/>
    <xf numFmtId="3" fontId="1" fillId="0" borderId="2" xfId="0" applyNumberFormat="1" applyFont="1" applyFill="1" applyBorder="1"/>
    <xf numFmtId="165" fontId="1" fillId="0" borderId="17" xfId="0" applyNumberFormat="1" applyFont="1" applyFill="1" applyBorder="1"/>
    <xf numFmtId="172" fontId="1" fillId="0" borderId="0" xfId="0" applyNumberFormat="1" applyFont="1" applyFill="1"/>
    <xf numFmtId="172" fontId="1" fillId="0" borderId="0" xfId="0" applyNumberFormat="1" applyFont="1" applyFill="1" applyBorder="1"/>
    <xf numFmtId="165" fontId="1" fillId="0" borderId="0" xfId="0" applyNumberFormat="1" applyFont="1" applyFill="1" applyBorder="1"/>
    <xf numFmtId="0" fontId="2" fillId="0" borderId="18" xfId="0" applyFont="1" applyFill="1" applyBorder="1" applyProtection="1">
      <protection locked="0"/>
    </xf>
    <xf numFmtId="0" fontId="1" fillId="0" borderId="20" xfId="0" applyFont="1" applyFill="1" applyBorder="1"/>
    <xf numFmtId="3" fontId="1" fillId="0" borderId="0" xfId="0" applyNumberFormat="1" applyFont="1" applyFill="1" applyBorder="1" applyProtection="1">
      <protection locked="0"/>
    </xf>
    <xf numFmtId="165" fontId="1" fillId="0" borderId="21" xfId="0" applyNumberFormat="1" applyFont="1" applyFill="1" applyBorder="1" applyAlignment="1">
      <alignment horizontal="right"/>
    </xf>
    <xf numFmtId="172" fontId="1" fillId="0" borderId="0" xfId="0" applyNumberFormat="1" applyFont="1" applyFill="1" applyBorder="1" applyAlignment="1">
      <alignment horizontal="right"/>
    </xf>
    <xf numFmtId="174" fontId="1" fillId="0" borderId="0" xfId="0" applyNumberFormat="1" applyFont="1" applyFill="1" applyBorder="1"/>
    <xf numFmtId="165" fontId="1" fillId="0" borderId="21" xfId="0" applyNumberFormat="1" applyFont="1" applyFill="1" applyBorder="1"/>
    <xf numFmtId="0" fontId="2" fillId="0" borderId="20" xfId="0" applyFont="1" applyFill="1" applyBorder="1"/>
    <xf numFmtId="172" fontId="2" fillId="0" borderId="0" xfId="0" applyNumberFormat="1" applyFont="1" applyFill="1" applyBorder="1"/>
    <xf numFmtId="175" fontId="3" fillId="0" borderId="0" xfId="0" applyNumberFormat="1" applyFont="1" applyFill="1" applyBorder="1"/>
    <xf numFmtId="173" fontId="1" fillId="0" borderId="0" xfId="0" applyNumberFormat="1" applyFont="1" applyFill="1" applyBorder="1"/>
    <xf numFmtId="175" fontId="1" fillId="0" borderId="0" xfId="0" applyNumberFormat="1" applyFont="1" applyFill="1" applyAlignment="1">
      <alignment horizontal="center"/>
    </xf>
    <xf numFmtId="3" fontId="1" fillId="0" borderId="0" xfId="0" applyNumberFormat="1" applyFont="1" applyFill="1" applyBorder="1" applyAlignment="1" applyProtection="1">
      <alignment horizontal="center"/>
      <protection locked="0"/>
    </xf>
    <xf numFmtId="3" fontId="1" fillId="0" borderId="2" xfId="0" applyNumberFormat="1" applyFont="1" applyFill="1" applyBorder="1" applyAlignment="1">
      <alignment horizontal="center"/>
    </xf>
    <xf numFmtId="0" fontId="1" fillId="0" borderId="12" xfId="0" applyFont="1" applyFill="1" applyBorder="1"/>
    <xf numFmtId="3" fontId="1" fillId="0" borderId="0" xfId="0" applyNumberFormat="1" applyFont="1" applyFill="1" applyAlignment="1">
      <alignment horizontal="centerContinuous"/>
    </xf>
    <xf numFmtId="3" fontId="1" fillId="0" borderId="2" xfId="0" applyNumberFormat="1" applyFont="1" applyFill="1" applyBorder="1" applyAlignment="1"/>
    <xf numFmtId="172" fontId="1" fillId="0" borderId="5" xfId="0" applyNumberFormat="1" applyFont="1" applyFill="1" applyBorder="1" applyAlignment="1">
      <alignment horizontal="center"/>
    </xf>
    <xf numFmtId="172" fontId="1" fillId="0" borderId="1" xfId="0" applyNumberFormat="1" applyFont="1" applyFill="1" applyBorder="1"/>
    <xf numFmtId="10" fontId="3" fillId="0" borderId="0" xfId="0" applyNumberFormat="1" applyFont="1" applyFill="1" applyBorder="1" applyAlignment="1">
      <alignment horizontal="center"/>
    </xf>
    <xf numFmtId="178" fontId="1" fillId="0" borderId="0" xfId="0" applyNumberFormat="1" applyFont="1" applyFill="1" applyBorder="1"/>
    <xf numFmtId="9" fontId="1" fillId="0" borderId="0" xfId="0" applyNumberFormat="1" applyFont="1" applyFill="1" applyBorder="1"/>
    <xf numFmtId="174" fontId="1" fillId="0" borderId="2" xfId="0" applyNumberFormat="1" applyFont="1" applyFill="1" applyBorder="1" applyAlignment="1">
      <alignment horizontal="center"/>
    </xf>
    <xf numFmtId="172" fontId="1" fillId="0" borderId="2" xfId="0" applyNumberFormat="1" applyFont="1" applyFill="1" applyBorder="1" applyAlignment="1">
      <alignment horizontal="center"/>
    </xf>
    <xf numFmtId="9" fontId="1" fillId="0" borderId="2" xfId="0" applyNumberFormat="1" applyFont="1" applyFill="1" applyBorder="1"/>
    <xf numFmtId="175" fontId="6" fillId="0" borderId="0" xfId="0" applyNumberFormat="1" applyFont="1" applyFill="1" applyBorder="1"/>
    <xf numFmtId="174" fontId="3" fillId="0" borderId="0" xfId="0" applyNumberFormat="1" applyFont="1" applyFill="1" applyBorder="1"/>
    <xf numFmtId="0" fontId="8" fillId="0" borderId="6" xfId="0" applyFont="1" applyFill="1" applyBorder="1" applyAlignment="1">
      <alignment horizontal="center"/>
    </xf>
    <xf numFmtId="172" fontId="1" fillId="0" borderId="10" xfId="0" applyNumberFormat="1" applyFont="1" applyFill="1" applyBorder="1" applyAlignment="1">
      <alignment horizontal="center"/>
    </xf>
    <xf numFmtId="10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left"/>
    </xf>
    <xf numFmtId="174" fontId="1" fillId="0" borderId="0" xfId="0" applyNumberFormat="1" applyFont="1" applyFill="1" applyAlignment="1">
      <alignment horizontal="center"/>
    </xf>
    <xf numFmtId="172" fontId="1" fillId="0" borderId="0" xfId="0" applyNumberFormat="1" applyFont="1" applyFill="1" applyBorder="1" applyAlignment="1">
      <alignment horizontal="center"/>
    </xf>
    <xf numFmtId="179" fontId="1" fillId="0" borderId="0" xfId="0" applyNumberFormat="1" applyFont="1" applyFill="1"/>
    <xf numFmtId="3" fontId="1" fillId="0" borderId="0" xfId="0" applyNumberFormat="1" applyFont="1" applyFill="1" applyBorder="1" applyAlignment="1">
      <alignment horizontal="centerContinuous"/>
    </xf>
    <xf numFmtId="174" fontId="1" fillId="0" borderId="0" xfId="0" applyNumberFormat="1" applyFont="1" applyFill="1" applyAlignment="1">
      <alignment horizontal="centerContinuous"/>
    </xf>
    <xf numFmtId="3" fontId="1" fillId="0" borderId="1" xfId="0" applyNumberFormat="1" applyFont="1" applyFill="1" applyBorder="1" applyAlignment="1">
      <alignment horizontal="center"/>
    </xf>
    <xf numFmtId="9" fontId="3" fillId="0" borderId="0" xfId="0" applyNumberFormat="1" applyFont="1" applyFill="1" applyBorder="1"/>
    <xf numFmtId="165" fontId="1" fillId="0" borderId="19" xfId="0" applyNumberFormat="1" applyFont="1" applyFill="1" applyBorder="1" applyAlignment="1">
      <alignment horizontal="right"/>
    </xf>
    <xf numFmtId="174" fontId="1" fillId="0" borderId="2" xfId="0" applyNumberFormat="1" applyFont="1" applyFill="1" applyBorder="1"/>
    <xf numFmtId="174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Protection="1">
      <protection locked="0"/>
    </xf>
    <xf numFmtId="172" fontId="1" fillId="0" borderId="0" xfId="0" applyNumberFormat="1" applyFont="1" applyFill="1" applyBorder="1" applyProtection="1">
      <protection locked="0"/>
    </xf>
    <xf numFmtId="173" fontId="1" fillId="0" borderId="0" xfId="0" applyNumberFormat="1" applyFont="1" applyFill="1" applyBorder="1" applyAlignment="1">
      <alignment horizontal="left"/>
    </xf>
    <xf numFmtId="172" fontId="1" fillId="0" borderId="1" xfId="0" applyNumberFormat="1" applyFont="1" applyFill="1" applyBorder="1" applyAlignment="1">
      <alignment horizontal="right"/>
    </xf>
    <xf numFmtId="175" fontId="1" fillId="0" borderId="2" xfId="0" applyNumberFormat="1" applyFont="1" applyFill="1" applyBorder="1"/>
    <xf numFmtId="172" fontId="1" fillId="0" borderId="2" xfId="0" applyNumberFormat="1" applyFont="1" applyFill="1" applyBorder="1" applyAlignment="1">
      <alignment horizontal="right"/>
    </xf>
    <xf numFmtId="174" fontId="1" fillId="0" borderId="2" xfId="0" applyNumberFormat="1" applyFont="1" applyFill="1" applyBorder="1" applyAlignment="1">
      <alignment horizontal="right"/>
    </xf>
    <xf numFmtId="175" fontId="1" fillId="0" borderId="2" xfId="0" applyNumberFormat="1" applyFont="1" applyFill="1" applyBorder="1" applyAlignment="1">
      <alignment horizontal="right"/>
    </xf>
    <xf numFmtId="175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171" fontId="3" fillId="0" borderId="0" xfId="0" applyNumberFormat="1" applyFont="1" applyFill="1" applyBorder="1"/>
    <xf numFmtId="165" fontId="1" fillId="0" borderId="21" xfId="0" applyNumberFormat="1" applyFont="1" applyFill="1" applyBorder="1" applyAlignment="1">
      <alignment horizontal="center"/>
    </xf>
    <xf numFmtId="172" fontId="3" fillId="0" borderId="0" xfId="0" applyNumberFormat="1" applyFont="1" applyFill="1" applyBorder="1" applyAlignment="1">
      <alignment horizontal="right"/>
    </xf>
    <xf numFmtId="5" fontId="1" fillId="0" borderId="0" xfId="0" applyNumberFormat="1" applyFont="1" applyFill="1" applyBorder="1"/>
    <xf numFmtId="5" fontId="1" fillId="0" borderId="0" xfId="0" applyNumberFormat="1" applyFont="1" applyFill="1" applyBorder="1" applyAlignment="1">
      <alignment horizontal="center"/>
    </xf>
    <xf numFmtId="5" fontId="1" fillId="0" borderId="0" xfId="0" applyNumberFormat="1" applyFont="1" applyFill="1"/>
    <xf numFmtId="174" fontId="1" fillId="0" borderId="0" xfId="0" applyNumberFormat="1" applyFont="1" applyFill="1"/>
    <xf numFmtId="0" fontId="8" fillId="0" borderId="0" xfId="0" applyFont="1" applyFill="1" applyAlignment="1">
      <alignment horizontal="centerContinuous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41" fontId="1" fillId="0" borderId="0" xfId="0" applyNumberFormat="1" applyFont="1" applyFill="1" applyBorder="1"/>
    <xf numFmtId="0" fontId="2" fillId="0" borderId="0" xfId="0" applyFont="1" applyFill="1" applyAlignment="1"/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42" fontId="0" fillId="0" borderId="0" xfId="0" applyNumberFormat="1" applyBorder="1" applyAlignment="1">
      <alignment horizontal="center"/>
    </xf>
    <xf numFmtId="42" fontId="0" fillId="0" borderId="0" xfId="0" applyNumberFormat="1" applyFont="1" applyBorder="1" applyAlignment="1">
      <alignment horizontal="center"/>
    </xf>
    <xf numFmtId="42" fontId="19" fillId="0" borderId="0" xfId="0" applyNumberFormat="1" applyFont="1"/>
    <xf numFmtId="168" fontId="0" fillId="0" borderId="0" xfId="0" applyNumberFormat="1"/>
    <xf numFmtId="42" fontId="0" fillId="0" borderId="0" xfId="0" applyNumberFormat="1"/>
    <xf numFmtId="42" fontId="15" fillId="0" borderId="0" xfId="0" applyNumberFormat="1" applyFont="1"/>
    <xf numFmtId="10" fontId="0" fillId="0" borderId="0" xfId="0" applyNumberFormat="1" applyFont="1"/>
    <xf numFmtId="42" fontId="16" fillId="0" borderId="0" xfId="0" applyNumberFormat="1" applyFont="1"/>
    <xf numFmtId="168" fontId="0" fillId="0" borderId="2" xfId="0" applyNumberFormat="1" applyBorder="1"/>
    <xf numFmtId="3" fontId="0" fillId="0" borderId="1" xfId="0" applyNumberFormat="1" applyBorder="1"/>
    <xf numFmtId="42" fontId="0" fillId="0" borderId="1" xfId="0" applyNumberFormat="1" applyBorder="1"/>
    <xf numFmtId="42" fontId="15" fillId="0" borderId="1" xfId="0" applyNumberFormat="1" applyFont="1" applyBorder="1"/>
    <xf numFmtId="10" fontId="0" fillId="0" borderId="1" xfId="0" applyNumberFormat="1" applyFont="1" applyBorder="1"/>
    <xf numFmtId="3" fontId="0" fillId="0" borderId="0" xfId="0" applyNumberFormat="1"/>
    <xf numFmtId="10" fontId="0" fillId="0" borderId="0" xfId="0" applyNumberFormat="1"/>
    <xf numFmtId="0" fontId="20" fillId="0" borderId="0" xfId="0" applyFont="1" applyBorder="1" applyAlignment="1">
      <alignment horizontal="left"/>
    </xf>
    <xf numFmtId="0" fontId="21" fillId="0" borderId="0" xfId="0" applyFont="1" applyAlignment="1">
      <alignment horizontal="left"/>
    </xf>
    <xf numFmtId="3" fontId="22" fillId="0" borderId="0" xfId="0" applyNumberFormat="1" applyFont="1" applyBorder="1"/>
    <xf numFmtId="42" fontId="22" fillId="0" borderId="0" xfId="0" applyNumberFormat="1" applyFont="1" applyBorder="1"/>
    <xf numFmtId="0" fontId="22" fillId="0" borderId="0" xfId="0" applyFont="1"/>
    <xf numFmtId="42" fontId="22" fillId="0" borderId="0" xfId="0" applyNumberFormat="1" applyFont="1"/>
    <xf numFmtId="10" fontId="22" fillId="0" borderId="0" xfId="0" applyNumberFormat="1" applyFont="1"/>
    <xf numFmtId="0" fontId="22" fillId="0" borderId="0" xfId="0" applyFont="1" applyAlignment="1">
      <alignment horizontal="left"/>
    </xf>
    <xf numFmtId="164" fontId="22" fillId="0" borderId="0" xfId="0" applyNumberFormat="1" applyFont="1" applyFill="1"/>
    <xf numFmtId="166" fontId="22" fillId="0" borderId="0" xfId="0" applyNumberFormat="1" applyFont="1" applyFill="1"/>
    <xf numFmtId="0" fontId="22" fillId="0" borderId="0" xfId="0" applyFont="1" applyFill="1" applyBorder="1" applyAlignment="1">
      <alignment horizontal="left" vertical="center" textRotation="180"/>
    </xf>
    <xf numFmtId="0" fontId="22" fillId="0" borderId="0" xfId="0" applyFont="1" applyFill="1" applyBorder="1" applyAlignment="1">
      <alignment horizontal="left"/>
    </xf>
    <xf numFmtId="0" fontId="22" fillId="0" borderId="0" xfId="0" applyFont="1" applyBorder="1" applyAlignment="1">
      <alignment horizontal="left"/>
    </xf>
    <xf numFmtId="164" fontId="22" fillId="0" borderId="1" xfId="0" applyNumberFormat="1" applyFont="1" applyFill="1" applyBorder="1"/>
    <xf numFmtId="168" fontId="0" fillId="0" borderId="1" xfId="0" applyNumberFormat="1" applyBorder="1"/>
    <xf numFmtId="166" fontId="22" fillId="0" borderId="1" xfId="0" applyNumberFormat="1" applyFont="1" applyFill="1" applyBorder="1"/>
    <xf numFmtId="0" fontId="22" fillId="0" borderId="0" xfId="0" applyFont="1" applyFill="1"/>
    <xf numFmtId="0" fontId="22" fillId="0" borderId="0" xfId="0" applyFont="1" applyBorder="1"/>
    <xf numFmtId="44" fontId="22" fillId="0" borderId="0" xfId="0" applyNumberFormat="1" applyFont="1"/>
    <xf numFmtId="0" fontId="15" fillId="0" borderId="0" xfId="0" applyFont="1"/>
    <xf numFmtId="0" fontId="15" fillId="0" borderId="2" xfId="0" applyFont="1" applyBorder="1" applyAlignment="1">
      <alignment horizontal="centerContinuous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24" fillId="0" borderId="0" xfId="0" applyFont="1"/>
    <xf numFmtId="180" fontId="15" fillId="0" borderId="0" xfId="0" applyNumberFormat="1" applyFont="1"/>
    <xf numFmtId="0" fontId="24" fillId="0" borderId="0" xfId="0" applyFont="1" applyBorder="1"/>
    <xf numFmtId="44" fontId="24" fillId="0" borderId="0" xfId="0" applyNumberFormat="1" applyFont="1" applyBorder="1"/>
    <xf numFmtId="44" fontId="15" fillId="0" borderId="0" xfId="0" applyNumberFormat="1" applyFont="1"/>
    <xf numFmtId="44" fontId="15" fillId="0" borderId="0" xfId="0" applyNumberFormat="1" applyFont="1" applyBorder="1"/>
    <xf numFmtId="44" fontId="15" fillId="0" borderId="1" xfId="0" applyNumberFormat="1" applyFont="1" applyBorder="1"/>
    <xf numFmtId="44" fontId="24" fillId="0" borderId="0" xfId="0" applyNumberFormat="1" applyFont="1"/>
    <xf numFmtId="0" fontId="15" fillId="0" borderId="0" xfId="0" applyFont="1" applyBorder="1"/>
    <xf numFmtId="167" fontId="19" fillId="0" borderId="0" xfId="0" applyNumberFormat="1" applyFont="1"/>
    <xf numFmtId="167" fontId="24" fillId="0" borderId="0" xfId="0" applyNumberFormat="1" applyFont="1" applyBorder="1"/>
    <xf numFmtId="167" fontId="15" fillId="0" borderId="0" xfId="0" applyNumberFormat="1" applyFont="1"/>
    <xf numFmtId="167" fontId="0" fillId="0" borderId="0" xfId="0" applyNumberFormat="1" applyFont="1"/>
    <xf numFmtId="167" fontId="15" fillId="0" borderId="1" xfId="0" applyNumberFormat="1" applyFont="1" applyBorder="1"/>
    <xf numFmtId="167" fontId="0" fillId="0" borderId="0" xfId="0" applyNumberFormat="1" applyFont="1" applyFill="1"/>
    <xf numFmtId="180" fontId="15" fillId="0" borderId="1" xfId="0" applyNumberFormat="1" applyFont="1" applyBorder="1"/>
    <xf numFmtId="167" fontId="15" fillId="0" borderId="0" xfId="0" applyNumberFormat="1" applyFont="1" applyBorder="1"/>
    <xf numFmtId="165" fontId="15" fillId="0" borderId="0" xfId="0" applyNumberFormat="1" applyFont="1"/>
    <xf numFmtId="165" fontId="15" fillId="0" borderId="0" xfId="0" applyNumberFormat="1" applyFont="1" applyBorder="1"/>
    <xf numFmtId="10" fontId="15" fillId="0" borderId="0" xfId="0" applyNumberFormat="1" applyFont="1"/>
    <xf numFmtId="0" fontId="15" fillId="0" borderId="0" xfId="0" applyFont="1" applyFill="1" applyAlignment="1"/>
    <xf numFmtId="0" fontId="15" fillId="0" borderId="0" xfId="0" applyFont="1" applyAlignment="1"/>
    <xf numFmtId="0" fontId="0" fillId="0" borderId="0" xfId="0" applyFont="1" applyBorder="1" applyAlignment="1">
      <alignment horizontal="center"/>
    </xf>
    <xf numFmtId="164" fontId="0" fillId="0" borderId="0" xfId="0" applyNumberFormat="1" applyFont="1" applyBorder="1"/>
    <xf numFmtId="164" fontId="0" fillId="0" borderId="0" xfId="0" applyNumberFormat="1" applyFont="1"/>
    <xf numFmtId="0" fontId="15" fillId="0" borderId="2" xfId="0" applyFont="1" applyFill="1" applyBorder="1" applyAlignment="1">
      <alignment horizontal="center"/>
    </xf>
    <xf numFmtId="168" fontId="16" fillId="0" borderId="0" xfId="0" applyNumberFormat="1" applyFont="1"/>
    <xf numFmtId="164" fontId="15" fillId="0" borderId="0" xfId="0" applyNumberFormat="1" applyFont="1"/>
    <xf numFmtId="3" fontId="15" fillId="0" borderId="0" xfId="0" applyNumberFormat="1" applyFont="1"/>
    <xf numFmtId="168" fontId="16" fillId="0" borderId="0" xfId="0" applyNumberFormat="1" applyFont="1" applyBorder="1"/>
    <xf numFmtId="3" fontId="15" fillId="0" borderId="1" xfId="0" applyNumberFormat="1" applyFont="1" applyFill="1" applyBorder="1"/>
    <xf numFmtId="164" fontId="0" fillId="0" borderId="1" xfId="0" applyNumberFormat="1" applyFont="1" applyBorder="1"/>
    <xf numFmtId="165" fontId="15" fillId="0" borderId="1" xfId="0" applyNumberFormat="1" applyFont="1" applyBorder="1"/>
    <xf numFmtId="3" fontId="15" fillId="0" borderId="0" xfId="0" applyNumberFormat="1" applyFont="1" applyFill="1"/>
    <xf numFmtId="8" fontId="15" fillId="0" borderId="0" xfId="0" applyNumberFormat="1" applyFont="1"/>
    <xf numFmtId="168" fontId="16" fillId="0" borderId="0" xfId="0" applyNumberFormat="1" applyFont="1" applyFill="1"/>
    <xf numFmtId="3" fontId="15" fillId="0" borderId="2" xfId="0" applyNumberFormat="1" applyFont="1" applyBorder="1"/>
    <xf numFmtId="168" fontId="16" fillId="0" borderId="2" xfId="0" applyNumberFormat="1" applyFont="1" applyFill="1" applyBorder="1"/>
    <xf numFmtId="164" fontId="0" fillId="0" borderId="2" xfId="0" applyNumberFormat="1" applyFont="1" applyBorder="1"/>
    <xf numFmtId="3" fontId="15" fillId="0" borderId="1" xfId="0" applyNumberFormat="1" applyFont="1" applyBorder="1"/>
    <xf numFmtId="0" fontId="15" fillId="0" borderId="0" xfId="0" applyFont="1" applyFill="1" applyBorder="1"/>
    <xf numFmtId="164" fontId="15" fillId="0" borderId="0" xfId="0" applyNumberFormat="1" applyFont="1" applyBorder="1"/>
    <xf numFmtId="0" fontId="15" fillId="0" borderId="0" xfId="0" applyFont="1" applyFill="1"/>
    <xf numFmtId="0" fontId="15" fillId="0" borderId="0" xfId="0" quotePrefix="1" applyFont="1" applyAlignment="1">
      <alignment vertical="top"/>
    </xf>
    <xf numFmtId="0" fontId="25" fillId="0" borderId="0" xfId="0" applyFont="1"/>
    <xf numFmtId="0" fontId="25" fillId="0" borderId="0" xfId="0" applyFont="1" applyFill="1"/>
    <xf numFmtId="41" fontId="15" fillId="0" borderId="0" xfId="0" quotePrefix="1" applyNumberFormat="1" applyFont="1" applyAlignment="1">
      <alignment horizontal="right"/>
    </xf>
    <xf numFmtId="0" fontId="15" fillId="0" borderId="0" xfId="0" applyFont="1" applyFill="1" applyBorder="1" applyAlignment="1">
      <alignment horizontal="left"/>
    </xf>
    <xf numFmtId="3" fontId="15" fillId="0" borderId="0" xfId="0" applyNumberFormat="1" applyFont="1" applyFill="1" applyBorder="1"/>
    <xf numFmtId="168" fontId="4" fillId="0" borderId="0" xfId="0" applyNumberFormat="1" applyFont="1" applyFill="1" applyBorder="1"/>
    <xf numFmtId="168" fontId="19" fillId="0" borderId="0" xfId="0" applyNumberFormat="1" applyFont="1"/>
    <xf numFmtId="168" fontId="19" fillId="0" borderId="0" xfId="0" applyNumberFormat="1" applyFont="1" applyBorder="1"/>
    <xf numFmtId="0" fontId="15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6" fillId="0" borderId="2" xfId="0" quotePrefix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5" fillId="0" borderId="0" xfId="0" applyFont="1" applyFill="1" applyAlignment="1">
      <alignment horizontal="centerContinuous"/>
    </xf>
    <xf numFmtId="0" fontId="15" fillId="0" borderId="0" xfId="0" applyFont="1" applyBorder="1" applyAlignment="1">
      <alignment horizontal="centerContinuous"/>
    </xf>
    <xf numFmtId="0" fontId="14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"/>
    </xf>
    <xf numFmtId="164" fontId="8" fillId="0" borderId="0" xfId="0" applyNumberFormat="1" applyFont="1" applyFill="1"/>
    <xf numFmtId="168" fontId="8" fillId="0" borderId="0" xfId="0" applyNumberFormat="1" applyFont="1" applyFill="1"/>
    <xf numFmtId="166" fontId="8" fillId="0" borderId="0" xfId="0" applyNumberFormat="1" applyFont="1" applyFill="1"/>
    <xf numFmtId="169" fontId="1" fillId="0" borderId="0" xfId="0" applyNumberFormat="1" applyFont="1" applyFill="1"/>
    <xf numFmtId="3" fontId="9" fillId="0" borderId="0" xfId="0" applyNumberFormat="1" applyFont="1" applyFill="1"/>
    <xf numFmtId="164" fontId="3" fillId="0" borderId="0" xfId="0" applyNumberFormat="1" applyFont="1" applyFill="1"/>
    <xf numFmtId="164" fontId="8" fillId="0" borderId="0" xfId="0" applyNumberFormat="1" applyFont="1" applyFill="1" applyBorder="1"/>
    <xf numFmtId="168" fontId="7" fillId="0" borderId="0" xfId="0" applyNumberFormat="1" applyFont="1" applyFill="1" applyBorder="1"/>
    <xf numFmtId="169" fontId="8" fillId="0" borderId="0" xfId="0" applyNumberFormat="1" applyFont="1" applyFill="1"/>
    <xf numFmtId="168" fontId="7" fillId="0" borderId="0" xfId="0" applyNumberFormat="1" applyFont="1" applyFill="1"/>
    <xf numFmtId="165" fontId="8" fillId="0" borderId="2" xfId="0" applyNumberFormat="1" applyFont="1" applyFill="1" applyBorder="1"/>
    <xf numFmtId="164" fontId="8" fillId="0" borderId="2" xfId="0" applyNumberFormat="1" applyFont="1" applyFill="1" applyBorder="1"/>
    <xf numFmtId="168" fontId="1" fillId="0" borderId="0" xfId="0" applyNumberFormat="1" applyFont="1" applyFill="1" applyBorder="1"/>
    <xf numFmtId="164" fontId="5" fillId="0" borderId="6" xfId="0" applyNumberFormat="1" applyFont="1" applyFill="1" applyBorder="1"/>
    <xf numFmtId="10" fontId="5" fillId="0" borderId="5" xfId="0" applyNumberFormat="1" applyFont="1" applyFill="1" applyBorder="1"/>
    <xf numFmtId="0" fontId="10" fillId="0" borderId="0" xfId="0" quotePrefix="1" applyFont="1" applyFill="1" applyAlignment="1">
      <alignment horizontal="center" vertical="top"/>
    </xf>
    <xf numFmtId="0" fontId="1" fillId="0" borderId="0" xfId="0" quotePrefix="1" applyFont="1" applyFill="1" applyAlignment="1">
      <alignment horizontal="left"/>
    </xf>
    <xf numFmtId="0" fontId="1" fillId="0" borderId="0" xfId="0" applyFont="1" applyFill="1" applyAlignment="1">
      <alignment vertical="top" wrapText="1"/>
    </xf>
    <xf numFmtId="3" fontId="12" fillId="0" borderId="0" xfId="0" applyNumberFormat="1" applyFont="1" applyFill="1"/>
    <xf numFmtId="0" fontId="1" fillId="0" borderId="3" xfId="0" applyFont="1" applyFill="1" applyBorder="1"/>
    <xf numFmtId="3" fontId="8" fillId="0" borderId="1" xfId="0" applyNumberFormat="1" applyFont="1" applyFill="1" applyBorder="1"/>
    <xf numFmtId="0" fontId="10" fillId="0" borderId="0" xfId="0" quotePrefix="1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8" fillId="0" borderId="0" xfId="0" applyFont="1" applyFill="1" applyAlignment="1"/>
    <xf numFmtId="0" fontId="26" fillId="0" borderId="0" xfId="0" applyFont="1" applyFill="1"/>
    <xf numFmtId="168" fontId="6" fillId="0" borderId="0" xfId="0" applyNumberFormat="1" applyFont="1" applyFill="1"/>
    <xf numFmtId="42" fontId="1" fillId="0" borderId="0" xfId="0" applyNumberFormat="1" applyFont="1" applyFill="1"/>
    <xf numFmtId="9" fontId="8" fillId="0" borderId="0" xfId="0" applyNumberFormat="1" applyFont="1" applyFill="1"/>
    <xf numFmtId="0" fontId="12" fillId="0" borderId="0" xfId="0" applyFont="1" applyFill="1"/>
    <xf numFmtId="0" fontId="1" fillId="0" borderId="0" xfId="0" applyFont="1" applyFill="1" applyAlignment="1">
      <alignment horizontal="left" indent="1"/>
    </xf>
    <xf numFmtId="42" fontId="12" fillId="0" borderId="0" xfId="0" applyNumberFormat="1" applyFont="1" applyFill="1" applyBorder="1"/>
    <xf numFmtId="168" fontId="12" fillId="0" borderId="0" xfId="0" applyNumberFormat="1" applyFont="1" applyFill="1" applyBorder="1"/>
    <xf numFmtId="168" fontId="6" fillId="0" borderId="0" xfId="0" applyNumberFormat="1" applyFont="1" applyFill="1" applyBorder="1"/>
    <xf numFmtId="42" fontId="1" fillId="0" borderId="2" xfId="0" applyNumberFormat="1" applyFont="1" applyFill="1" applyBorder="1"/>
    <xf numFmtId="164" fontId="4" fillId="0" borderId="0" xfId="0" applyNumberFormat="1" applyFont="1" applyFill="1"/>
    <xf numFmtId="164" fontId="4" fillId="0" borderId="0" xfId="0" applyNumberFormat="1" applyFont="1" applyFill="1" applyBorder="1"/>
    <xf numFmtId="0" fontId="2" fillId="0" borderId="0" xfId="0" applyFont="1" applyFill="1" applyAlignment="1">
      <alignment wrapText="1"/>
    </xf>
    <xf numFmtId="170" fontId="1" fillId="0" borderId="0" xfId="0" applyNumberFormat="1" applyFont="1" applyFill="1" applyBorder="1"/>
    <xf numFmtId="174" fontId="1" fillId="0" borderId="0" xfId="0" applyNumberFormat="1" applyFont="1" applyFill="1" applyBorder="1" applyAlignment="1">
      <alignment horizontal="centerContinuous"/>
    </xf>
    <xf numFmtId="0" fontId="1" fillId="0" borderId="16" xfId="0" applyFont="1" applyFill="1" applyBorder="1" applyAlignment="1">
      <alignment horizontal="center"/>
    </xf>
    <xf numFmtId="0" fontId="2" fillId="0" borderId="16" xfId="0" applyFont="1" applyFill="1" applyBorder="1"/>
    <xf numFmtId="172" fontId="1" fillId="0" borderId="21" xfId="0" applyNumberFormat="1" applyFont="1" applyFill="1" applyBorder="1" applyAlignment="1">
      <alignment horizontal="right"/>
    </xf>
    <xf numFmtId="5" fontId="1" fillId="0" borderId="1" xfId="0" applyNumberFormat="1" applyFont="1" applyFill="1" applyBorder="1"/>
    <xf numFmtId="5" fontId="7" fillId="0" borderId="0" xfId="0" applyNumberFormat="1" applyFont="1" applyFill="1"/>
    <xf numFmtId="41" fontId="7" fillId="0" borderId="0" xfId="0" applyNumberFormat="1" applyFont="1" applyFill="1"/>
    <xf numFmtId="3" fontId="16" fillId="0" borderId="0" xfId="0" applyNumberFormat="1" applyFont="1"/>
    <xf numFmtId="3" fontId="16" fillId="0" borderId="0" xfId="0" applyNumberFormat="1" applyFont="1" applyFill="1"/>
    <xf numFmtId="3" fontId="16" fillId="0" borderId="0" xfId="0" quotePrefix="1" applyNumberFormat="1" applyFont="1" applyFill="1"/>
    <xf numFmtId="44" fontId="16" fillId="0" borderId="0" xfId="0" applyNumberFormat="1" applyFont="1"/>
    <xf numFmtId="167" fontId="16" fillId="0" borderId="0" xfId="0" applyNumberFormat="1" applyFont="1"/>
    <xf numFmtId="167" fontId="16" fillId="0" borderId="0" xfId="0" applyNumberFormat="1" applyFont="1" applyFill="1"/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/>
    <xf numFmtId="172" fontId="1" fillId="0" borderId="0" xfId="0" applyNumberFormat="1" applyFont="1" applyAlignment="1">
      <alignment horizontal="centerContinuous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2" fillId="0" borderId="0" xfId="0" applyFont="1"/>
    <xf numFmtId="3" fontId="1" fillId="0" borderId="0" xfId="0" applyNumberFormat="1" applyFont="1" applyBorder="1"/>
    <xf numFmtId="174" fontId="1" fillId="0" borderId="0" xfId="0" applyNumberFormat="1" applyFont="1"/>
    <xf numFmtId="174" fontId="1" fillId="0" borderId="0" xfId="0" applyNumberFormat="1" applyFont="1" applyBorder="1"/>
    <xf numFmtId="172" fontId="1" fillId="0" borderId="0" xfId="0" applyNumberFormat="1" applyFont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4" fontId="1" fillId="0" borderId="3" xfId="0" applyNumberFormat="1" applyFont="1" applyBorder="1" applyAlignment="1">
      <alignment horizontal="centerContinuous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Continuous"/>
    </xf>
    <xf numFmtId="174" fontId="1" fillId="0" borderId="1" xfId="0" applyNumberFormat="1" applyFont="1" applyBorder="1" applyAlignment="1">
      <alignment horizontal="left"/>
    </xf>
    <xf numFmtId="174" fontId="1" fillId="0" borderId="15" xfId="0" applyNumberFormat="1" applyFont="1" applyBorder="1" applyAlignment="1">
      <alignment horizontal="centerContinuous"/>
    </xf>
    <xf numFmtId="174" fontId="1" fillId="0" borderId="0" xfId="0" applyNumberFormat="1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74" fontId="1" fillId="0" borderId="2" xfId="0" applyNumberFormat="1" applyFont="1" applyBorder="1" applyAlignment="1">
      <alignment horizontal="center"/>
    </xf>
    <xf numFmtId="173" fontId="1" fillId="0" borderId="17" xfId="0" applyNumberFormat="1" applyFont="1" applyBorder="1" applyAlignment="1">
      <alignment horizontal="center"/>
    </xf>
    <xf numFmtId="173" fontId="1" fillId="0" borderId="0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72" fontId="1" fillId="0" borderId="0" xfId="0" applyNumberFormat="1" applyFont="1" applyBorder="1" applyAlignment="1">
      <alignment horizontal="right"/>
    </xf>
    <xf numFmtId="0" fontId="2" fillId="0" borderId="18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1" fillId="0" borderId="3" xfId="0" applyFont="1" applyBorder="1"/>
    <xf numFmtId="3" fontId="1" fillId="0" borderId="3" xfId="0" applyNumberFormat="1" applyFont="1" applyBorder="1"/>
    <xf numFmtId="172" fontId="1" fillId="0" borderId="3" xfId="0" applyNumberFormat="1" applyFont="1" applyBorder="1"/>
    <xf numFmtId="165" fontId="1" fillId="0" borderId="15" xfId="0" applyNumberFormat="1" applyFont="1" applyBorder="1" applyAlignment="1">
      <alignment horizontal="right"/>
    </xf>
    <xf numFmtId="0" fontId="1" fillId="0" borderId="20" xfId="0" applyFont="1" applyBorder="1"/>
    <xf numFmtId="3" fontId="1" fillId="0" borderId="0" xfId="0" applyNumberFormat="1" applyFont="1" applyBorder="1" applyProtection="1">
      <protection locked="0"/>
    </xf>
    <xf numFmtId="172" fontId="1" fillId="0" borderId="0" xfId="0" applyNumberFormat="1" applyFont="1" applyBorder="1"/>
    <xf numFmtId="165" fontId="1" fillId="0" borderId="21" xfId="0" applyNumberFormat="1" applyFont="1" applyBorder="1" applyAlignment="1">
      <alignment horizontal="right"/>
    </xf>
    <xf numFmtId="174" fontId="6" fillId="0" borderId="0" xfId="0" applyNumberFormat="1" applyFont="1" applyFill="1" applyBorder="1"/>
    <xf numFmtId="165" fontId="1" fillId="0" borderId="21" xfId="0" applyNumberFormat="1" applyFont="1" applyBorder="1"/>
    <xf numFmtId="172" fontId="12" fillId="0" borderId="10" xfId="0" applyNumberFormat="1" applyFont="1" applyFill="1" applyBorder="1" applyAlignment="1">
      <alignment horizontal="center"/>
    </xf>
    <xf numFmtId="172" fontId="1" fillId="0" borderId="10" xfId="0" applyNumberFormat="1" applyFont="1" applyBorder="1" applyAlignment="1">
      <alignment horizontal="center"/>
    </xf>
    <xf numFmtId="0" fontId="2" fillId="0" borderId="20" xfId="0" applyFont="1" applyBorder="1"/>
    <xf numFmtId="0" fontId="1" fillId="0" borderId="0" xfId="0" applyFont="1" applyBorder="1" applyProtection="1">
      <protection locked="0"/>
    </xf>
    <xf numFmtId="172" fontId="1" fillId="0" borderId="1" xfId="0" applyNumberFormat="1" applyFont="1" applyBorder="1"/>
    <xf numFmtId="165" fontId="1" fillId="0" borderId="19" xfId="0" applyNumberFormat="1" applyFont="1" applyBorder="1"/>
    <xf numFmtId="172" fontId="1" fillId="0" borderId="5" xfId="0" applyNumberFormat="1" applyFont="1" applyBorder="1" applyAlignment="1">
      <alignment horizontal="center"/>
    </xf>
    <xf numFmtId="0" fontId="2" fillId="0" borderId="0" xfId="0" applyFont="1" applyBorder="1"/>
    <xf numFmtId="172" fontId="2" fillId="0" borderId="0" xfId="0" applyNumberFormat="1" applyFont="1" applyBorder="1"/>
    <xf numFmtId="173" fontId="1" fillId="0" borderId="0" xfId="0" applyNumberFormat="1" applyFont="1" applyBorder="1"/>
    <xf numFmtId="0" fontId="1" fillId="0" borderId="20" xfId="0" applyFont="1" applyBorder="1" applyProtection="1">
      <protection locked="0"/>
    </xf>
    <xf numFmtId="10" fontId="12" fillId="0" borderId="0" xfId="0" applyNumberFormat="1" applyFont="1" applyBorder="1" applyAlignment="1">
      <alignment horizontal="center"/>
    </xf>
    <xf numFmtId="0" fontId="2" fillId="0" borderId="3" xfId="0" applyFont="1" applyFill="1" applyBorder="1" applyProtection="1">
      <protection locked="0"/>
    </xf>
    <xf numFmtId="165" fontId="1" fillId="0" borderId="15" xfId="0" applyNumberFormat="1" applyFont="1" applyBorder="1"/>
    <xf numFmtId="0" fontId="1" fillId="0" borderId="0" xfId="0" applyFont="1" applyBorder="1" applyAlignment="1">
      <alignment horizontal="center"/>
    </xf>
    <xf numFmtId="172" fontId="1" fillId="0" borderId="0" xfId="0" applyNumberFormat="1" applyFont="1" applyBorder="1" applyAlignment="1">
      <alignment horizontal="center"/>
    </xf>
    <xf numFmtId="181" fontId="1" fillId="0" borderId="0" xfId="0" applyNumberFormat="1" applyFont="1" applyFill="1" applyBorder="1" applyAlignment="1">
      <alignment horizontal="center"/>
    </xf>
    <xf numFmtId="181" fontId="1" fillId="0" borderId="0" xfId="0" applyNumberFormat="1" applyFont="1" applyFill="1" applyAlignment="1">
      <alignment horizontal="center"/>
    </xf>
    <xf numFmtId="181" fontId="1" fillId="0" borderId="0" xfId="0" applyNumberFormat="1" applyFont="1" applyFill="1"/>
    <xf numFmtId="3" fontId="1" fillId="0" borderId="0" xfId="0" applyNumberFormat="1" applyFont="1" applyBorder="1" applyAlignment="1" applyProtection="1">
      <alignment horizontal="center"/>
      <protection locked="0"/>
    </xf>
    <xf numFmtId="176" fontId="1" fillId="0" borderId="0" xfId="0" applyNumberFormat="1" applyFont="1" applyBorder="1" applyAlignment="1">
      <alignment horizontal="right"/>
    </xf>
    <xf numFmtId="0" fontId="2" fillId="0" borderId="16" xfId="0" applyFont="1" applyBorder="1"/>
    <xf numFmtId="0" fontId="2" fillId="0" borderId="2" xfId="0" applyFont="1" applyBorder="1"/>
    <xf numFmtId="172" fontId="2" fillId="0" borderId="2" xfId="0" applyNumberFormat="1" applyFont="1" applyBorder="1"/>
    <xf numFmtId="3" fontId="1" fillId="0" borderId="2" xfId="0" applyNumberFormat="1" applyFont="1" applyBorder="1"/>
    <xf numFmtId="0" fontId="1" fillId="0" borderId="2" xfId="0" applyFont="1" applyBorder="1"/>
    <xf numFmtId="174" fontId="1" fillId="0" borderId="2" xfId="0" applyNumberFormat="1" applyFont="1" applyBorder="1"/>
    <xf numFmtId="165" fontId="1" fillId="0" borderId="17" xfId="0" applyNumberFormat="1" applyFont="1" applyBorder="1" applyAlignment="1">
      <alignment horizontal="right"/>
    </xf>
    <xf numFmtId="165" fontId="1" fillId="0" borderId="0" xfId="0" applyNumberFormat="1" applyFont="1" applyAlignment="1">
      <alignment horizontal="right"/>
    </xf>
    <xf numFmtId="166" fontId="1" fillId="0" borderId="0" xfId="0" applyNumberFormat="1" applyFont="1"/>
    <xf numFmtId="172" fontId="1" fillId="0" borderId="0" xfId="0" applyNumberFormat="1" applyFont="1"/>
    <xf numFmtId="165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164" fontId="1" fillId="0" borderId="12" xfId="0" applyNumberFormat="1" applyFont="1" applyBorder="1"/>
    <xf numFmtId="172" fontId="1" fillId="0" borderId="13" xfId="0" applyNumberFormat="1" applyFont="1" applyFill="1" applyBorder="1"/>
    <xf numFmtId="0" fontId="27" fillId="0" borderId="0" xfId="0" applyFont="1" applyFill="1"/>
    <xf numFmtId="173" fontId="1" fillId="0" borderId="0" xfId="0" applyNumberFormat="1" applyFont="1" applyAlignment="1">
      <alignment horizontal="left"/>
    </xf>
    <xf numFmtId="173" fontId="1" fillId="0" borderId="0" xfId="0" applyNumberFormat="1" applyFont="1"/>
    <xf numFmtId="17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173" fontId="1" fillId="0" borderId="0" xfId="0" applyNumberFormat="1" applyFont="1" applyAlignment="1">
      <alignment horizontal="centerContinuous"/>
    </xf>
    <xf numFmtId="173" fontId="1" fillId="0" borderId="0" xfId="0" applyNumberFormat="1" applyFont="1" applyBorder="1" applyAlignment="1">
      <alignment horizontal="centerContinuous"/>
    </xf>
    <xf numFmtId="0" fontId="1" fillId="0" borderId="0" xfId="0" applyFont="1" applyAlignment="1"/>
    <xf numFmtId="174" fontId="1" fillId="0" borderId="0" xfId="0" applyNumberFormat="1" applyFont="1" applyAlignment="1"/>
    <xf numFmtId="165" fontId="1" fillId="0" borderId="0" xfId="0" applyNumberFormat="1" applyFont="1" applyAlignment="1"/>
    <xf numFmtId="165" fontId="1" fillId="0" borderId="17" xfId="0" applyNumberFormat="1" applyFont="1" applyBorder="1" applyAlignment="1">
      <alignment horizontal="center"/>
    </xf>
    <xf numFmtId="173" fontId="1" fillId="0" borderId="0" xfId="0" applyNumberFormat="1" applyFont="1" applyBorder="1" applyAlignment="1">
      <alignment horizontal="left"/>
    </xf>
    <xf numFmtId="174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1" fillId="0" borderId="3" xfId="0" applyFont="1" applyBorder="1" applyProtection="1">
      <protection locked="0"/>
    </xf>
    <xf numFmtId="3" fontId="1" fillId="0" borderId="3" xfId="0" applyNumberFormat="1" applyFont="1" applyFill="1" applyBorder="1"/>
    <xf numFmtId="165" fontId="1" fillId="0" borderId="0" xfId="0" applyNumberFormat="1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174" fontId="1" fillId="0" borderId="0" xfId="0" applyNumberFormat="1" applyFont="1" applyBorder="1" applyAlignment="1">
      <alignment horizontal="right"/>
    </xf>
    <xf numFmtId="10" fontId="12" fillId="0" borderId="4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2" xfId="0" applyFont="1" applyBorder="1" applyProtection="1">
      <protection locked="0"/>
    </xf>
    <xf numFmtId="172" fontId="1" fillId="0" borderId="2" xfId="0" applyNumberFormat="1" applyFont="1" applyBorder="1"/>
    <xf numFmtId="165" fontId="1" fillId="0" borderId="17" xfId="0" applyNumberFormat="1" applyFont="1" applyBorder="1"/>
    <xf numFmtId="165" fontId="1" fillId="0" borderId="0" xfId="0" applyNumberFormat="1" applyFont="1" applyBorder="1"/>
    <xf numFmtId="165" fontId="1" fillId="0" borderId="21" xfId="0" applyNumberFormat="1" applyFont="1" applyBorder="1" applyAlignment="1">
      <alignment horizontal="center"/>
    </xf>
    <xf numFmtId="168" fontId="1" fillId="0" borderId="0" xfId="0" applyNumberFormat="1" applyFont="1" applyBorder="1"/>
    <xf numFmtId="172" fontId="1" fillId="0" borderId="1" xfId="0" applyNumberFormat="1" applyFont="1" applyBorder="1" applyAlignment="1">
      <alignment horizontal="right"/>
    </xf>
    <xf numFmtId="8" fontId="1" fillId="0" borderId="0" xfId="0" applyNumberFormat="1" applyFont="1" applyBorder="1"/>
    <xf numFmtId="175" fontId="1" fillId="0" borderId="0" xfId="0" applyNumberFormat="1" applyFont="1" applyAlignment="1">
      <alignment horizontal="center"/>
    </xf>
    <xf numFmtId="172" fontId="1" fillId="0" borderId="2" xfId="0" applyNumberFormat="1" applyFont="1" applyBorder="1" applyAlignment="1">
      <alignment horizontal="center"/>
    </xf>
    <xf numFmtId="179" fontId="1" fillId="0" borderId="0" xfId="0" applyNumberFormat="1" applyFont="1"/>
    <xf numFmtId="179" fontId="1" fillId="0" borderId="0" xfId="0" applyNumberFormat="1" applyFont="1" applyBorder="1"/>
    <xf numFmtId="179" fontId="1" fillId="0" borderId="0" xfId="0" applyNumberFormat="1" applyFont="1" applyAlignment="1">
      <alignment horizontal="left"/>
    </xf>
    <xf numFmtId="3" fontId="1" fillId="0" borderId="0" xfId="0" applyNumberFormat="1" applyFont="1"/>
    <xf numFmtId="166" fontId="1" fillId="0" borderId="1" xfId="0" applyNumberFormat="1" applyFont="1" applyBorder="1"/>
    <xf numFmtId="179" fontId="1" fillId="0" borderId="1" xfId="0" applyNumberFormat="1" applyFont="1" applyBorder="1"/>
    <xf numFmtId="172" fontId="1" fillId="0" borderId="13" xfId="0" applyNumberFormat="1" applyFont="1" applyBorder="1"/>
    <xf numFmtId="175" fontId="1" fillId="0" borderId="0" xfId="0" applyNumberFormat="1" applyFont="1" applyAlignment="1">
      <alignment horizontal="centerContinuous"/>
    </xf>
    <xf numFmtId="0" fontId="5" fillId="0" borderId="0" xfId="0" applyFont="1" applyBorder="1" applyAlignment="1">
      <alignment horizontal="left"/>
    </xf>
    <xf numFmtId="175" fontId="1" fillId="0" borderId="0" xfId="0" applyNumberFormat="1" applyFont="1" applyBorder="1"/>
    <xf numFmtId="173" fontId="1" fillId="0" borderId="0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center"/>
    </xf>
    <xf numFmtId="175" fontId="1" fillId="0" borderId="2" xfId="0" applyNumberFormat="1" applyFont="1" applyBorder="1" applyAlignment="1">
      <alignment horizontal="center"/>
    </xf>
    <xf numFmtId="173" fontId="1" fillId="0" borderId="21" xfId="0" applyNumberFormat="1" applyFont="1" applyBorder="1" applyAlignment="1">
      <alignment horizontal="right"/>
    </xf>
    <xf numFmtId="175" fontId="1" fillId="0" borderId="3" xfId="0" applyNumberFormat="1" applyFont="1" applyBorder="1"/>
    <xf numFmtId="3" fontId="1" fillId="0" borderId="3" xfId="0" applyNumberFormat="1" applyFont="1" applyFill="1" applyBorder="1" applyProtection="1">
      <protection locked="0"/>
    </xf>
    <xf numFmtId="174" fontId="1" fillId="0" borderId="3" xfId="0" applyNumberFormat="1" applyFont="1" applyFill="1" applyBorder="1"/>
    <xf numFmtId="174" fontId="1" fillId="0" borderId="3" xfId="0" applyNumberFormat="1" applyFont="1" applyBorder="1" applyAlignment="1">
      <alignment horizontal="right"/>
    </xf>
    <xf numFmtId="10" fontId="1" fillId="0" borderId="0" xfId="0" applyNumberFormat="1" applyFont="1" applyBorder="1" applyAlignment="1">
      <alignment horizontal="center"/>
    </xf>
    <xf numFmtId="7" fontId="1" fillId="0" borderId="0" xfId="0" applyNumberFormat="1" applyFont="1"/>
    <xf numFmtId="17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75" fontId="1" fillId="0" borderId="2" xfId="0" applyNumberFormat="1" applyFont="1" applyBorder="1"/>
    <xf numFmtId="174" fontId="1" fillId="0" borderId="2" xfId="0" applyNumberFormat="1" applyFont="1" applyBorder="1" applyAlignment="1">
      <alignment horizontal="right"/>
    </xf>
    <xf numFmtId="172" fontId="1" fillId="0" borderId="3" xfId="0" applyNumberFormat="1" applyFont="1" applyFill="1" applyBorder="1"/>
    <xf numFmtId="174" fontId="1" fillId="0" borderId="3" xfId="0" applyNumberFormat="1" applyFont="1" applyFill="1" applyBorder="1" applyAlignment="1">
      <alignment horizontal="right"/>
    </xf>
    <xf numFmtId="172" fontId="1" fillId="0" borderId="3" xfId="0" applyNumberFormat="1" applyFont="1" applyFill="1" applyBorder="1" applyAlignment="1">
      <alignment horizontal="right"/>
    </xf>
    <xf numFmtId="174" fontId="3" fillId="0" borderId="0" xfId="0" applyNumberFormat="1" applyFont="1" applyBorder="1" applyAlignment="1">
      <alignment horizontal="right"/>
    </xf>
    <xf numFmtId="175" fontId="1" fillId="0" borderId="0" xfId="0" applyNumberFormat="1" applyFont="1" applyBorder="1" applyAlignment="1">
      <alignment horizontal="center"/>
    </xf>
    <xf numFmtId="10" fontId="8" fillId="0" borderId="4" xfId="0" applyNumberFormat="1" applyFont="1" applyBorder="1" applyAlignment="1">
      <alignment horizontal="center"/>
    </xf>
    <xf numFmtId="165" fontId="1" fillId="0" borderId="19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172" fontId="7" fillId="0" borderId="1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10" fontId="1" fillId="0" borderId="4" xfId="0" applyNumberFormat="1" applyFont="1" applyBorder="1" applyAlignment="1">
      <alignment horizontal="center"/>
    </xf>
    <xf numFmtId="10" fontId="1" fillId="0" borderId="4" xfId="0" applyNumberFormat="1" applyFont="1" applyFill="1" applyBorder="1" applyAlignment="1">
      <alignment horizontal="center"/>
    </xf>
    <xf numFmtId="0" fontId="1" fillId="0" borderId="3" xfId="0" applyFont="1" applyFill="1" applyBorder="1" applyProtection="1">
      <protection locked="0"/>
    </xf>
    <xf numFmtId="165" fontId="1" fillId="0" borderId="15" xfId="0" applyNumberFormat="1" applyFont="1" applyFill="1" applyBorder="1" applyAlignment="1">
      <alignment horizontal="right"/>
    </xf>
    <xf numFmtId="5" fontId="1" fillId="0" borderId="0" xfId="0" applyNumberFormat="1" applyFont="1" applyBorder="1"/>
    <xf numFmtId="5" fontId="1" fillId="0" borderId="1" xfId="0" applyNumberFormat="1" applyFont="1" applyBorder="1"/>
    <xf numFmtId="5" fontId="1" fillId="0" borderId="0" xfId="0" applyNumberFormat="1" applyFont="1"/>
    <xf numFmtId="41" fontId="1" fillId="0" borderId="0" xfId="0" applyNumberFormat="1" applyFont="1"/>
    <xf numFmtId="42" fontId="1" fillId="0" borderId="0" xfId="0" applyNumberFormat="1" applyFont="1"/>
    <xf numFmtId="42" fontId="7" fillId="0" borderId="0" xfId="0" applyNumberFormat="1" applyFont="1"/>
    <xf numFmtId="175" fontId="1" fillId="0" borderId="0" xfId="0" applyNumberFormat="1" applyFont="1"/>
    <xf numFmtId="0" fontId="8" fillId="0" borderId="22" xfId="0" applyFont="1" applyBorder="1"/>
    <xf numFmtId="0" fontId="1" fillId="0" borderId="23" xfId="0" applyFont="1" applyBorder="1"/>
    <xf numFmtId="164" fontId="1" fillId="0" borderId="23" xfId="0" applyNumberFormat="1" applyFont="1" applyFill="1" applyBorder="1"/>
    <xf numFmtId="172" fontId="1" fillId="0" borderId="24" xfId="0" applyNumberFormat="1" applyFont="1" applyBorder="1"/>
    <xf numFmtId="0" fontId="8" fillId="0" borderId="25" xfId="0" applyFont="1" applyBorder="1"/>
    <xf numFmtId="0" fontId="1" fillId="0" borderId="26" xfId="0" applyFont="1" applyBorder="1"/>
    <xf numFmtId="164" fontId="1" fillId="0" borderId="26" xfId="0" applyNumberFormat="1" applyFont="1" applyFill="1" applyBorder="1"/>
    <xf numFmtId="172" fontId="1" fillId="0" borderId="27" xfId="0" applyNumberFormat="1" applyFont="1" applyBorder="1"/>
    <xf numFmtId="173" fontId="1" fillId="0" borderId="0" xfId="0" applyNumberFormat="1" applyFont="1" applyAlignment="1">
      <alignment horizontal="right"/>
    </xf>
    <xf numFmtId="0" fontId="28" fillId="0" borderId="0" xfId="0" applyFont="1" applyFill="1" applyAlignment="1">
      <alignment horizontal="centerContinuous"/>
    </xf>
    <xf numFmtId="0" fontId="29" fillId="0" borderId="0" xfId="0" applyFont="1" applyFill="1"/>
    <xf numFmtId="0" fontId="2" fillId="0" borderId="14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174" fontId="2" fillId="0" borderId="1" xfId="0" applyNumberFormat="1" applyFont="1" applyFill="1" applyBorder="1" applyAlignment="1">
      <alignment horizontal="left"/>
    </xf>
    <xf numFmtId="0" fontId="2" fillId="0" borderId="16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174" fontId="2" fillId="0" borderId="2" xfId="0" applyNumberFormat="1" applyFont="1" applyFill="1" applyBorder="1" applyAlignment="1">
      <alignment horizontal="center" wrapText="1"/>
    </xf>
    <xf numFmtId="174" fontId="28" fillId="0" borderId="2" xfId="0" applyNumberFormat="1" applyFont="1" applyFill="1" applyBorder="1" applyAlignment="1">
      <alignment horizontal="center" wrapText="1"/>
    </xf>
    <xf numFmtId="174" fontId="2" fillId="0" borderId="2" xfId="0" applyNumberFormat="1" applyFont="1" applyFill="1" applyBorder="1" applyAlignment="1">
      <alignment horizontal="center" vertical="center" wrapText="1"/>
    </xf>
    <xf numFmtId="174" fontId="2" fillId="0" borderId="2" xfId="0" applyNumberFormat="1" applyFont="1" applyFill="1" applyBorder="1" applyAlignment="1">
      <alignment horizontal="center"/>
    </xf>
    <xf numFmtId="174" fontId="27" fillId="0" borderId="2" xfId="0" applyNumberFormat="1" applyFont="1" applyFill="1" applyBorder="1" applyAlignment="1">
      <alignment horizontal="center" wrapText="1"/>
    </xf>
    <xf numFmtId="174" fontId="2" fillId="0" borderId="17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174" fontId="1" fillId="0" borderId="2" xfId="0" applyNumberFormat="1" applyFont="1" applyFill="1" applyBorder="1" applyAlignment="1">
      <alignment horizontal="center" wrapText="1"/>
    </xf>
    <xf numFmtId="174" fontId="29" fillId="0" borderId="2" xfId="0" applyNumberFormat="1" applyFont="1" applyFill="1" applyBorder="1" applyAlignment="1">
      <alignment horizontal="center" wrapText="1"/>
    </xf>
    <xf numFmtId="174" fontId="1" fillId="0" borderId="17" xfId="0" applyNumberFormat="1" applyFont="1" applyFill="1" applyBorder="1" applyAlignment="1">
      <alignment horizontal="center"/>
    </xf>
    <xf numFmtId="0" fontId="2" fillId="0" borderId="14" xfId="0" applyFont="1" applyFill="1" applyBorder="1"/>
    <xf numFmtId="0" fontId="28" fillId="0" borderId="1" xfId="0" applyFont="1" applyFill="1" applyBorder="1"/>
    <xf numFmtId="3" fontId="29" fillId="0" borderId="1" xfId="0" applyNumberFormat="1" applyFont="1" applyFill="1" applyBorder="1"/>
    <xf numFmtId="172" fontId="27" fillId="0" borderId="1" xfId="0" applyNumberFormat="1" applyFont="1" applyFill="1" applyBorder="1"/>
    <xf numFmtId="174" fontId="1" fillId="0" borderId="1" xfId="0" applyNumberFormat="1" applyFont="1" applyFill="1" applyBorder="1" applyAlignment="1">
      <alignment horizontal="center"/>
    </xf>
    <xf numFmtId="172" fontId="1" fillId="0" borderId="1" xfId="0" applyNumberFormat="1" applyFont="1" applyFill="1" applyBorder="1" applyAlignment="1">
      <alignment horizontal="center"/>
    </xf>
    <xf numFmtId="172" fontId="1" fillId="0" borderId="19" xfId="0" applyNumberFormat="1" applyFont="1" applyFill="1" applyBorder="1"/>
    <xf numFmtId="0" fontId="29" fillId="0" borderId="0" xfId="0" applyFont="1" applyFill="1" applyBorder="1"/>
    <xf numFmtId="175" fontId="27" fillId="0" borderId="0" xfId="0" applyNumberFormat="1" applyFont="1" applyFill="1" applyBorder="1"/>
    <xf numFmtId="175" fontId="1" fillId="0" borderId="21" xfId="0" applyNumberFormat="1" applyFont="1" applyFill="1" applyBorder="1"/>
    <xf numFmtId="0" fontId="29" fillId="0" borderId="2" xfId="0" applyFont="1" applyFill="1" applyBorder="1"/>
    <xf numFmtId="0" fontId="1" fillId="0" borderId="2" xfId="0" applyFont="1" applyFill="1" applyBorder="1" applyAlignment="1">
      <alignment horizontal="right"/>
    </xf>
    <xf numFmtId="172" fontId="29" fillId="0" borderId="2" xfId="0" applyNumberFormat="1" applyFont="1" applyFill="1" applyBorder="1"/>
    <xf numFmtId="176" fontId="1" fillId="0" borderId="2" xfId="0" applyNumberFormat="1" applyFont="1" applyFill="1" applyBorder="1"/>
    <xf numFmtId="174" fontId="1" fillId="0" borderId="17" xfId="0" applyNumberFormat="1" applyFont="1" applyFill="1" applyBorder="1"/>
    <xf numFmtId="176" fontId="1" fillId="0" borderId="0" xfId="0" applyNumberFormat="1" applyFont="1" applyFill="1" applyBorder="1"/>
    <xf numFmtId="174" fontId="1" fillId="0" borderId="21" xfId="0" applyNumberFormat="1" applyFont="1" applyFill="1" applyBorder="1"/>
    <xf numFmtId="0" fontId="2" fillId="0" borderId="14" xfId="0" applyFont="1" applyFill="1" applyBorder="1" applyProtection="1">
      <protection locked="0"/>
    </xf>
    <xf numFmtId="0" fontId="29" fillId="0" borderId="1" xfId="0" applyFont="1" applyFill="1" applyBorder="1"/>
    <xf numFmtId="172" fontId="1" fillId="0" borderId="21" xfId="0" applyNumberFormat="1" applyFont="1" applyFill="1" applyBorder="1"/>
    <xf numFmtId="174" fontId="29" fillId="0" borderId="0" xfId="0" applyNumberFormat="1" applyFont="1" applyFill="1" applyBorder="1"/>
    <xf numFmtId="172" fontId="29" fillId="0" borderId="0" xfId="0" applyNumberFormat="1" applyFont="1" applyFill="1" applyBorder="1"/>
    <xf numFmtId="175" fontId="29" fillId="0" borderId="0" xfId="0" applyNumberFormat="1" applyFont="1" applyFill="1" applyBorder="1"/>
    <xf numFmtId="172" fontId="29" fillId="0" borderId="1" xfId="0" applyNumberFormat="1" applyFont="1" applyFill="1" applyBorder="1"/>
    <xf numFmtId="172" fontId="27" fillId="0" borderId="2" xfId="0" applyNumberFormat="1" applyFont="1" applyFill="1" applyBorder="1"/>
    <xf numFmtId="172" fontId="2" fillId="0" borderId="1" xfId="0" applyNumberFormat="1" applyFont="1" applyFill="1" applyBorder="1"/>
    <xf numFmtId="172" fontId="2" fillId="0" borderId="19" xfId="0" applyNumberFormat="1" applyFont="1" applyFill="1" applyBorder="1"/>
    <xf numFmtId="177" fontId="29" fillId="0" borderId="2" xfId="0" applyNumberFormat="1" applyFont="1" applyFill="1" applyBorder="1"/>
    <xf numFmtId="177" fontId="1" fillId="0" borderId="2" xfId="0" applyNumberFormat="1" applyFont="1" applyFill="1" applyBorder="1"/>
    <xf numFmtId="172" fontId="1" fillId="0" borderId="17" xfId="0" applyNumberFormat="1" applyFont="1" applyFill="1" applyBorder="1"/>
    <xf numFmtId="0" fontId="28" fillId="0" borderId="3" xfId="0" applyFont="1" applyFill="1" applyBorder="1" applyProtection="1">
      <protection locked="0"/>
    </xf>
    <xf numFmtId="0" fontId="29" fillId="0" borderId="3" xfId="0" applyFont="1" applyFill="1" applyBorder="1"/>
    <xf numFmtId="0" fontId="1" fillId="0" borderId="15" xfId="0" applyFont="1" applyFill="1" applyBorder="1"/>
    <xf numFmtId="0" fontId="28" fillId="0" borderId="0" xfId="0" applyFont="1" applyFill="1" applyBorder="1"/>
    <xf numFmtId="172" fontId="27" fillId="0" borderId="0" xfId="0" applyNumberFormat="1" applyFont="1" applyFill="1"/>
    <xf numFmtId="0" fontId="29" fillId="0" borderId="0" xfId="0" applyFont="1" applyFill="1" applyBorder="1" applyProtection="1">
      <protection locked="0"/>
    </xf>
    <xf numFmtId="3" fontId="29" fillId="0" borderId="0" xfId="0" applyNumberFormat="1" applyFont="1" applyFill="1" applyBorder="1"/>
    <xf numFmtId="0" fontId="28" fillId="0" borderId="2" xfId="0" applyFont="1" applyFill="1" applyBorder="1"/>
    <xf numFmtId="0" fontId="1" fillId="0" borderId="18" xfId="0" applyFont="1" applyFill="1" applyBorder="1" applyAlignment="1">
      <alignment horizontal="center"/>
    </xf>
    <xf numFmtId="0" fontId="29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1" xfId="0" applyFont="1" applyFill="1" applyBorder="1"/>
    <xf numFmtId="0" fontId="1" fillId="0" borderId="17" xfId="0" applyFont="1" applyFill="1" applyBorder="1"/>
    <xf numFmtId="172" fontId="2" fillId="0" borderId="21" xfId="0" applyNumberFormat="1" applyFont="1" applyFill="1" applyBorder="1"/>
    <xf numFmtId="172" fontId="29" fillId="0" borderId="1" xfId="0" applyNumberFormat="1" applyFont="1" applyFill="1" applyBorder="1" applyAlignment="1">
      <alignment horizontal="right"/>
    </xf>
    <xf numFmtId="175" fontId="1" fillId="0" borderId="3" xfId="0" applyNumberFormat="1" applyFont="1" applyFill="1" applyBorder="1"/>
    <xf numFmtId="172" fontId="29" fillId="0" borderId="0" xfId="0" applyNumberFormat="1" applyFont="1" applyFill="1" applyBorder="1" applyAlignment="1">
      <alignment horizontal="right"/>
    </xf>
    <xf numFmtId="3" fontId="29" fillId="0" borderId="2" xfId="0" applyNumberFormat="1" applyFont="1" applyFill="1" applyBorder="1"/>
    <xf numFmtId="0" fontId="2" fillId="0" borderId="20" xfId="0" applyFont="1" applyFill="1" applyBorder="1" applyProtection="1">
      <protection locked="0"/>
    </xf>
    <xf numFmtId="0" fontId="28" fillId="0" borderId="0" xfId="0" applyFont="1" applyFill="1" applyBorder="1" applyProtection="1">
      <protection locked="0"/>
    </xf>
    <xf numFmtId="172" fontId="2" fillId="0" borderId="21" xfId="0" applyNumberFormat="1" applyFont="1" applyFill="1" applyBorder="1" applyAlignment="1">
      <alignment horizontal="right"/>
    </xf>
    <xf numFmtId="174" fontId="8" fillId="0" borderId="0" xfId="0" applyNumberFormat="1" applyFont="1" applyFill="1" applyBorder="1" applyAlignment="1">
      <alignment horizontal="right"/>
    </xf>
    <xf numFmtId="10" fontId="8" fillId="0" borderId="0" xfId="0" applyNumberFormat="1" applyFont="1" applyFill="1"/>
    <xf numFmtId="10" fontId="27" fillId="0" borderId="0" xfId="0" applyNumberFormat="1" applyFont="1" applyFill="1"/>
    <xf numFmtId="10" fontId="8" fillId="0" borderId="2" xfId="0" applyNumberFormat="1" applyFont="1" applyFill="1" applyBorder="1"/>
    <xf numFmtId="10" fontId="27" fillId="0" borderId="2" xfId="0" applyNumberFormat="1" applyFont="1" applyFill="1" applyBorder="1"/>
    <xf numFmtId="182" fontId="8" fillId="0" borderId="0" xfId="0" applyNumberFormat="1" applyFont="1" applyFill="1"/>
    <xf numFmtId="182" fontId="27" fillId="0" borderId="0" xfId="0" applyNumberFormat="1" applyFont="1" applyFill="1"/>
    <xf numFmtId="172" fontId="27" fillId="0" borderId="0" xfId="0" applyNumberFormat="1" applyFont="1" applyFill="1" applyBorder="1" applyAlignment="1">
      <alignment horizontal="right"/>
    </xf>
    <xf numFmtId="182" fontId="6" fillId="0" borderId="0" xfId="0" applyNumberFormat="1" applyFont="1" applyFill="1"/>
    <xf numFmtId="0" fontId="2" fillId="0" borderId="18" xfId="0" applyFont="1" applyFill="1" applyBorder="1"/>
    <xf numFmtId="0" fontId="28" fillId="0" borderId="3" xfId="0" applyFont="1" applyFill="1" applyBorder="1"/>
    <xf numFmtId="172" fontId="29" fillId="0" borderId="3" xfId="0" applyNumberFormat="1" applyFont="1" applyFill="1" applyBorder="1"/>
    <xf numFmtId="172" fontId="27" fillId="0" borderId="3" xfId="0" applyNumberFormat="1" applyFont="1" applyFill="1" applyBorder="1"/>
    <xf numFmtId="0" fontId="28" fillId="0" borderId="0" xfId="0" applyFont="1" applyFill="1"/>
    <xf numFmtId="166" fontId="29" fillId="0" borderId="0" xfId="0" applyNumberFormat="1" applyFont="1" applyFill="1" applyBorder="1"/>
    <xf numFmtId="174" fontId="29" fillId="0" borderId="0" xfId="0" applyNumberFormat="1" applyFont="1" applyFill="1"/>
    <xf numFmtId="164" fontId="29" fillId="0" borderId="0" xfId="0" applyNumberFormat="1" applyFont="1" applyFill="1" applyBorder="1"/>
    <xf numFmtId="166" fontId="29" fillId="0" borderId="1" xfId="0" applyNumberFormat="1" applyFont="1" applyFill="1" applyBorder="1"/>
    <xf numFmtId="164" fontId="29" fillId="0" borderId="1" xfId="0" applyNumberFormat="1" applyFont="1" applyFill="1" applyBorder="1"/>
    <xf numFmtId="166" fontId="29" fillId="0" borderId="0" xfId="0" applyNumberFormat="1" applyFont="1" applyFill="1"/>
    <xf numFmtId="164" fontId="29" fillId="0" borderId="0" xfId="0" applyNumberFormat="1" applyFont="1" applyFill="1"/>
    <xf numFmtId="164" fontId="28" fillId="0" borderId="0" xfId="0" applyNumberFormat="1" applyFont="1" applyFill="1"/>
    <xf numFmtId="164" fontId="30" fillId="0" borderId="0" xfId="0" applyNumberFormat="1" applyFont="1" applyFill="1"/>
    <xf numFmtId="164" fontId="31" fillId="0" borderId="0" xfId="0" applyNumberFormat="1" applyFont="1" applyFill="1"/>
    <xf numFmtId="164" fontId="31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3" fontId="6" fillId="0" borderId="0" xfId="0" applyNumberFormat="1" applyFont="1" applyFill="1"/>
    <xf numFmtId="3" fontId="6" fillId="0" borderId="2" xfId="0" applyNumberFormat="1" applyFont="1" applyFill="1" applyBorder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quotePrefix="1" applyFont="1" applyFill="1" applyAlignment="1">
      <alignment vertical="top"/>
    </xf>
    <xf numFmtId="167" fontId="19" fillId="0" borderId="0" xfId="0" applyNumberFormat="1" applyFont="1" applyFill="1"/>
    <xf numFmtId="0" fontId="19" fillId="0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33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32" fillId="0" borderId="0" xfId="0" applyFont="1" applyFill="1"/>
    <xf numFmtId="0" fontId="32" fillId="0" borderId="0" xfId="0" applyFont="1"/>
    <xf numFmtId="0" fontId="1" fillId="0" borderId="0" xfId="0" applyFont="1" applyFill="1" applyBorder="1" applyAlignment="1">
      <alignment horizontal="centerContinuous"/>
    </xf>
    <xf numFmtId="0" fontId="34" fillId="0" borderId="0" xfId="0" applyFont="1" applyBorder="1"/>
    <xf numFmtId="0" fontId="34" fillId="0" borderId="0" xfId="0" applyFont="1"/>
    <xf numFmtId="0" fontId="33" fillId="0" borderId="0" xfId="0" applyFont="1" applyFill="1" applyBorder="1" applyAlignment="1">
      <alignment horizontal="right" vertical="top"/>
    </xf>
    <xf numFmtId="0" fontId="33" fillId="0" borderId="0" xfId="0" applyFont="1" applyFill="1" applyBorder="1" applyAlignment="1">
      <alignment horizontal="left" vertical="top"/>
    </xf>
    <xf numFmtId="0" fontId="34" fillId="0" borderId="28" xfId="0" applyFont="1" applyFill="1" applyBorder="1" applyAlignment="1">
      <alignment horizontal="centerContinuous"/>
    </xf>
    <xf numFmtId="0" fontId="34" fillId="0" borderId="28" xfId="0" applyFont="1" applyFill="1" applyBorder="1"/>
    <xf numFmtId="0" fontId="34" fillId="0" borderId="0" xfId="0" applyFont="1" applyFill="1"/>
    <xf numFmtId="0" fontId="2" fillId="0" borderId="29" xfId="0" applyFont="1" applyFill="1" applyBorder="1" applyAlignment="1">
      <alignment horizontal="center" wrapText="1"/>
    </xf>
    <xf numFmtId="0" fontId="2" fillId="0" borderId="30" xfId="0" applyFont="1" applyFill="1" applyBorder="1" applyAlignment="1">
      <alignment horizontal="center"/>
    </xf>
    <xf numFmtId="0" fontId="32" fillId="0" borderId="31" xfId="0" applyFont="1" applyFill="1" applyBorder="1"/>
    <xf numFmtId="0" fontId="32" fillId="0" borderId="31" xfId="0" applyFont="1" applyFill="1" applyBorder="1" applyAlignment="1">
      <alignment horizontal="center"/>
    </xf>
    <xf numFmtId="0" fontId="32" fillId="0" borderId="32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9" fontId="2" fillId="0" borderId="34" xfId="0" applyNumberFormat="1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0" borderId="37" xfId="0" applyFont="1" applyFill="1" applyBorder="1" applyAlignment="1">
      <alignment horizontal="center"/>
    </xf>
    <xf numFmtId="0" fontId="32" fillId="0" borderId="38" xfId="0" applyFont="1" applyFill="1" applyBorder="1" applyAlignment="1">
      <alignment horizontal="center"/>
    </xf>
    <xf numFmtId="0" fontId="32" fillId="0" borderId="35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left"/>
    </xf>
    <xf numFmtId="9" fontId="32" fillId="0" borderId="0" xfId="0" applyNumberFormat="1" applyFont="1" applyFill="1" applyBorder="1"/>
    <xf numFmtId="41" fontId="32" fillId="0" borderId="35" xfId="0" applyNumberFormat="1" applyFont="1" applyFill="1" applyBorder="1" applyAlignment="1">
      <alignment horizontal="center"/>
    </xf>
    <xf numFmtId="42" fontId="32" fillId="0" borderId="35" xfId="0" applyNumberFormat="1" applyFont="1" applyFill="1" applyBorder="1" applyAlignment="1">
      <alignment horizontal="center"/>
    </xf>
    <xf numFmtId="10" fontId="32" fillId="0" borderId="0" xfId="0" applyNumberFormat="1" applyFont="1" applyFill="1" applyBorder="1" applyAlignment="1">
      <alignment horizontal="center"/>
    </xf>
    <xf numFmtId="10" fontId="32" fillId="0" borderId="37" xfId="0" applyNumberFormat="1" applyFont="1" applyFill="1" applyBorder="1" applyAlignment="1">
      <alignment horizontal="center"/>
    </xf>
    <xf numFmtId="41" fontId="1" fillId="0" borderId="35" xfId="0" applyNumberFormat="1" applyFont="1" applyFill="1" applyBorder="1" applyAlignment="1"/>
    <xf numFmtId="171" fontId="35" fillId="0" borderId="35" xfId="0" applyNumberFormat="1" applyFont="1" applyFill="1" applyBorder="1"/>
    <xf numFmtId="10" fontId="1" fillId="0" borderId="0" xfId="0" applyNumberFormat="1" applyFont="1" applyFill="1" applyBorder="1" applyAlignment="1">
      <alignment horizontal="center"/>
    </xf>
    <xf numFmtId="171" fontId="36" fillId="0" borderId="35" xfId="0" applyNumberFormat="1" applyFont="1" applyFill="1" applyBorder="1" applyAlignment="1">
      <alignment horizontal="center"/>
    </xf>
    <xf numFmtId="0" fontId="32" fillId="0" borderId="0" xfId="0" applyFont="1" applyFill="1" applyBorder="1"/>
    <xf numFmtId="171" fontId="35" fillId="0" borderId="37" xfId="0" applyNumberFormat="1" applyFont="1" applyFill="1" applyBorder="1"/>
    <xf numFmtId="42" fontId="1" fillId="0" borderId="40" xfId="0" applyNumberFormat="1" applyFont="1" applyFill="1" applyBorder="1" applyAlignment="1"/>
    <xf numFmtId="0" fontId="32" fillId="0" borderId="35" xfId="0" applyFont="1" applyFill="1" applyBorder="1"/>
    <xf numFmtId="0" fontId="35" fillId="0" borderId="0" xfId="0" applyFont="1" applyFill="1"/>
    <xf numFmtId="0" fontId="6" fillId="0" borderId="0" xfId="0" applyFont="1" applyFill="1"/>
    <xf numFmtId="171" fontId="32" fillId="0" borderId="0" xfId="0" applyNumberFormat="1" applyFont="1" applyFill="1" applyBorder="1"/>
    <xf numFmtId="171" fontId="32" fillId="0" borderId="37" xfId="0" applyNumberFormat="1" applyFont="1" applyFill="1" applyBorder="1"/>
    <xf numFmtId="165" fontId="39" fillId="0" borderId="35" xfId="0" applyNumberFormat="1" applyFont="1" applyFill="1" applyBorder="1" applyAlignment="1"/>
    <xf numFmtId="164" fontId="32" fillId="0" borderId="35" xfId="0" applyNumberFormat="1" applyFont="1" applyFill="1" applyBorder="1" applyAlignment="1">
      <alignment horizontal="center"/>
    </xf>
    <xf numFmtId="164" fontId="1" fillId="0" borderId="35" xfId="0" applyNumberFormat="1" applyFont="1" applyFill="1" applyBorder="1" applyAlignment="1"/>
    <xf numFmtId="0" fontId="1" fillId="0" borderId="36" xfId="0" applyFont="1" applyFill="1" applyBorder="1"/>
    <xf numFmtId="0" fontId="32" fillId="0" borderId="37" xfId="0" applyFont="1" applyFill="1" applyBorder="1" applyAlignment="1">
      <alignment horizontal="left"/>
    </xf>
    <xf numFmtId="0" fontId="32" fillId="0" borderId="36" xfId="0" applyFont="1" applyFill="1" applyBorder="1"/>
    <xf numFmtId="37" fontId="1" fillId="0" borderId="39" xfId="0" applyNumberFormat="1" applyFont="1" applyFill="1" applyBorder="1"/>
    <xf numFmtId="42" fontId="1" fillId="0" borderId="39" xfId="0" applyNumberFormat="1" applyFont="1" applyFill="1" applyBorder="1"/>
    <xf numFmtId="9" fontId="32" fillId="0" borderId="37" xfId="0" applyNumberFormat="1" applyFont="1" applyFill="1" applyBorder="1"/>
    <xf numFmtId="42" fontId="1" fillId="0" borderId="35" xfId="0" applyNumberFormat="1" applyFont="1" applyFill="1" applyBorder="1"/>
    <xf numFmtId="0" fontId="32" fillId="0" borderId="37" xfId="0" applyFont="1" applyFill="1" applyBorder="1"/>
    <xf numFmtId="164" fontId="1" fillId="0" borderId="35" xfId="0" applyNumberFormat="1" applyFont="1" applyFill="1" applyBorder="1"/>
    <xf numFmtId="0" fontId="37" fillId="0" borderId="36" xfId="0" applyFont="1" applyFill="1" applyBorder="1"/>
    <xf numFmtId="183" fontId="1" fillId="0" borderId="35" xfId="0" applyNumberFormat="1" applyFont="1" applyFill="1" applyBorder="1"/>
    <xf numFmtId="184" fontId="1" fillId="0" borderId="35" xfId="0" applyNumberFormat="1" applyFont="1" applyFill="1" applyBorder="1"/>
    <xf numFmtId="183" fontId="1" fillId="0" borderId="39" xfId="0" applyNumberFormat="1" applyFont="1" applyFill="1" applyBorder="1"/>
    <xf numFmtId="185" fontId="1" fillId="0" borderId="39" xfId="0" applyNumberFormat="1" applyFont="1" applyFill="1" applyBorder="1"/>
    <xf numFmtId="9" fontId="1" fillId="0" borderId="35" xfId="0" applyNumberFormat="1" applyFont="1" applyFill="1" applyBorder="1" applyAlignment="1">
      <alignment horizontal="center"/>
    </xf>
    <xf numFmtId="37" fontId="8" fillId="0" borderId="39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2" fillId="0" borderId="40" xfId="0" applyFont="1" applyFill="1" applyBorder="1"/>
    <xf numFmtId="0" fontId="1" fillId="0" borderId="41" xfId="0" applyFont="1" applyFill="1" applyBorder="1"/>
    <xf numFmtId="0" fontId="2" fillId="0" borderId="28" xfId="0" applyFont="1" applyFill="1" applyBorder="1"/>
    <xf numFmtId="0" fontId="2" fillId="0" borderId="42" xfId="0" applyFont="1" applyFill="1" applyBorder="1"/>
    <xf numFmtId="42" fontId="2" fillId="0" borderId="43" xfId="0" applyNumberFormat="1" applyFont="1" applyFill="1" applyBorder="1"/>
    <xf numFmtId="0" fontId="32" fillId="0" borderId="44" xfId="0" applyFont="1" applyFill="1" applyBorder="1"/>
    <xf numFmtId="43" fontId="1" fillId="0" borderId="0" xfId="0" applyNumberFormat="1" applyFont="1" applyFill="1" applyBorder="1"/>
    <xf numFmtId="43" fontId="2" fillId="0" borderId="0" xfId="0" applyNumberFormat="1" applyFont="1" applyFill="1" applyBorder="1" applyAlignment="1">
      <alignment horizontal="center"/>
    </xf>
    <xf numFmtId="0" fontId="38" fillId="0" borderId="0" xfId="0" applyFont="1"/>
    <xf numFmtId="0" fontId="2" fillId="0" borderId="0" xfId="0" applyFont="1" applyFill="1" applyBorder="1" applyAlignment="1"/>
    <xf numFmtId="0" fontId="2" fillId="0" borderId="45" xfId="0" applyFont="1" applyFill="1" applyBorder="1" applyAlignment="1">
      <alignment horizontal="center"/>
    </xf>
    <xf numFmtId="43" fontId="2" fillId="0" borderId="45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183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41" fontId="1" fillId="0" borderId="0" xfId="0" applyNumberFormat="1" applyFont="1" applyFill="1" applyBorder="1"/>
    <xf numFmtId="41" fontId="1" fillId="0" borderId="0" xfId="0" applyNumberFormat="1" applyFont="1" applyFill="1" applyBorder="1" applyAlignment="1">
      <alignment vertical="top"/>
    </xf>
    <xf numFmtId="0" fontId="2" fillId="0" borderId="0" xfId="0" applyFont="1" applyFill="1" applyAlignment="1"/>
    <xf numFmtId="42" fontId="2" fillId="0" borderId="46" xfId="0" applyNumberFormat="1" applyFont="1" applyFill="1" applyBorder="1"/>
    <xf numFmtId="0" fontId="36" fillId="0" borderId="0" xfId="0" quotePrefix="1" applyFont="1" applyFill="1"/>
    <xf numFmtId="44" fontId="32" fillId="0" borderId="0" xfId="0" applyNumberFormat="1" applyFont="1" applyFill="1"/>
    <xf numFmtId="164" fontId="32" fillId="0" borderId="0" xfId="0" applyNumberFormat="1" applyFont="1" applyFill="1"/>
    <xf numFmtId="164" fontId="32" fillId="0" borderId="0" xfId="0" applyNumberFormat="1" applyFont="1"/>
    <xf numFmtId="44" fontId="32" fillId="0" borderId="0" xfId="0" applyNumberFormat="1" applyFont="1"/>
    <xf numFmtId="10" fontId="16" fillId="0" borderId="0" xfId="0" applyNumberFormat="1" applyFont="1"/>
    <xf numFmtId="165" fontId="16" fillId="0" borderId="0" xfId="0" applyNumberFormat="1" applyFont="1"/>
    <xf numFmtId="0" fontId="0" fillId="0" borderId="0" xfId="0" applyFont="1" applyFill="1" applyAlignment="1">
      <alignment horizontal="center"/>
    </xf>
    <xf numFmtId="0" fontId="15" fillId="0" borderId="2" xfId="0" applyFont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174" fontId="1" fillId="0" borderId="3" xfId="0" applyNumberFormat="1" applyFont="1" applyBorder="1" applyAlignment="1">
      <alignment horizontal="center"/>
    </xf>
    <xf numFmtId="174" fontId="1" fillId="0" borderId="15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8080"/>
      <color rgb="FFFFCCFF"/>
      <color rgb="FF009999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226219</xdr:colOff>
      <xdr:row>85</xdr:row>
      <xdr:rowOff>11901</xdr:rowOff>
    </xdr:from>
    <xdr:to>
      <xdr:col>3</xdr:col>
      <xdr:colOff>44511</xdr:colOff>
      <xdr:row>89</xdr:row>
      <xdr:rowOff>2294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219" y="14670876"/>
          <a:ext cx="5857142" cy="63809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273844</xdr:colOff>
      <xdr:row>74</xdr:row>
      <xdr:rowOff>119063</xdr:rowOff>
    </xdr:from>
    <xdr:to>
      <xdr:col>3</xdr:col>
      <xdr:colOff>54040</xdr:colOff>
      <xdr:row>83</xdr:row>
      <xdr:rowOff>142685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3844" y="12996863"/>
          <a:ext cx="5819046" cy="148094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214312</xdr:colOff>
      <xdr:row>50</xdr:row>
      <xdr:rowOff>71437</xdr:rowOff>
    </xdr:from>
    <xdr:to>
      <xdr:col>7</xdr:col>
      <xdr:colOff>925067</xdr:colOff>
      <xdr:row>73</xdr:row>
      <xdr:rowOff>85243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4312" y="9063037"/>
          <a:ext cx="9911905" cy="373808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2"/>
  <sheetViews>
    <sheetView tabSelected="1" zoomScale="90" zoomScaleNormal="90" workbookViewId="0">
      <pane ySplit="8" topLeftCell="A9" activePane="bottomLeft" state="frozen"/>
      <selection pane="bottomLeft" activeCell="M14" sqref="M14"/>
    </sheetView>
  </sheetViews>
  <sheetFormatPr defaultColWidth="8.85546875" defaultRowHeight="12.75" x14ac:dyDescent="0.2"/>
  <cols>
    <col min="1" max="1" width="2.5703125" style="45" customWidth="1"/>
    <col min="2" max="2" width="4.5703125" style="45" customWidth="1"/>
    <col min="3" max="3" width="2.85546875" style="45" customWidth="1"/>
    <col min="4" max="4" width="26.7109375" style="45" customWidth="1"/>
    <col min="5" max="5" width="8.85546875" style="45" customWidth="1"/>
    <col min="6" max="6" width="13.5703125" style="45" bestFit="1" customWidth="1"/>
    <col min="7" max="7" width="15.42578125" style="45" bestFit="1" customWidth="1"/>
    <col min="8" max="8" width="8" style="45" bestFit="1" customWidth="1"/>
    <col min="9" max="9" width="13.28515625" style="45" customWidth="1"/>
    <col min="10" max="10" width="12.5703125" style="45" customWidth="1"/>
    <col min="11" max="11" width="13.42578125" style="45" customWidth="1"/>
    <col min="12" max="12" width="15.28515625" style="45" bestFit="1" customWidth="1"/>
    <col min="13" max="13" width="10" style="45" customWidth="1"/>
    <col min="14" max="14" width="14.5703125" style="45" customWidth="1"/>
    <col min="15" max="15" width="10.5703125" style="45" customWidth="1"/>
    <col min="16" max="16384" width="8.85546875" style="45"/>
  </cols>
  <sheetData>
    <row r="1" spans="2:15" ht="15" customHeight="1" x14ac:dyDescent="0.2">
      <c r="B1" s="145" t="s">
        <v>12</v>
      </c>
      <c r="C1" s="145"/>
      <c r="D1" s="145"/>
      <c r="E1" s="145"/>
      <c r="F1" s="145"/>
      <c r="G1" s="145"/>
      <c r="H1" s="145"/>
      <c r="I1" s="145"/>
      <c r="J1" s="145"/>
      <c r="K1" s="145"/>
      <c r="L1" s="35"/>
    </row>
    <row r="2" spans="2:15" s="44" customFormat="1" ht="15" customHeight="1" x14ac:dyDescent="0.2">
      <c r="B2" s="145" t="s">
        <v>340</v>
      </c>
      <c r="C2" s="145"/>
      <c r="D2" s="145"/>
      <c r="E2" s="145"/>
      <c r="F2" s="145"/>
      <c r="G2" s="145"/>
      <c r="H2" s="145"/>
      <c r="I2" s="253"/>
      <c r="J2" s="253"/>
      <c r="K2" s="253"/>
      <c r="L2" s="61"/>
    </row>
    <row r="3" spans="2:15" s="44" customFormat="1" ht="15" customHeight="1" x14ac:dyDescent="0.2">
      <c r="B3" s="61" t="s">
        <v>341</v>
      </c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2:15" s="44" customFormat="1" ht="15" customHeight="1" x14ac:dyDescent="0.2">
      <c r="B4" s="61" t="s">
        <v>246</v>
      </c>
      <c r="C4" s="61"/>
      <c r="D4" s="61"/>
      <c r="E4" s="61"/>
      <c r="F4" s="61"/>
      <c r="G4" s="61"/>
      <c r="H4" s="61"/>
      <c r="I4" s="71"/>
      <c r="J4" s="71"/>
      <c r="K4" s="71"/>
      <c r="L4" s="61"/>
    </row>
    <row r="5" spans="2:15" s="44" customFormat="1" x14ac:dyDescent="0.2">
      <c r="J5" s="246"/>
    </row>
    <row r="6" spans="2:15" s="44" customFormat="1" x14ac:dyDescent="0.2">
      <c r="F6" s="254">
        <v>2022</v>
      </c>
      <c r="G6" s="46">
        <f>+F6</f>
        <v>2022</v>
      </c>
      <c r="H6" s="246"/>
      <c r="I6" s="246" t="s">
        <v>38</v>
      </c>
      <c r="J6" s="246" t="s">
        <v>26</v>
      </c>
      <c r="K6" s="246"/>
    </row>
    <row r="7" spans="2:15" s="44" customFormat="1" x14ac:dyDescent="0.2">
      <c r="E7" s="246" t="s">
        <v>11</v>
      </c>
      <c r="F7" s="246" t="s">
        <v>10</v>
      </c>
      <c r="G7" s="46" t="s">
        <v>37</v>
      </c>
      <c r="H7" s="246" t="s">
        <v>9</v>
      </c>
      <c r="I7" s="246" t="s">
        <v>6</v>
      </c>
      <c r="J7" s="246" t="s">
        <v>116</v>
      </c>
      <c r="K7" s="246" t="s">
        <v>27</v>
      </c>
    </row>
    <row r="8" spans="2:15" s="44" customFormat="1" ht="14.25" x14ac:dyDescent="0.2">
      <c r="B8" s="80" t="s">
        <v>36</v>
      </c>
      <c r="C8" s="2" t="s">
        <v>25</v>
      </c>
      <c r="D8" s="2"/>
      <c r="E8" s="19" t="s">
        <v>7</v>
      </c>
      <c r="F8" s="19" t="s">
        <v>64</v>
      </c>
      <c r="G8" s="19" t="s">
        <v>65</v>
      </c>
      <c r="H8" s="19" t="s">
        <v>35</v>
      </c>
      <c r="I8" s="19" t="s">
        <v>34</v>
      </c>
      <c r="J8" s="19" t="s">
        <v>82</v>
      </c>
      <c r="K8" s="19" t="s">
        <v>6</v>
      </c>
    </row>
    <row r="9" spans="2:15" s="44" customFormat="1" x14ac:dyDescent="0.2">
      <c r="B9" s="246">
        <v>1</v>
      </c>
      <c r="C9" s="44" t="s">
        <v>5</v>
      </c>
      <c r="E9" s="246" t="s">
        <v>24</v>
      </c>
      <c r="F9" s="4">
        <f>'Margin Revenue'!N9</f>
        <v>605484515.28218365</v>
      </c>
      <c r="G9" s="52">
        <f>+'Margin Revenue'!O9</f>
        <v>437040010.90154654</v>
      </c>
      <c r="H9" s="51">
        <f>G9/$G$47</f>
        <v>0.69003955409875761</v>
      </c>
      <c r="I9" s="255">
        <f>$I$49*H9</f>
        <v>3328286.268936147</v>
      </c>
      <c r="J9" s="256">
        <f>ROUND(I9/F9,5)</f>
        <v>5.4999999999999997E-3</v>
      </c>
      <c r="K9" s="255">
        <f>F9*(J9)</f>
        <v>3330164.83405201</v>
      </c>
      <c r="L9" s="257"/>
      <c r="M9" s="258"/>
      <c r="N9" s="43"/>
      <c r="O9" s="55"/>
    </row>
    <row r="10" spans="2:15" s="44" customFormat="1" x14ac:dyDescent="0.2">
      <c r="B10" s="246"/>
      <c r="E10" s="246"/>
      <c r="F10" s="259"/>
      <c r="G10" s="260"/>
      <c r="H10" s="51"/>
      <c r="I10" s="255"/>
      <c r="J10" s="256"/>
      <c r="K10" s="255"/>
      <c r="M10" s="258"/>
      <c r="N10" s="43"/>
      <c r="O10" s="55"/>
    </row>
    <row r="11" spans="2:15" s="44" customFormat="1" x14ac:dyDescent="0.2">
      <c r="B11" s="246">
        <v>2</v>
      </c>
      <c r="C11" s="44" t="s">
        <v>23</v>
      </c>
      <c r="E11" s="246" t="s">
        <v>33</v>
      </c>
      <c r="F11" s="4">
        <f>'Margin Revenue'!N12</f>
        <v>241041941.4711673</v>
      </c>
      <c r="G11" s="52">
        <f>+'Margin Revenue'!O12</f>
        <v>149375574.7045255</v>
      </c>
      <c r="H11" s="51">
        <f>G11/$G$47</f>
        <v>0.23584809717931407</v>
      </c>
      <c r="I11" s="255">
        <f>$I$49*H11</f>
        <v>1137572.4460054431</v>
      </c>
      <c r="J11" s="256">
        <f>ROUND(I11/F11,5)</f>
        <v>4.7200000000000002E-3</v>
      </c>
      <c r="K11" s="255">
        <f>F11*(J11)</f>
        <v>1137717.9637439097</v>
      </c>
      <c r="L11" s="257"/>
      <c r="M11" s="258"/>
      <c r="N11" s="43"/>
      <c r="O11" s="55"/>
    </row>
    <row r="12" spans="2:15" s="44" customFormat="1" x14ac:dyDescent="0.2">
      <c r="B12" s="246"/>
      <c r="E12" s="246"/>
      <c r="F12" s="259"/>
      <c r="G12" s="25"/>
      <c r="H12" s="51"/>
      <c r="I12" s="255"/>
      <c r="J12" s="256"/>
      <c r="K12" s="255"/>
      <c r="M12" s="258"/>
      <c r="N12" s="43"/>
      <c r="O12" s="55"/>
    </row>
    <row r="13" spans="2:15" s="44" customFormat="1" x14ac:dyDescent="0.2">
      <c r="B13" s="246">
        <v>3</v>
      </c>
      <c r="C13" s="44" t="s">
        <v>22</v>
      </c>
      <c r="E13" s="246" t="s">
        <v>32</v>
      </c>
      <c r="F13" s="4">
        <f>'Margin Revenue'!N14</f>
        <v>88992709.206235796</v>
      </c>
      <c r="G13" s="52">
        <f>+'Margin Revenue'!O14</f>
        <v>27046126.84174931</v>
      </c>
      <c r="H13" s="51">
        <f>G13/G$47</f>
        <v>4.2702949021716424E-2</v>
      </c>
      <c r="I13" s="261">
        <f>$I$49*H13</f>
        <v>205970.27812077844</v>
      </c>
      <c r="J13" s="256">
        <f>ROUND(I13/F13,5)</f>
        <v>2.31E-3</v>
      </c>
      <c r="K13" s="255">
        <f>F13*(J13)</f>
        <v>205573.1582664047</v>
      </c>
      <c r="L13" s="28"/>
      <c r="M13" s="258"/>
      <c r="N13" s="43"/>
      <c r="O13" s="55"/>
    </row>
    <row r="14" spans="2:15" s="44" customFormat="1" x14ac:dyDescent="0.2">
      <c r="B14" s="246"/>
      <c r="E14" s="246"/>
      <c r="F14" s="36"/>
      <c r="G14" s="52"/>
      <c r="H14" s="51"/>
      <c r="I14" s="261"/>
      <c r="J14" s="256"/>
      <c r="K14" s="255"/>
      <c r="M14" s="258"/>
      <c r="N14" s="43"/>
      <c r="O14" s="55"/>
    </row>
    <row r="15" spans="2:15" s="44" customFormat="1" x14ac:dyDescent="0.2">
      <c r="B15" s="246">
        <v>4</v>
      </c>
      <c r="C15" s="44" t="s">
        <v>4</v>
      </c>
      <c r="E15" s="246">
        <v>85</v>
      </c>
      <c r="F15" s="4"/>
      <c r="G15" s="52"/>
      <c r="H15" s="51"/>
      <c r="I15" s="261"/>
      <c r="J15" s="256"/>
      <c r="K15" s="255"/>
      <c r="M15" s="258"/>
      <c r="N15" s="43"/>
      <c r="O15" s="55"/>
    </row>
    <row r="16" spans="2:15" s="44" customFormat="1" x14ac:dyDescent="0.2">
      <c r="B16" s="246">
        <v>5</v>
      </c>
      <c r="D16" s="44" t="s">
        <v>18</v>
      </c>
      <c r="E16" s="246"/>
      <c r="F16" s="4">
        <f>'Sch 85 87 Rate Calc'!G10</f>
        <v>8773235.6159016266</v>
      </c>
      <c r="G16" s="52"/>
      <c r="H16" s="51"/>
      <c r="I16" s="25"/>
      <c r="J16" s="262">
        <f>'Sch 85 87 Rate Calc'!L10</f>
        <v>1.66E-3</v>
      </c>
      <c r="K16" s="255"/>
      <c r="L16" s="36"/>
      <c r="M16" s="258"/>
      <c r="N16" s="43"/>
      <c r="O16" s="55"/>
    </row>
    <row r="17" spans="2:15" s="44" customFormat="1" x14ac:dyDescent="0.2">
      <c r="B17" s="246">
        <v>6</v>
      </c>
      <c r="D17" s="44" t="s">
        <v>17</v>
      </c>
      <c r="E17" s="246"/>
      <c r="F17" s="4">
        <f>'Sch 85 87 Rate Calc'!G11</f>
        <v>5145080.8254322344</v>
      </c>
      <c r="G17" s="52"/>
      <c r="H17" s="51"/>
      <c r="I17" s="25"/>
      <c r="J17" s="262">
        <f>'Sch 85 87 Rate Calc'!L11</f>
        <v>1.01E-3</v>
      </c>
      <c r="K17" s="255"/>
      <c r="M17" s="258"/>
      <c r="N17" s="43"/>
      <c r="O17" s="55"/>
    </row>
    <row r="18" spans="2:15" s="44" customFormat="1" x14ac:dyDescent="0.2">
      <c r="B18" s="246">
        <v>7</v>
      </c>
      <c r="D18" s="44" t="s">
        <v>21</v>
      </c>
      <c r="E18" s="246"/>
      <c r="F18" s="3">
        <f>'Sch 85 87 Rate Calc'!G16</f>
        <v>6953676.5056259399</v>
      </c>
      <c r="G18" s="52"/>
      <c r="H18" s="51"/>
      <c r="I18" s="25"/>
      <c r="J18" s="262">
        <f>'Sch 85 87 Rate Calc'!L16</f>
        <v>5.5000000000000003E-4</v>
      </c>
      <c r="K18" s="255"/>
      <c r="M18" s="258"/>
      <c r="N18" s="43"/>
      <c r="O18" s="55"/>
    </row>
    <row r="19" spans="2:15" s="44" customFormat="1" x14ac:dyDescent="0.2">
      <c r="B19" s="246">
        <v>8</v>
      </c>
      <c r="D19" s="44" t="s">
        <v>0</v>
      </c>
      <c r="E19" s="246"/>
      <c r="F19" s="36">
        <f>SUM(F16:F18)</f>
        <v>20871992.946959801</v>
      </c>
      <c r="G19" s="52">
        <f>+'Margin Revenue'!O19</f>
        <v>2772547.3863477181</v>
      </c>
      <c r="H19" s="51">
        <f>G19/G$47</f>
        <v>4.3775565496771886E-3</v>
      </c>
      <c r="I19" s="261">
        <f>$I$49*H19</f>
        <v>21114.385790262793</v>
      </c>
      <c r="J19" s="256"/>
      <c r="K19" s="52">
        <f>'Sch 85 87 Rate Calc'!M17</f>
        <v>23584.624834177528</v>
      </c>
      <c r="M19" s="258"/>
      <c r="N19" s="43"/>
      <c r="O19" s="55"/>
    </row>
    <row r="20" spans="2:15" s="44" customFormat="1" x14ac:dyDescent="0.2">
      <c r="B20" s="246"/>
      <c r="E20" s="246"/>
      <c r="F20" s="36"/>
      <c r="G20" s="260"/>
      <c r="H20" s="51"/>
      <c r="I20" s="261"/>
      <c r="J20" s="256"/>
      <c r="K20" s="255"/>
      <c r="M20" s="258"/>
      <c r="N20" s="43"/>
      <c r="O20" s="55"/>
    </row>
    <row r="21" spans="2:15" s="44" customFormat="1" x14ac:dyDescent="0.2">
      <c r="B21" s="246">
        <v>9</v>
      </c>
      <c r="C21" s="44" t="s">
        <v>4</v>
      </c>
      <c r="E21" s="246" t="s">
        <v>31</v>
      </c>
      <c r="F21" s="31">
        <f>'Margin Revenue'!N16</f>
        <v>7836608.9315861296</v>
      </c>
      <c r="G21" s="52">
        <f>'Margin Revenue'!O16</f>
        <v>1764614.9821489167</v>
      </c>
      <c r="H21" s="51">
        <f>G21/G$47</f>
        <v>2.7861388089529646E-3</v>
      </c>
      <c r="I21" s="261">
        <f>$I$49*H21</f>
        <v>13438.457963905519</v>
      </c>
      <c r="J21" s="256">
        <f>ROUND(I21/F21,5)</f>
        <v>1.7099999999999999E-3</v>
      </c>
      <c r="K21" s="255">
        <f>F21*(J21)</f>
        <v>13400.60127301228</v>
      </c>
      <c r="M21" s="258"/>
      <c r="N21" s="43"/>
      <c r="O21" s="55"/>
    </row>
    <row r="22" spans="2:15" s="44" customFormat="1" x14ac:dyDescent="0.2">
      <c r="B22" s="246"/>
      <c r="E22" s="246"/>
      <c r="F22" s="36"/>
      <c r="G22" s="52"/>
      <c r="H22" s="51"/>
      <c r="I22" s="261"/>
      <c r="J22" s="256"/>
      <c r="K22" s="255"/>
      <c r="M22" s="258"/>
      <c r="N22" s="43"/>
      <c r="O22" s="55"/>
    </row>
    <row r="23" spans="2:15" s="44" customFormat="1" x14ac:dyDescent="0.2">
      <c r="B23" s="246">
        <v>10</v>
      </c>
      <c r="C23" s="44" t="s">
        <v>4</v>
      </c>
      <c r="E23" s="246">
        <v>87</v>
      </c>
      <c r="F23" s="36"/>
      <c r="G23" s="52"/>
      <c r="H23" s="51"/>
      <c r="I23" s="261"/>
      <c r="J23" s="256"/>
      <c r="K23" s="255"/>
      <c r="M23" s="258"/>
      <c r="N23" s="43"/>
      <c r="O23" s="55"/>
    </row>
    <row r="24" spans="2:15" s="44" customFormat="1" x14ac:dyDescent="0.2">
      <c r="B24" s="246">
        <v>11</v>
      </c>
      <c r="D24" s="44" t="s">
        <v>18</v>
      </c>
      <c r="E24" s="246"/>
      <c r="F24" s="4">
        <f>'Sch 85 87 Rate Calc'!G20</f>
        <v>1184420.7770205315</v>
      </c>
      <c r="G24" s="52"/>
      <c r="H24" s="51"/>
      <c r="I24" s="261"/>
      <c r="J24" s="262">
        <f>'Sch 85 87 Rate Calc'!L20</f>
        <v>1.66E-3</v>
      </c>
      <c r="K24" s="255"/>
      <c r="M24" s="258"/>
      <c r="N24" s="43"/>
      <c r="O24" s="55"/>
    </row>
    <row r="25" spans="2:15" s="44" customFormat="1" x14ac:dyDescent="0.2">
      <c r="B25" s="246">
        <v>12</v>
      </c>
      <c r="D25" s="44" t="s">
        <v>17</v>
      </c>
      <c r="E25" s="246"/>
      <c r="F25" s="4">
        <f>'Sch 85 87 Rate Calc'!G21</f>
        <v>1184420.7770205315</v>
      </c>
      <c r="G25" s="52"/>
      <c r="H25" s="51"/>
      <c r="I25" s="261"/>
      <c r="J25" s="262">
        <f>'Sch 85 87 Rate Calc'!L21</f>
        <v>1.01E-3</v>
      </c>
      <c r="K25" s="255"/>
      <c r="M25" s="258"/>
      <c r="N25" s="43"/>
      <c r="O25" s="55"/>
    </row>
    <row r="26" spans="2:15" s="44" customFormat="1" x14ac:dyDescent="0.2">
      <c r="B26" s="246">
        <v>13</v>
      </c>
      <c r="D26" s="44" t="s">
        <v>16</v>
      </c>
      <c r="E26" s="246"/>
      <c r="F26" s="4">
        <f>'Sch 85 87 Rate Calc'!G22</f>
        <v>2219741.7315431475</v>
      </c>
      <c r="G26" s="52"/>
      <c r="H26" s="51"/>
      <c r="I26" s="261"/>
      <c r="J26" s="262">
        <f>'Sch 85 87 Rate Calc'!L22</f>
        <v>6.6E-4</v>
      </c>
      <c r="K26" s="255"/>
      <c r="M26" s="258"/>
      <c r="N26" s="43"/>
      <c r="O26" s="55"/>
    </row>
    <row r="27" spans="2:15" s="44" customFormat="1" x14ac:dyDescent="0.2">
      <c r="B27" s="246">
        <v>14</v>
      </c>
      <c r="D27" s="44" t="s">
        <v>15</v>
      </c>
      <c r="E27" s="246"/>
      <c r="F27" s="4">
        <f>'Sch 85 87 Rate Calc'!G23</f>
        <v>3104713.2996480921</v>
      </c>
      <c r="G27" s="52"/>
      <c r="H27" s="51"/>
      <c r="I27" s="261"/>
      <c r="J27" s="262">
        <f>'Sch 85 87 Rate Calc'!L23</f>
        <v>4.2999999999999999E-4</v>
      </c>
      <c r="K27" s="255"/>
      <c r="M27" s="258"/>
      <c r="N27" s="43"/>
      <c r="O27" s="55"/>
    </row>
    <row r="28" spans="2:15" s="44" customFormat="1" x14ac:dyDescent="0.2">
      <c r="B28" s="246">
        <v>15</v>
      </c>
      <c r="D28" s="44" t="s">
        <v>14</v>
      </c>
      <c r="E28" s="246"/>
      <c r="F28" s="4">
        <f>'Sch 85 87 Rate Calc'!G24</f>
        <v>3787707.5666823532</v>
      </c>
      <c r="G28" s="52"/>
      <c r="H28" s="51"/>
      <c r="I28" s="261"/>
      <c r="J28" s="262">
        <f>'Sch 85 87 Rate Calc'!L24</f>
        <v>3.2000000000000003E-4</v>
      </c>
      <c r="K28" s="255"/>
      <c r="M28" s="258"/>
      <c r="N28" s="43"/>
      <c r="O28" s="55"/>
    </row>
    <row r="29" spans="2:15" s="44" customFormat="1" x14ac:dyDescent="0.2">
      <c r="B29" s="246">
        <v>16</v>
      </c>
      <c r="D29" s="44" t="s">
        <v>19</v>
      </c>
      <c r="E29" s="246"/>
      <c r="F29" s="3">
        <f>'Sch 85 87 Rate Calc'!G25</f>
        <v>10059914.389264509</v>
      </c>
      <c r="G29" s="52"/>
      <c r="H29" s="51"/>
      <c r="I29" s="261"/>
      <c r="J29" s="262">
        <f>'Sch 85 87 Rate Calc'!L25</f>
        <v>2.1000000000000001E-4</v>
      </c>
      <c r="K29" s="255"/>
      <c r="M29" s="258"/>
      <c r="N29" s="43"/>
      <c r="O29" s="55"/>
    </row>
    <row r="30" spans="2:15" s="44" customFormat="1" x14ac:dyDescent="0.2">
      <c r="B30" s="246">
        <v>17</v>
      </c>
      <c r="D30" s="44" t="s">
        <v>0</v>
      </c>
      <c r="E30" s="246"/>
      <c r="F30" s="36">
        <f>SUM(F24:F29)</f>
        <v>21540918.541179165</v>
      </c>
      <c r="G30" s="52">
        <f>+'Margin Revenue'!O20</f>
        <v>1671039.2619916026</v>
      </c>
      <c r="H30" s="51">
        <f>G30/G$47</f>
        <v>2.6383927294152511E-3</v>
      </c>
      <c r="I30" s="261">
        <f>$I$49*H30</f>
        <v>12725.830340034348</v>
      </c>
      <c r="J30" s="256"/>
      <c r="K30" s="52">
        <f>'Sch 85 87 Rate Calc'!M26</f>
        <v>9287.1081793958765</v>
      </c>
      <c r="M30" s="258"/>
      <c r="N30" s="43"/>
      <c r="O30" s="55"/>
    </row>
    <row r="31" spans="2:15" s="44" customFormat="1" x14ac:dyDescent="0.2">
      <c r="B31" s="246"/>
      <c r="E31" s="246"/>
      <c r="F31" s="36"/>
      <c r="G31" s="260"/>
      <c r="H31" s="51"/>
      <c r="I31" s="261"/>
      <c r="J31" s="256"/>
      <c r="K31" s="52"/>
      <c r="M31" s="263"/>
      <c r="N31" s="43"/>
      <c r="O31" s="55"/>
    </row>
    <row r="32" spans="2:15" s="44" customFormat="1" x14ac:dyDescent="0.2">
      <c r="B32" s="246">
        <f>B30+1</f>
        <v>18</v>
      </c>
      <c r="C32" s="44" t="s">
        <v>20</v>
      </c>
      <c r="E32" s="246" t="s">
        <v>3</v>
      </c>
      <c r="F32" s="36"/>
      <c r="G32" s="260"/>
      <c r="H32" s="51"/>
      <c r="I32" s="261"/>
      <c r="J32" s="256"/>
      <c r="K32" s="52"/>
      <c r="M32" s="263"/>
      <c r="N32" s="43"/>
      <c r="O32" s="55"/>
    </row>
    <row r="33" spans="2:15" s="44" customFormat="1" x14ac:dyDescent="0.2">
      <c r="B33" s="246">
        <f>B32+1</f>
        <v>19</v>
      </c>
      <c r="D33" s="44" t="s">
        <v>18</v>
      </c>
      <c r="E33" s="246"/>
      <c r="F33" s="4">
        <f>'Sch 85 87 Rate Calc'!G29</f>
        <v>23538157.823504049</v>
      </c>
      <c r="G33" s="260"/>
      <c r="H33" s="51"/>
      <c r="I33" s="261"/>
      <c r="J33" s="264">
        <f>'Sch 85 87 Rate Calc'!L29</f>
        <v>1.66E-3</v>
      </c>
      <c r="K33" s="52"/>
      <c r="M33" s="263"/>
      <c r="N33" s="43"/>
      <c r="O33" s="55"/>
    </row>
    <row r="34" spans="2:15" s="44" customFormat="1" x14ac:dyDescent="0.2">
      <c r="B34" s="246">
        <f>B33+1</f>
        <v>20</v>
      </c>
      <c r="D34" s="44" t="s">
        <v>17</v>
      </c>
      <c r="E34" s="246"/>
      <c r="F34" s="4">
        <f>'Sch 85 87 Rate Calc'!G30</f>
        <v>16225318.148222974</v>
      </c>
      <c r="G34" s="260"/>
      <c r="H34" s="51"/>
      <c r="I34" s="261"/>
      <c r="J34" s="264">
        <f>'Sch 85 87 Rate Calc'!L30</f>
        <v>1.01E-3</v>
      </c>
      <c r="K34" s="52"/>
      <c r="M34" s="263"/>
      <c r="N34" s="43"/>
      <c r="O34" s="55"/>
    </row>
    <row r="35" spans="2:15" s="44" customFormat="1" x14ac:dyDescent="0.2">
      <c r="B35" s="246">
        <f>B34+1</f>
        <v>21</v>
      </c>
      <c r="D35" s="44" t="s">
        <v>21</v>
      </c>
      <c r="E35" s="246"/>
      <c r="F35" s="3">
        <f>'Sch 85 87 Rate Calc'!G35</f>
        <v>27102814.730147038</v>
      </c>
      <c r="G35" s="260"/>
      <c r="H35" s="51"/>
      <c r="I35" s="261"/>
      <c r="J35" s="264">
        <f>'Sch 85 87 Rate Calc'!L35</f>
        <v>5.5000000000000003E-4</v>
      </c>
      <c r="K35" s="52"/>
      <c r="M35" s="263"/>
      <c r="N35" s="43"/>
      <c r="O35" s="55"/>
    </row>
    <row r="36" spans="2:15" s="44" customFormat="1" x14ac:dyDescent="0.2">
      <c r="B36" s="246">
        <f>B35+1</f>
        <v>22</v>
      </c>
      <c r="D36" s="44" t="s">
        <v>0</v>
      </c>
      <c r="E36" s="246"/>
      <c r="F36" s="36">
        <f>SUM(F33:F35)</f>
        <v>66866290.701874062</v>
      </c>
      <c r="G36" s="52">
        <f>+'Margin Revenue'!O24</f>
        <v>8283860.6493457118</v>
      </c>
      <c r="H36" s="51">
        <f>G36/G$47</f>
        <v>1.3079332249006521E-2</v>
      </c>
      <c r="I36" s="261">
        <f>$I$49*H36</f>
        <v>63085.893660223315</v>
      </c>
      <c r="J36" s="256"/>
      <c r="K36" s="52">
        <f>'Sch 85 87 Rate Calc'!M36</f>
        <v>70367.461418302802</v>
      </c>
      <c r="M36" s="258"/>
      <c r="N36" s="43"/>
      <c r="O36" s="55"/>
    </row>
    <row r="37" spans="2:15" s="44" customFormat="1" x14ac:dyDescent="0.2">
      <c r="B37" s="246"/>
      <c r="E37" s="246"/>
      <c r="F37" s="36"/>
      <c r="G37" s="260"/>
      <c r="H37" s="51"/>
      <c r="I37" s="261"/>
      <c r="J37" s="256"/>
      <c r="K37" s="52"/>
      <c r="M37" s="263"/>
      <c r="N37" s="43"/>
      <c r="O37" s="55"/>
    </row>
    <row r="38" spans="2:15" s="44" customFormat="1" x14ac:dyDescent="0.2">
      <c r="B38" s="246">
        <f>B36+1</f>
        <v>23</v>
      </c>
      <c r="C38" s="44" t="s">
        <v>20</v>
      </c>
      <c r="E38" s="246" t="s">
        <v>2</v>
      </c>
      <c r="F38" s="36"/>
      <c r="G38" s="260"/>
      <c r="H38" s="51"/>
      <c r="I38" s="261"/>
      <c r="J38" s="256"/>
      <c r="K38" s="52"/>
      <c r="M38" s="263"/>
      <c r="N38" s="43"/>
      <c r="O38" s="55"/>
    </row>
    <row r="39" spans="2:15" s="44" customFormat="1" x14ac:dyDescent="0.2">
      <c r="B39" s="246">
        <f t="shared" ref="B39:B45" si="0">B38+1</f>
        <v>24</v>
      </c>
      <c r="D39" s="44" t="s">
        <v>18</v>
      </c>
      <c r="E39" s="246"/>
      <c r="F39" s="4">
        <f>'Sch 85 87 Rate Calc'!G39</f>
        <v>3035477.9696629848</v>
      </c>
      <c r="G39" s="260"/>
      <c r="H39" s="51"/>
      <c r="I39" s="261"/>
      <c r="J39" s="264">
        <f>'Sch 85 87 Rate Calc'!L39</f>
        <v>1.66E-3</v>
      </c>
      <c r="K39" s="52"/>
      <c r="M39" s="263"/>
      <c r="N39" s="43"/>
      <c r="O39" s="55"/>
    </row>
    <row r="40" spans="2:15" s="44" customFormat="1" x14ac:dyDescent="0.2">
      <c r="B40" s="246">
        <f t="shared" si="0"/>
        <v>25</v>
      </c>
      <c r="D40" s="44" t="s">
        <v>17</v>
      </c>
      <c r="E40" s="246"/>
      <c r="F40" s="4">
        <f>'Sch 85 87 Rate Calc'!G40</f>
        <v>3035477.9696629848</v>
      </c>
      <c r="G40" s="260"/>
      <c r="H40" s="51"/>
      <c r="I40" s="261"/>
      <c r="J40" s="264">
        <f>'Sch 85 87 Rate Calc'!L40</f>
        <v>1.01E-3</v>
      </c>
      <c r="K40" s="52"/>
      <c r="M40" s="263"/>
      <c r="N40" s="43"/>
      <c r="O40" s="55"/>
    </row>
    <row r="41" spans="2:15" s="44" customFormat="1" x14ac:dyDescent="0.2">
      <c r="B41" s="246">
        <f t="shared" si="0"/>
        <v>26</v>
      </c>
      <c r="D41" s="44" t="s">
        <v>16</v>
      </c>
      <c r="E41" s="246"/>
      <c r="F41" s="4">
        <f>'Sch 85 87 Rate Calc'!G41</f>
        <v>6070955.9393259697</v>
      </c>
      <c r="G41" s="260"/>
      <c r="H41" s="51"/>
      <c r="I41" s="261"/>
      <c r="J41" s="264">
        <f>'Sch 85 87 Rate Calc'!L41</f>
        <v>6.6E-4</v>
      </c>
      <c r="K41" s="52"/>
      <c r="M41" s="263"/>
      <c r="N41" s="43"/>
      <c r="O41" s="55"/>
    </row>
    <row r="42" spans="2:15" s="44" customFormat="1" x14ac:dyDescent="0.2">
      <c r="B42" s="246">
        <f t="shared" si="0"/>
        <v>27</v>
      </c>
      <c r="D42" s="44" t="s">
        <v>15</v>
      </c>
      <c r="E42" s="246"/>
      <c r="F42" s="4">
        <f>'Sch 85 87 Rate Calc'!G42</f>
        <v>11401705.21902379</v>
      </c>
      <c r="G42" s="260"/>
      <c r="H42" s="51"/>
      <c r="I42" s="261"/>
      <c r="J42" s="264">
        <f>'Sch 85 87 Rate Calc'!L42</f>
        <v>4.2999999999999999E-4</v>
      </c>
      <c r="K42" s="52"/>
      <c r="M42" s="263"/>
      <c r="N42" s="43"/>
      <c r="O42" s="55"/>
    </row>
    <row r="43" spans="2:15" s="44" customFormat="1" x14ac:dyDescent="0.2">
      <c r="B43" s="246">
        <f t="shared" si="0"/>
        <v>28</v>
      </c>
      <c r="D43" s="44" t="s">
        <v>14</v>
      </c>
      <c r="E43" s="246"/>
      <c r="F43" s="4">
        <f>'Sch 85 87 Rate Calc'!G43</f>
        <v>25825983.289942399</v>
      </c>
      <c r="G43" s="260"/>
      <c r="H43" s="51"/>
      <c r="I43" s="261"/>
      <c r="J43" s="264">
        <f>'Sch 85 87 Rate Calc'!L43</f>
        <v>3.2000000000000003E-4</v>
      </c>
      <c r="K43" s="52"/>
      <c r="M43" s="263"/>
      <c r="N43" s="43"/>
      <c r="O43" s="55"/>
    </row>
    <row r="44" spans="2:15" s="44" customFormat="1" x14ac:dyDescent="0.2">
      <c r="B44" s="246">
        <f t="shared" si="0"/>
        <v>29</v>
      </c>
      <c r="D44" s="44" t="s">
        <v>19</v>
      </c>
      <c r="E44" s="246"/>
      <c r="F44" s="3">
        <f>'Sch 85 87 Rate Calc'!G44</f>
        <v>45874903.066759773</v>
      </c>
      <c r="G44" s="260"/>
      <c r="H44" s="51"/>
      <c r="I44" s="261"/>
      <c r="J44" s="264">
        <f>'Sch 85 87 Rate Calc'!L44</f>
        <v>2.1000000000000001E-4</v>
      </c>
      <c r="K44" s="52"/>
      <c r="M44" s="263"/>
      <c r="N44" s="43"/>
      <c r="O44" s="55"/>
    </row>
    <row r="45" spans="2:15" s="44" customFormat="1" x14ac:dyDescent="0.2">
      <c r="B45" s="246">
        <f t="shared" si="0"/>
        <v>30</v>
      </c>
      <c r="D45" s="44" t="s">
        <v>0</v>
      </c>
      <c r="E45" s="246"/>
      <c r="F45" s="36">
        <f>SUM(F39:F44)</f>
        <v>95244503.45437789</v>
      </c>
      <c r="G45" s="52">
        <f>+'Margin Revenue'!O25</f>
        <v>5401238.4822074901</v>
      </c>
      <c r="H45" s="51">
        <f>G45/G$47</f>
        <v>8.5279793631597624E-3</v>
      </c>
      <c r="I45" s="261">
        <f>$I$49*H45</f>
        <v>41133.231345334221</v>
      </c>
      <c r="J45" s="256"/>
      <c r="K45" s="52">
        <f>'Sch 85 87 Rate Calc'!M45</f>
        <v>34912.334639936656</v>
      </c>
      <c r="M45" s="258"/>
      <c r="N45" s="43"/>
      <c r="O45" s="55"/>
    </row>
    <row r="46" spans="2:15" s="44" customFormat="1" x14ac:dyDescent="0.2">
      <c r="B46" s="246"/>
      <c r="F46" s="82"/>
      <c r="G46" s="80"/>
      <c r="H46" s="265"/>
      <c r="I46" s="266"/>
      <c r="J46" s="42"/>
      <c r="K46" s="266"/>
      <c r="L46" s="80"/>
      <c r="M46" s="258"/>
      <c r="N46" s="267"/>
      <c r="O46" s="55"/>
    </row>
    <row r="47" spans="2:15" s="44" customFormat="1" x14ac:dyDescent="0.2">
      <c r="B47" s="246">
        <f>B45+1</f>
        <v>31</v>
      </c>
      <c r="D47" s="44" t="s">
        <v>0</v>
      </c>
      <c r="F47" s="17">
        <f>F9+F11+F13+F19+F21+F30+F36+F45</f>
        <v>1147879480.5355639</v>
      </c>
      <c r="G47" s="13">
        <f>G9+G11+G13+G19+G21+G30+G36+G45</f>
        <v>633355013.20986295</v>
      </c>
      <c r="H47" s="51">
        <f>SUM(H9:H46)</f>
        <v>0.99999999999999978</v>
      </c>
      <c r="I47" s="13">
        <f>I9+I11+I13+I19+I21+I30+I36+I45</f>
        <v>4823326.7921621278</v>
      </c>
      <c r="J47" s="256">
        <f>ROUND(K47/F47,5)</f>
        <v>4.1999999999999997E-3</v>
      </c>
      <c r="K47" s="13">
        <f>K9+K11+K13+K19+K21+K30+K36+K45</f>
        <v>4825008.0864071492</v>
      </c>
      <c r="L47" s="268">
        <f>K47-I47</f>
        <v>1681.2942450214177</v>
      </c>
      <c r="M47" s="258"/>
      <c r="N47" s="43"/>
      <c r="O47" s="55"/>
    </row>
    <row r="48" spans="2:15" s="44" customFormat="1" x14ac:dyDescent="0.2">
      <c r="B48" s="246"/>
      <c r="F48" s="47"/>
      <c r="G48" s="9"/>
      <c r="H48" s="47"/>
      <c r="I48" s="47"/>
      <c r="J48" s="47"/>
      <c r="K48" s="47"/>
      <c r="L48" s="269">
        <f>L47/I47</f>
        <v>3.4857564446048091E-4</v>
      </c>
      <c r="N48" s="56"/>
    </row>
    <row r="49" spans="2:14" s="44" customFormat="1" ht="15" customHeight="1" x14ac:dyDescent="0.2">
      <c r="B49" s="246">
        <f>B47+1</f>
        <v>32</v>
      </c>
      <c r="D49" s="44" t="s">
        <v>342</v>
      </c>
      <c r="F49" s="47"/>
      <c r="G49" s="9"/>
      <c r="H49" s="47"/>
      <c r="I49" s="52">
        <f>'Revenue Requirement'!G28</f>
        <v>4823326.7921621297</v>
      </c>
      <c r="J49" s="47"/>
      <c r="K49" s="8"/>
      <c r="L49" s="47"/>
    </row>
    <row r="50" spans="2:14" s="44" customFormat="1" x14ac:dyDescent="0.2">
      <c r="I50" s="25"/>
      <c r="N50" s="56"/>
    </row>
    <row r="51" spans="2:14" s="44" customFormat="1" ht="15" customHeight="1" x14ac:dyDescent="0.2">
      <c r="B51" s="270" t="s">
        <v>30</v>
      </c>
      <c r="C51" s="271" t="str">
        <f>'Margin Revenue'!C37</f>
        <v>Weather normalized volume for the year ending December 31, 2022 from the 2022 Commission Basis Report (CBR).</v>
      </c>
      <c r="D51" s="272"/>
      <c r="E51" s="272"/>
      <c r="F51" s="272"/>
      <c r="G51" s="272"/>
      <c r="H51" s="272"/>
      <c r="I51" s="272"/>
      <c r="J51" s="272"/>
      <c r="K51" s="272"/>
    </row>
    <row r="52" spans="2:14" s="44" customFormat="1" ht="15" customHeight="1" x14ac:dyDescent="0.2">
      <c r="B52" s="270" t="s">
        <v>29</v>
      </c>
      <c r="C52" s="570" t="str">
        <f>'Margin Revenue'!$C$38</f>
        <v>Weather normalized margin revenue for 12 months ending December 31, 2022, given 2022 volume, priced at current rates effective May 1, 2023.</v>
      </c>
      <c r="D52" s="570"/>
      <c r="E52" s="570"/>
      <c r="F52" s="570"/>
      <c r="G52" s="570"/>
      <c r="H52" s="570"/>
      <c r="I52" s="570"/>
      <c r="J52" s="570"/>
      <c r="K52" s="570"/>
      <c r="L52" s="12"/>
    </row>
    <row r="53" spans="2:14" x14ac:dyDescent="0.2">
      <c r="B53" s="38"/>
      <c r="D53" s="39"/>
      <c r="E53" s="39"/>
      <c r="F53" s="39"/>
      <c r="G53" s="39"/>
      <c r="H53" s="39"/>
    </row>
    <row r="54" spans="2:14" x14ac:dyDescent="0.2">
      <c r="C54" s="47"/>
      <c r="D54" s="47"/>
      <c r="H54" s="39"/>
    </row>
    <row r="55" spans="2:14" x14ac:dyDescent="0.2">
      <c r="C55" s="47"/>
      <c r="D55" s="40"/>
      <c r="E55" s="37"/>
      <c r="F55" s="37"/>
      <c r="H55" s="39"/>
    </row>
    <row r="56" spans="2:14" x14ac:dyDescent="0.2">
      <c r="C56" s="47"/>
      <c r="D56" s="37"/>
      <c r="E56" s="47"/>
      <c r="F56" s="47"/>
      <c r="G56" s="39"/>
      <c r="H56" s="39"/>
    </row>
    <row r="57" spans="2:14" x14ac:dyDescent="0.2">
      <c r="C57" s="47"/>
      <c r="D57" s="37"/>
      <c r="E57" s="48"/>
      <c r="F57" s="41"/>
      <c r="H57" s="39"/>
    </row>
    <row r="58" spans="2:14" x14ac:dyDescent="0.2">
      <c r="C58" s="39"/>
      <c r="D58" s="39"/>
      <c r="E58" s="48"/>
      <c r="F58" s="41"/>
      <c r="H58" s="39"/>
    </row>
    <row r="59" spans="2:14" x14ac:dyDescent="0.2">
      <c r="E59" s="48"/>
      <c r="F59" s="41"/>
    </row>
    <row r="60" spans="2:14" x14ac:dyDescent="0.2">
      <c r="E60" s="37"/>
      <c r="F60" s="37"/>
    </row>
    <row r="61" spans="2:14" x14ac:dyDescent="0.2">
      <c r="E61" s="37"/>
      <c r="F61" s="37"/>
    </row>
    <row r="62" spans="2:14" x14ac:dyDescent="0.2">
      <c r="E62" s="37"/>
      <c r="F62" s="37"/>
    </row>
  </sheetData>
  <mergeCells count="1">
    <mergeCell ref="C8:D8"/>
  </mergeCells>
  <printOptions horizontalCentered="1"/>
  <pageMargins left="0.75" right="0.75" top="1" bottom="1" header="0.5" footer="0.5"/>
  <pageSetup scale="76" orientation="portrait" blackAndWhite="1" horizontalDpi="300" verticalDpi="300" r:id="rId1"/>
  <headerFooter alignWithMargins="0">
    <oddFooter>&amp;L&amp;F 
&amp;A&amp;C&amp;P&amp;R&amp;D</oddFooter>
  </headerFooter>
  <customProperties>
    <customPr name="_pios_id" r:id="rId2"/>
  </customProperties>
  <ignoredErrors>
    <ignoredError sqref="H47 J4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zoomScale="90" zoomScaleNormal="90" workbookViewId="0">
      <selection activeCell="R34" sqref="R34"/>
    </sheetView>
  </sheetViews>
  <sheetFormatPr defaultRowHeight="15" x14ac:dyDescent="0.25"/>
  <sheetData/>
  <pageMargins left="0.7" right="0.7" top="0.75" bottom="0.75" header="0.3" footer="0.3"/>
  <customProperties>
    <customPr name="_pios_id" r:id="rId1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zoomScale="90" zoomScaleNormal="90" zoomScaleSheetLayoutView="100" workbookViewId="0">
      <pane ySplit="8" topLeftCell="A9" activePane="bottomLeft" state="frozen"/>
      <selection activeCell="G42" sqref="G42"/>
      <selection pane="bottomLeft" activeCell="K42" sqref="K42"/>
    </sheetView>
  </sheetViews>
  <sheetFormatPr defaultColWidth="9.140625" defaultRowHeight="12.75" x14ac:dyDescent="0.2"/>
  <cols>
    <col min="1" max="1" width="2.42578125" style="45" customWidth="1"/>
    <col min="2" max="2" width="31.7109375" style="314" customWidth="1"/>
    <col min="3" max="3" width="9.7109375" style="314" customWidth="1"/>
    <col min="4" max="4" width="15.28515625" style="44" bestFit="1" customWidth="1"/>
    <col min="5" max="5" width="10.42578125" style="44" customWidth="1"/>
    <col min="6" max="6" width="13.7109375" style="314" bestFit="1" customWidth="1"/>
    <col min="7" max="7" width="2.85546875" style="315" customWidth="1"/>
    <col min="8" max="8" width="10.42578125" style="45" bestFit="1" customWidth="1"/>
    <col min="9" max="9" width="13.28515625" style="316" customWidth="1"/>
    <col min="10" max="10" width="2.85546875" style="317" customWidth="1"/>
    <col min="11" max="11" width="13.28515625" style="45" customWidth="1"/>
    <col min="12" max="12" width="10.42578125" style="318" customWidth="1"/>
    <col min="13" max="13" width="2.85546875" style="318" customWidth="1"/>
    <col min="14" max="14" width="14.5703125" style="45" customWidth="1"/>
    <col min="15" max="16384" width="9.140625" style="45"/>
  </cols>
  <sheetData>
    <row r="1" spans="2:23" x14ac:dyDescent="0.2">
      <c r="B1" s="309" t="s">
        <v>12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10"/>
      <c r="N1" s="35"/>
    </row>
    <row r="2" spans="2:23" x14ac:dyDescent="0.2">
      <c r="B2" s="311" t="s">
        <v>312</v>
      </c>
      <c r="C2" s="312"/>
      <c r="D2" s="71"/>
      <c r="E2" s="71"/>
      <c r="F2" s="312"/>
      <c r="G2" s="312"/>
      <c r="H2" s="312"/>
      <c r="I2" s="312"/>
      <c r="J2" s="312"/>
      <c r="K2" s="312"/>
      <c r="L2" s="312"/>
      <c r="M2" s="310"/>
      <c r="N2" s="35"/>
    </row>
    <row r="3" spans="2:23" x14ac:dyDescent="0.2">
      <c r="B3" s="311" t="s">
        <v>313</v>
      </c>
      <c r="C3" s="312"/>
      <c r="D3" s="71"/>
      <c r="E3" s="71"/>
      <c r="F3" s="312"/>
      <c r="G3" s="312"/>
      <c r="H3" s="312"/>
      <c r="I3" s="312"/>
      <c r="J3" s="312"/>
      <c r="K3" s="312"/>
      <c r="L3" s="312"/>
      <c r="M3" s="310"/>
      <c r="N3" s="35"/>
    </row>
    <row r="4" spans="2:23" x14ac:dyDescent="0.2">
      <c r="B4" s="311" t="s">
        <v>119</v>
      </c>
      <c r="C4" s="312"/>
      <c r="D4" s="71"/>
      <c r="E4" s="71"/>
      <c r="F4" s="312"/>
      <c r="G4" s="312"/>
      <c r="H4" s="312"/>
      <c r="I4" s="312"/>
      <c r="J4" s="312"/>
      <c r="K4" s="312"/>
      <c r="L4" s="312"/>
      <c r="M4" s="310"/>
      <c r="N4" s="35"/>
    </row>
    <row r="5" spans="2:23" x14ac:dyDescent="0.2">
      <c r="B5" s="311" t="s">
        <v>314</v>
      </c>
      <c r="C5" s="312"/>
      <c r="D5" s="71"/>
      <c r="E5" s="71"/>
      <c r="F5" s="312"/>
      <c r="G5" s="312"/>
      <c r="H5" s="312"/>
      <c r="I5" s="312"/>
      <c r="J5" s="312"/>
      <c r="K5" s="312"/>
      <c r="L5" s="312"/>
      <c r="M5" s="310"/>
      <c r="N5" s="313"/>
    </row>
    <row r="6" spans="2:23" x14ac:dyDescent="0.2">
      <c r="N6" s="37"/>
    </row>
    <row r="7" spans="2:23" ht="15" customHeight="1" x14ac:dyDescent="0.2">
      <c r="B7" s="319"/>
      <c r="C7" s="320"/>
      <c r="D7" s="72" t="s">
        <v>85</v>
      </c>
      <c r="E7" s="73" t="s">
        <v>249</v>
      </c>
      <c r="F7" s="321"/>
      <c r="G7" s="322"/>
      <c r="H7" s="323" t="s">
        <v>250</v>
      </c>
      <c r="I7" s="321"/>
      <c r="J7" s="324"/>
      <c r="K7" s="321" t="s">
        <v>120</v>
      </c>
      <c r="L7" s="325"/>
      <c r="M7" s="326"/>
      <c r="N7" s="327" t="s">
        <v>87</v>
      </c>
    </row>
    <row r="8" spans="2:23" x14ac:dyDescent="0.2">
      <c r="B8" s="328" t="s">
        <v>88</v>
      </c>
      <c r="C8" s="329" t="s">
        <v>89</v>
      </c>
      <c r="D8" s="306" t="s">
        <v>90</v>
      </c>
      <c r="E8" s="306" t="s">
        <v>82</v>
      </c>
      <c r="F8" s="330" t="s">
        <v>91</v>
      </c>
      <c r="G8" s="329"/>
      <c r="H8" s="329" t="s">
        <v>82</v>
      </c>
      <c r="I8" s="330" t="s">
        <v>91</v>
      </c>
      <c r="J8" s="330"/>
      <c r="K8" s="330" t="s">
        <v>121</v>
      </c>
      <c r="L8" s="331" t="s">
        <v>122</v>
      </c>
      <c r="M8" s="332"/>
      <c r="N8" s="333" t="s">
        <v>123</v>
      </c>
    </row>
    <row r="9" spans="2:23" x14ac:dyDescent="0.2">
      <c r="B9" s="37"/>
      <c r="C9" s="37"/>
      <c r="D9" s="47"/>
      <c r="E9" s="47"/>
      <c r="F9" s="37"/>
      <c r="H9" s="37"/>
      <c r="I9" s="317"/>
      <c r="K9" s="37"/>
      <c r="L9" s="334"/>
      <c r="M9" s="334"/>
      <c r="N9" s="37"/>
    </row>
    <row r="10" spans="2:23" x14ac:dyDescent="0.2">
      <c r="B10" s="335" t="s">
        <v>124</v>
      </c>
      <c r="C10" s="336"/>
      <c r="D10" s="274"/>
      <c r="E10" s="274"/>
      <c r="F10" s="337"/>
      <c r="G10" s="338"/>
      <c r="H10" s="274"/>
      <c r="I10" s="339"/>
      <c r="J10" s="339"/>
      <c r="K10" s="339"/>
      <c r="L10" s="340"/>
      <c r="M10" s="334"/>
      <c r="N10" s="37"/>
    </row>
    <row r="11" spans="2:23" x14ac:dyDescent="0.2">
      <c r="B11" s="341"/>
      <c r="C11" s="37"/>
      <c r="D11" s="47"/>
      <c r="E11" s="47"/>
      <c r="F11" s="37"/>
      <c r="G11" s="342"/>
      <c r="H11" s="47"/>
      <c r="I11" s="343"/>
      <c r="J11" s="343"/>
      <c r="K11" s="343"/>
      <c r="L11" s="344"/>
      <c r="M11" s="334"/>
      <c r="N11" s="327" t="s">
        <v>251</v>
      </c>
    </row>
    <row r="12" spans="2:23" x14ac:dyDescent="0.2">
      <c r="B12" s="75" t="s">
        <v>92</v>
      </c>
      <c r="C12" s="76" t="s">
        <v>93</v>
      </c>
      <c r="D12" s="41">
        <v>9634497.6315792762</v>
      </c>
      <c r="E12" s="92">
        <v>11.52</v>
      </c>
      <c r="F12" s="343">
        <f>SUM(+D12*E12)</f>
        <v>110989412.71579325</v>
      </c>
      <c r="H12" s="345">
        <v>12.5</v>
      </c>
      <c r="I12" s="343">
        <f>SUM(+D12*H12)</f>
        <v>120431220.39474095</v>
      </c>
      <c r="J12" s="343"/>
      <c r="K12" s="343">
        <f>I12-F12</f>
        <v>9441807.6789477021</v>
      </c>
      <c r="L12" s="346">
        <f>IFERROR(ROUND(K12/F12,5), )</f>
        <v>8.5070000000000007E-2</v>
      </c>
      <c r="M12" s="334"/>
      <c r="N12" s="347">
        <v>403617221.39551479</v>
      </c>
    </row>
    <row r="13" spans="2:23" x14ac:dyDescent="0.2">
      <c r="B13" s="341" t="s">
        <v>94</v>
      </c>
      <c r="C13" s="37" t="s">
        <v>95</v>
      </c>
      <c r="D13" s="315">
        <v>620836684.05687141</v>
      </c>
      <c r="E13" s="78">
        <v>0.41964000000000001</v>
      </c>
      <c r="F13" s="343">
        <f>ROUND(D13*E13,2)</f>
        <v>260527906.09999999</v>
      </c>
      <c r="H13" s="112">
        <f>ROUND((N12-I12-I20-I32)/D13, 5)</f>
        <v>0.45612999999999998</v>
      </c>
      <c r="I13" s="343">
        <f>ROUND(D13*H13,2)</f>
        <v>283182236.69999999</v>
      </c>
      <c r="J13" s="343"/>
      <c r="K13" s="343">
        <f>I13-F13</f>
        <v>22654330.599999994</v>
      </c>
      <c r="L13" s="346">
        <f>IFERROR(ROUND(K13/F13,5), )</f>
        <v>8.6959999999999996E-2</v>
      </c>
      <c r="M13" s="37"/>
      <c r="N13" s="348" t="s">
        <v>125</v>
      </c>
    </row>
    <row r="14" spans="2:23" x14ac:dyDescent="0.2">
      <c r="B14" s="349"/>
      <c r="C14" s="350"/>
      <c r="D14" s="41"/>
      <c r="E14" s="47"/>
      <c r="F14" s="351">
        <f>SUM(F12:F13)</f>
        <v>371517318.81579328</v>
      </c>
      <c r="H14" s="47"/>
      <c r="I14" s="351">
        <f>SUM(I12:I13)</f>
        <v>403613457.09474093</v>
      </c>
      <c r="J14" s="343"/>
      <c r="K14" s="351">
        <f>SUM(K12:K13)</f>
        <v>32096138.278947696</v>
      </c>
      <c r="L14" s="352">
        <f>IFERROR(ROUND(K14/F14,5), )</f>
        <v>8.6389999999999995E-2</v>
      </c>
      <c r="M14" s="37"/>
      <c r="N14" s="353">
        <f>I37-N12</f>
        <v>1468.8492261171341</v>
      </c>
    </row>
    <row r="15" spans="2:23" x14ac:dyDescent="0.2">
      <c r="B15" s="349"/>
      <c r="C15" s="354"/>
      <c r="D15" s="47"/>
      <c r="E15" s="78"/>
      <c r="F15" s="355"/>
      <c r="H15" s="47"/>
      <c r="I15" s="343"/>
      <c r="J15" s="343"/>
      <c r="K15" s="343"/>
      <c r="L15" s="344"/>
      <c r="M15" s="356"/>
    </row>
    <row r="16" spans="2:23" x14ac:dyDescent="0.2">
      <c r="B16" s="357" t="s">
        <v>252</v>
      </c>
      <c r="C16" s="350"/>
      <c r="D16" s="315"/>
      <c r="E16" s="47"/>
      <c r="F16" s="351">
        <f>F14</f>
        <v>371517318.81579328</v>
      </c>
      <c r="H16" s="47"/>
      <c r="I16" s="351">
        <f>I14</f>
        <v>403613457.09474093</v>
      </c>
      <c r="J16" s="343"/>
      <c r="K16" s="351">
        <f>K14</f>
        <v>32096138.278947696</v>
      </c>
      <c r="L16" s="352">
        <f>IFERROR(ROUND(K16/F16,5), )</f>
        <v>8.6389999999999995E-2</v>
      </c>
      <c r="M16" s="356"/>
      <c r="N16" s="358">
        <v>8.0480791636416082E-2</v>
      </c>
      <c r="O16" s="37"/>
      <c r="W16" s="37"/>
    </row>
    <row r="17" spans="1:23" s="44" customFormat="1" x14ac:dyDescent="0.2">
      <c r="B17" s="79"/>
      <c r="C17" s="80"/>
      <c r="D17" s="80"/>
      <c r="E17" s="80"/>
      <c r="F17" s="81"/>
      <c r="G17" s="82"/>
      <c r="H17" s="80"/>
      <c r="I17" s="81"/>
      <c r="J17" s="81"/>
      <c r="K17" s="81"/>
      <c r="L17" s="83"/>
      <c r="M17" s="47"/>
      <c r="N17" s="47"/>
      <c r="O17" s="47"/>
      <c r="W17" s="47"/>
    </row>
    <row r="18" spans="1:23" x14ac:dyDescent="0.2">
      <c r="A18" s="44"/>
      <c r="B18" s="87" t="s">
        <v>127</v>
      </c>
      <c r="C18" s="359"/>
      <c r="D18" s="274"/>
      <c r="E18" s="274"/>
      <c r="F18" s="339"/>
      <c r="G18" s="338"/>
      <c r="H18" s="274"/>
      <c r="I18" s="339"/>
      <c r="J18" s="339"/>
      <c r="K18" s="339"/>
      <c r="L18" s="360"/>
      <c r="M18" s="37"/>
      <c r="N18" s="37"/>
      <c r="O18" s="37"/>
      <c r="W18" s="37"/>
    </row>
    <row r="19" spans="1:23" s="44" customFormat="1" x14ac:dyDescent="0.2">
      <c r="B19" s="88"/>
      <c r="C19" s="47"/>
      <c r="D19" s="47"/>
      <c r="E19" s="47"/>
      <c r="F19" s="85"/>
      <c r="G19" s="89"/>
      <c r="H19" s="47"/>
      <c r="I19" s="85"/>
      <c r="J19" s="85"/>
      <c r="K19" s="85"/>
      <c r="L19" s="90"/>
      <c r="M19" s="91"/>
      <c r="N19" s="361"/>
      <c r="O19" s="47"/>
      <c r="W19" s="47"/>
    </row>
    <row r="20" spans="1:23" s="44" customFormat="1" ht="13.5" customHeight="1" x14ac:dyDescent="0.2">
      <c r="B20" s="75" t="s">
        <v>92</v>
      </c>
      <c r="C20" s="76" t="s">
        <v>93</v>
      </c>
      <c r="D20" s="41">
        <v>0</v>
      </c>
      <c r="E20" s="92">
        <v>11.52</v>
      </c>
      <c r="F20" s="85">
        <f>SUM(+D20*E20)</f>
        <v>0</v>
      </c>
      <c r="G20" s="41"/>
      <c r="H20" s="345">
        <f>H12</f>
        <v>12.5</v>
      </c>
      <c r="I20" s="85">
        <f>SUM(+D20*H20)</f>
        <v>0</v>
      </c>
      <c r="J20" s="85"/>
      <c r="K20" s="85">
        <f>I20-F20</f>
        <v>0</v>
      </c>
      <c r="L20" s="346">
        <f t="shared" ref="L20:L21" si="0">IFERROR(ROUND(K20/F20,5), )</f>
        <v>0</v>
      </c>
      <c r="M20" s="91"/>
      <c r="N20" s="119"/>
      <c r="O20" s="47"/>
      <c r="W20" s="47"/>
    </row>
    <row r="21" spans="1:23" s="44" customFormat="1" ht="13.5" customHeight="1" x14ac:dyDescent="0.2">
      <c r="B21" s="341" t="s">
        <v>94</v>
      </c>
      <c r="C21" s="37" t="s">
        <v>95</v>
      </c>
      <c r="D21" s="41">
        <v>0</v>
      </c>
      <c r="E21" s="78">
        <v>0.41964000000000001</v>
      </c>
      <c r="F21" s="85">
        <f>ROUND(D21*E21,2)</f>
        <v>0</v>
      </c>
      <c r="G21" s="41"/>
      <c r="H21" s="112">
        <f>H13</f>
        <v>0.45612999999999998</v>
      </c>
      <c r="I21" s="85">
        <f>ROUND(D21*H21,2)</f>
        <v>0</v>
      </c>
      <c r="J21" s="85"/>
      <c r="K21" s="85">
        <f>I21-F21</f>
        <v>0</v>
      </c>
      <c r="L21" s="346">
        <f t="shared" si="0"/>
        <v>0</v>
      </c>
      <c r="M21" s="91"/>
      <c r="N21" s="362"/>
      <c r="O21" s="47"/>
      <c r="W21" s="47"/>
    </row>
    <row r="22" spans="1:23" s="44" customFormat="1" ht="13.5" customHeight="1" x14ac:dyDescent="0.2">
      <c r="B22" s="357" t="s">
        <v>128</v>
      </c>
      <c r="C22" s="76"/>
      <c r="D22" s="41"/>
      <c r="E22" s="47"/>
      <c r="F22" s="351">
        <f>SUM(F20:F21)</f>
        <v>0</v>
      </c>
      <c r="G22" s="41"/>
      <c r="H22" s="47"/>
      <c r="I22" s="351">
        <f>SUM(I20:I21)</f>
        <v>0</v>
      </c>
      <c r="J22" s="85"/>
      <c r="K22" s="351">
        <f>SUM(K20:K21)</f>
        <v>0</v>
      </c>
      <c r="L22" s="352">
        <f>IFERROR(ROUND(K22/F22,5), )</f>
        <v>0</v>
      </c>
      <c r="M22" s="47"/>
      <c r="N22" s="362"/>
      <c r="O22" s="47"/>
      <c r="W22" s="47"/>
    </row>
    <row r="23" spans="1:23" s="44" customFormat="1" ht="13.5" customHeight="1" x14ac:dyDescent="0.2">
      <c r="B23" s="94"/>
      <c r="C23" s="148"/>
      <c r="D23" s="47"/>
      <c r="E23" s="47"/>
      <c r="F23" s="95"/>
      <c r="G23" s="41"/>
      <c r="H23" s="47"/>
      <c r="I23" s="85"/>
      <c r="J23" s="85"/>
      <c r="K23" s="85"/>
      <c r="L23" s="90"/>
      <c r="M23" s="47"/>
      <c r="N23" s="363"/>
      <c r="O23" s="47"/>
      <c r="W23" s="47"/>
    </row>
    <row r="24" spans="1:23" s="44" customFormat="1" ht="13.5" customHeight="1" x14ac:dyDescent="0.2">
      <c r="B24" s="75" t="s">
        <v>252</v>
      </c>
      <c r="C24" s="76"/>
      <c r="D24" s="47"/>
      <c r="E24" s="47"/>
      <c r="F24" s="351">
        <f>F22</f>
        <v>0</v>
      </c>
      <c r="G24" s="41"/>
      <c r="H24" s="47"/>
      <c r="I24" s="351">
        <f>I22</f>
        <v>0</v>
      </c>
      <c r="J24" s="85"/>
      <c r="K24" s="351">
        <f>K22</f>
        <v>0</v>
      </c>
      <c r="L24" s="352">
        <f>IFERROR(ROUND(K24/F24,5), )</f>
        <v>0</v>
      </c>
      <c r="M24" s="47"/>
      <c r="N24" s="364"/>
      <c r="O24" s="47"/>
      <c r="W24" s="47"/>
    </row>
    <row r="25" spans="1:23" s="44" customFormat="1" ht="13.5" customHeight="1" x14ac:dyDescent="0.2">
      <c r="B25" s="79"/>
      <c r="C25" s="80"/>
      <c r="D25" s="80"/>
      <c r="E25" s="80"/>
      <c r="F25" s="81"/>
      <c r="G25" s="80"/>
      <c r="H25" s="80"/>
      <c r="I25" s="81"/>
      <c r="J25" s="81"/>
      <c r="K25" s="81"/>
      <c r="L25" s="83"/>
      <c r="M25" s="47"/>
      <c r="N25" s="365"/>
      <c r="O25" s="47"/>
      <c r="W25" s="47"/>
    </row>
    <row r="26" spans="1:23" ht="13.5" customHeight="1" x14ac:dyDescent="0.2">
      <c r="B26" s="87" t="s">
        <v>129</v>
      </c>
      <c r="C26" s="336"/>
      <c r="D26" s="274"/>
      <c r="E26" s="274"/>
      <c r="F26" s="339"/>
      <c r="G26" s="338"/>
      <c r="H26" s="337"/>
      <c r="I26" s="339"/>
      <c r="J26" s="339"/>
      <c r="K26" s="339"/>
      <c r="L26" s="360"/>
      <c r="M26" s="37"/>
      <c r="N26" s="44"/>
      <c r="O26" s="37"/>
      <c r="W26" s="37"/>
    </row>
    <row r="27" spans="1:23" ht="13.5" customHeight="1" x14ac:dyDescent="0.2">
      <c r="B27" s="349"/>
      <c r="C27" s="354"/>
      <c r="D27" s="47"/>
      <c r="E27" s="47"/>
      <c r="F27" s="343"/>
      <c r="G27" s="366"/>
      <c r="H27" s="37"/>
      <c r="I27" s="343"/>
      <c r="J27" s="343"/>
      <c r="K27" s="343"/>
      <c r="L27" s="344"/>
      <c r="M27" s="334"/>
      <c r="N27" s="44"/>
      <c r="O27" s="37"/>
      <c r="W27" s="37"/>
    </row>
    <row r="28" spans="1:23" ht="13.5" customHeight="1" x14ac:dyDescent="0.2">
      <c r="B28" s="88" t="s">
        <v>130</v>
      </c>
      <c r="C28" s="99" t="s">
        <v>96</v>
      </c>
      <c r="D28" s="41">
        <v>431.06668421052632</v>
      </c>
      <c r="E28" s="92">
        <v>11.24</v>
      </c>
      <c r="F28" s="343">
        <f>ROUND(D28*E28,2)</f>
        <v>4845.1899999999996</v>
      </c>
      <c r="H28" s="345">
        <f>ROUND(E28*(1+N16), 2)</f>
        <v>12.14</v>
      </c>
      <c r="I28" s="343">
        <f>ROUND(D28*H28,2)</f>
        <v>5233.1499999999996</v>
      </c>
      <c r="J28" s="343"/>
      <c r="K28" s="343">
        <f>I28-F28</f>
        <v>387.96000000000004</v>
      </c>
      <c r="L28" s="346">
        <f>IFERROR(ROUND(K28/F28,5), )</f>
        <v>8.0070000000000002E-2</v>
      </c>
      <c r="M28" s="367"/>
      <c r="N28" s="44"/>
      <c r="O28" s="37"/>
      <c r="W28" s="37"/>
    </row>
    <row r="29" spans="1:23" ht="13.5" customHeight="1" x14ac:dyDescent="0.2">
      <c r="B29" s="341"/>
      <c r="C29" s="37"/>
      <c r="D29" s="47"/>
      <c r="E29" s="47"/>
      <c r="F29" s="343"/>
      <c r="G29" s="37"/>
      <c r="H29" s="37"/>
      <c r="I29" s="343"/>
      <c r="J29" s="343"/>
      <c r="K29" s="343"/>
      <c r="L29" s="346"/>
      <c r="M29" s="367"/>
      <c r="N29" s="44"/>
      <c r="O29" s="37"/>
      <c r="W29" s="37"/>
    </row>
    <row r="30" spans="1:23" ht="13.5" customHeight="1" x14ac:dyDescent="0.2">
      <c r="B30" s="357" t="s">
        <v>131</v>
      </c>
      <c r="C30" s="350"/>
      <c r="D30" s="41">
        <v>8190.2669999999998</v>
      </c>
      <c r="E30" s="41"/>
      <c r="F30" s="355"/>
      <c r="H30" s="37"/>
      <c r="I30" s="343"/>
      <c r="J30" s="343"/>
      <c r="K30" s="343"/>
      <c r="L30" s="344"/>
      <c r="M30" s="367"/>
      <c r="N30" s="44"/>
      <c r="O30" s="37"/>
      <c r="W30" s="37"/>
    </row>
    <row r="31" spans="1:23" ht="13.5" customHeight="1" x14ac:dyDescent="0.2">
      <c r="B31" s="341"/>
      <c r="C31" s="37"/>
      <c r="D31" s="47"/>
      <c r="E31" s="47"/>
      <c r="F31" s="85"/>
      <c r="G31" s="41"/>
      <c r="H31" s="47"/>
      <c r="I31" s="85"/>
      <c r="J31" s="343"/>
      <c r="K31" s="343"/>
      <c r="L31" s="344"/>
      <c r="M31" s="356"/>
      <c r="N31" s="44"/>
      <c r="O31" s="37"/>
      <c r="W31" s="37"/>
    </row>
    <row r="32" spans="1:23" ht="13.5" customHeight="1" x14ac:dyDescent="0.2">
      <c r="B32" s="341" t="s">
        <v>252</v>
      </c>
      <c r="C32" s="37"/>
      <c r="D32" s="47"/>
      <c r="E32" s="47"/>
      <c r="F32" s="351">
        <f>F28</f>
        <v>4845.1899999999996</v>
      </c>
      <c r="H32" s="37"/>
      <c r="I32" s="351">
        <f>I28</f>
        <v>5233.1499999999996</v>
      </c>
      <c r="J32" s="343"/>
      <c r="K32" s="351">
        <f>K28</f>
        <v>387.96000000000004</v>
      </c>
      <c r="L32" s="352">
        <f>IFERROR(ROUND(K32/F32,5), )</f>
        <v>8.0070000000000002E-2</v>
      </c>
      <c r="M32" s="334"/>
      <c r="N32" s="44"/>
      <c r="O32" s="37"/>
      <c r="W32" s="37"/>
    </row>
    <row r="33" spans="2:23" ht="13.5" customHeight="1" x14ac:dyDescent="0.2">
      <c r="B33" s="368"/>
      <c r="C33" s="369"/>
      <c r="D33" s="80"/>
      <c r="E33" s="80"/>
      <c r="F33" s="370"/>
      <c r="G33" s="371"/>
      <c r="H33" s="372"/>
      <c r="I33" s="373"/>
      <c r="J33" s="373"/>
      <c r="K33" s="372"/>
      <c r="L33" s="374"/>
      <c r="M33" s="362"/>
      <c r="N33" s="44"/>
      <c r="O33" s="37"/>
      <c r="W33" s="37"/>
    </row>
    <row r="34" spans="2:23" ht="13.5" customHeight="1" x14ac:dyDescent="0.2">
      <c r="B34" s="45"/>
      <c r="K34" s="37"/>
      <c r="L34" s="375"/>
      <c r="M34" s="356"/>
      <c r="O34" s="37"/>
      <c r="W34" s="37"/>
    </row>
    <row r="35" spans="2:23" x14ac:dyDescent="0.2">
      <c r="B35" s="314" t="s">
        <v>132</v>
      </c>
      <c r="K35" s="37"/>
      <c r="L35" s="375"/>
      <c r="M35" s="362"/>
      <c r="O35" s="37"/>
      <c r="W35" s="37"/>
    </row>
    <row r="36" spans="2:23" x14ac:dyDescent="0.2">
      <c r="B36" s="45"/>
      <c r="D36" s="100" t="s">
        <v>95</v>
      </c>
      <c r="F36" s="329" t="s">
        <v>86</v>
      </c>
      <c r="I36" s="330" t="s">
        <v>26</v>
      </c>
      <c r="K36" s="330" t="s">
        <v>73</v>
      </c>
      <c r="L36" s="375"/>
      <c r="O36" s="37"/>
      <c r="W36" s="37"/>
    </row>
    <row r="37" spans="2:23" x14ac:dyDescent="0.2">
      <c r="B37" s="45" t="s">
        <v>253</v>
      </c>
      <c r="D37" s="376">
        <f>D13+D21+D30</f>
        <v>620844874.32387137</v>
      </c>
      <c r="F37" s="377">
        <f>F14+F22+F28</f>
        <v>371522164.00579327</v>
      </c>
      <c r="G37" s="377"/>
      <c r="H37" s="377"/>
      <c r="I37" s="377">
        <f>I14+I22+I28</f>
        <v>403618690.2447409</v>
      </c>
      <c r="J37" s="377"/>
      <c r="K37" s="343">
        <f>I37-F37</f>
        <v>32096526.23894763</v>
      </c>
      <c r="L37" s="378">
        <f>K37/F37</f>
        <v>8.6391955443194335E-2</v>
      </c>
    </row>
    <row r="38" spans="2:23" ht="13.5" thickBot="1" x14ac:dyDescent="0.25">
      <c r="B38" s="45"/>
      <c r="D38" s="36"/>
      <c r="F38" s="343"/>
      <c r="I38" s="343"/>
      <c r="K38" s="343"/>
      <c r="L38" s="378"/>
    </row>
    <row r="39" spans="2:23" ht="13.5" thickBot="1" x14ac:dyDescent="0.25">
      <c r="B39" s="379" t="s">
        <v>13</v>
      </c>
      <c r="C39" s="380" t="s">
        <v>254</v>
      </c>
      <c r="D39" s="381">
        <v>373297420.99925822</v>
      </c>
      <c r="E39" s="101" t="s">
        <v>255</v>
      </c>
      <c r="F39" s="382">
        <f>D39-F37</f>
        <v>1775256.9934649467</v>
      </c>
      <c r="K39" s="37"/>
      <c r="L39" s="375"/>
      <c r="N39" s="377"/>
    </row>
    <row r="40" spans="2:23" x14ac:dyDescent="0.2">
      <c r="B40" s="45"/>
      <c r="F40" s="45"/>
      <c r="L40" s="375"/>
    </row>
    <row r="41" spans="2:23" x14ac:dyDescent="0.2">
      <c r="B41" s="383"/>
      <c r="L41" s="375"/>
    </row>
    <row r="42" spans="2:23" x14ac:dyDescent="0.2">
      <c r="B42" s="45"/>
      <c r="C42" s="45"/>
      <c r="D42" s="45"/>
      <c r="F42" s="45"/>
      <c r="G42" s="45"/>
      <c r="I42" s="45"/>
      <c r="J42" s="45"/>
      <c r="L42" s="378"/>
      <c r="M42" s="45"/>
    </row>
    <row r="43" spans="2:23" x14ac:dyDescent="0.2">
      <c r="L43" s="375"/>
    </row>
    <row r="44" spans="2:23" x14ac:dyDescent="0.2">
      <c r="L44" s="375"/>
    </row>
  </sheetData>
  <dataConsolidate/>
  <printOptions horizontalCentered="1"/>
  <pageMargins left="0.5" right="0.5" top="1" bottom="1" header="0.75" footer="0.5"/>
  <pageSetup scale="75" fitToHeight="2" orientation="landscape" blackAndWhite="1" r:id="rId1"/>
  <headerFooter alignWithMargins="0">
    <oddFooter>&amp;R&amp;A
 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zoomScale="90" zoomScaleNormal="90" zoomScaleSheetLayoutView="100" workbookViewId="0">
      <pane ySplit="8" topLeftCell="A58" activePane="bottomLeft" state="frozen"/>
      <selection activeCell="G42" sqref="G42"/>
      <selection pane="bottomLeft" activeCell="G42" sqref="G42"/>
    </sheetView>
  </sheetViews>
  <sheetFormatPr defaultColWidth="9.140625" defaultRowHeight="12.75" x14ac:dyDescent="0.2"/>
  <cols>
    <col min="1" max="1" width="2.42578125" style="45" customWidth="1"/>
    <col min="2" max="2" width="31.7109375" style="45" customWidth="1"/>
    <col min="3" max="3" width="9.7109375" style="45" customWidth="1"/>
    <col min="4" max="4" width="14.5703125" style="45" bestFit="1" customWidth="1"/>
    <col min="5" max="5" width="10.42578125" style="45" customWidth="1"/>
    <col min="6" max="6" width="14.7109375" style="316" bestFit="1" customWidth="1"/>
    <col min="7" max="7" width="2.85546875" style="36" customWidth="1"/>
    <col min="8" max="8" width="10.42578125" style="44" customWidth="1"/>
    <col min="9" max="9" width="15" style="316" customWidth="1"/>
    <col min="10" max="10" width="2.85546875" style="316" customWidth="1"/>
    <col min="11" max="11" width="13.28515625" style="316" customWidth="1"/>
    <col min="12" max="12" width="10.42578125" style="378" customWidth="1"/>
    <col min="13" max="13" width="2.85546875" style="384" customWidth="1"/>
    <col min="14" max="14" width="2" style="385" customWidth="1"/>
    <col min="15" max="15" width="14.5703125" style="45" customWidth="1"/>
    <col min="16" max="16" width="15" style="45" bestFit="1" customWidth="1"/>
    <col min="17" max="16384" width="9.140625" style="45"/>
  </cols>
  <sheetData>
    <row r="1" spans="1:15" x14ac:dyDescent="0.2">
      <c r="B1" s="309" t="s">
        <v>12</v>
      </c>
    </row>
    <row r="2" spans="1:15" x14ac:dyDescent="0.2">
      <c r="B2" s="311" t="s">
        <v>312</v>
      </c>
      <c r="C2" s="35"/>
      <c r="D2" s="35"/>
      <c r="E2" s="35"/>
      <c r="F2" s="386"/>
      <c r="G2" s="102"/>
      <c r="H2" s="61"/>
      <c r="I2" s="386"/>
      <c r="J2" s="386"/>
      <c r="K2" s="386"/>
      <c r="L2" s="387"/>
      <c r="M2" s="388"/>
      <c r="N2" s="388"/>
      <c r="O2" s="35"/>
    </row>
    <row r="3" spans="1:15" x14ac:dyDescent="0.2">
      <c r="B3" s="311" t="s">
        <v>313</v>
      </c>
      <c r="C3" s="35"/>
      <c r="D3" s="35"/>
      <c r="E3" s="35"/>
      <c r="F3" s="35"/>
      <c r="G3" s="61"/>
      <c r="H3" s="61"/>
      <c r="I3" s="35"/>
      <c r="J3" s="35"/>
      <c r="K3" s="35"/>
      <c r="L3" s="387"/>
      <c r="M3" s="35"/>
      <c r="N3" s="388"/>
      <c r="O3" s="35"/>
    </row>
    <row r="4" spans="1:15" x14ac:dyDescent="0.2">
      <c r="B4" s="311" t="s">
        <v>134</v>
      </c>
      <c r="C4" s="35"/>
      <c r="D4" s="35"/>
      <c r="E4" s="35"/>
      <c r="F4" s="35"/>
      <c r="G4" s="61"/>
      <c r="H4" s="61"/>
      <c r="I4" s="35"/>
      <c r="J4" s="35"/>
      <c r="K4" s="35"/>
      <c r="L4" s="387"/>
      <c r="M4" s="35"/>
      <c r="N4" s="388"/>
      <c r="O4" s="35"/>
    </row>
    <row r="5" spans="1:15" x14ac:dyDescent="0.2">
      <c r="B5" s="311" t="s">
        <v>314</v>
      </c>
      <c r="C5" s="35"/>
      <c r="D5" s="35"/>
      <c r="E5" s="35"/>
      <c r="F5" s="35"/>
      <c r="G5" s="61"/>
      <c r="H5" s="61"/>
      <c r="I5" s="35"/>
      <c r="J5" s="35"/>
      <c r="K5" s="35"/>
      <c r="L5" s="387"/>
      <c r="M5" s="35"/>
      <c r="N5" s="389"/>
      <c r="O5" s="313"/>
    </row>
    <row r="6" spans="1:15" ht="13.5" customHeight="1" x14ac:dyDescent="0.2">
      <c r="B6" s="390"/>
      <c r="C6" s="390"/>
      <c r="D6" s="390"/>
      <c r="E6" s="390"/>
      <c r="F6" s="391"/>
      <c r="G6" s="103"/>
      <c r="H6" s="12"/>
      <c r="I6" s="391"/>
      <c r="J6" s="391"/>
      <c r="K6" s="391"/>
      <c r="L6" s="392"/>
      <c r="N6" s="356"/>
      <c r="O6" s="37"/>
    </row>
    <row r="7" spans="1:15" ht="12" customHeight="1" x14ac:dyDescent="0.2">
      <c r="B7" s="319"/>
      <c r="C7" s="320"/>
      <c r="D7" s="72" t="s">
        <v>85</v>
      </c>
      <c r="E7" s="73" t="s">
        <v>249</v>
      </c>
      <c r="F7" s="321"/>
      <c r="G7" s="46"/>
      <c r="H7" s="323" t="s">
        <v>250</v>
      </c>
      <c r="I7" s="321"/>
      <c r="J7" s="324"/>
      <c r="K7" s="669" t="s">
        <v>120</v>
      </c>
      <c r="L7" s="670"/>
      <c r="M7" s="326"/>
      <c r="N7" s="389"/>
      <c r="O7" s="327" t="s">
        <v>87</v>
      </c>
    </row>
    <row r="8" spans="1:15" x14ac:dyDescent="0.2">
      <c r="B8" s="328" t="s">
        <v>88</v>
      </c>
      <c r="C8" s="329" t="s">
        <v>89</v>
      </c>
      <c r="D8" s="306" t="s">
        <v>90</v>
      </c>
      <c r="E8" s="329" t="s">
        <v>82</v>
      </c>
      <c r="F8" s="330" t="s">
        <v>91</v>
      </c>
      <c r="G8" s="306"/>
      <c r="H8" s="306" t="s">
        <v>82</v>
      </c>
      <c r="I8" s="330" t="s">
        <v>91</v>
      </c>
      <c r="J8" s="330"/>
      <c r="K8" s="330" t="s">
        <v>121</v>
      </c>
      <c r="L8" s="393" t="s">
        <v>122</v>
      </c>
      <c r="M8" s="394"/>
      <c r="N8" s="332"/>
      <c r="O8" s="333" t="s">
        <v>123</v>
      </c>
    </row>
    <row r="9" spans="1:15" x14ac:dyDescent="0.2">
      <c r="A9" s="37"/>
      <c r="B9" s="361"/>
      <c r="C9" s="361"/>
      <c r="D9" s="361"/>
      <c r="E9" s="361"/>
      <c r="F9" s="395"/>
      <c r="G9" s="46"/>
      <c r="H9" s="46"/>
      <c r="I9" s="395"/>
      <c r="J9" s="395"/>
      <c r="K9" s="395"/>
      <c r="L9" s="396"/>
      <c r="M9" s="394"/>
      <c r="N9" s="332"/>
      <c r="O9" s="37"/>
    </row>
    <row r="10" spans="1:15" x14ac:dyDescent="0.2">
      <c r="B10" s="335" t="s">
        <v>135</v>
      </c>
      <c r="C10" s="397"/>
      <c r="D10" s="337"/>
      <c r="E10" s="337"/>
      <c r="F10" s="339"/>
      <c r="G10" s="398"/>
      <c r="H10" s="274"/>
      <c r="I10" s="339"/>
      <c r="J10" s="339"/>
      <c r="K10" s="339"/>
      <c r="L10" s="360"/>
      <c r="M10" s="399"/>
      <c r="N10" s="356"/>
      <c r="O10" s="37"/>
    </row>
    <row r="11" spans="1:15" x14ac:dyDescent="0.2">
      <c r="B11" s="341"/>
      <c r="C11" s="37"/>
      <c r="D11" s="315"/>
      <c r="E11" s="37"/>
      <c r="F11" s="343"/>
      <c r="G11" s="41"/>
      <c r="H11" s="47"/>
      <c r="I11" s="343"/>
      <c r="J11" s="343"/>
      <c r="K11" s="343"/>
      <c r="L11" s="346"/>
      <c r="M11" s="399"/>
      <c r="N11" s="356"/>
      <c r="O11" s="400" t="s">
        <v>136</v>
      </c>
    </row>
    <row r="12" spans="1:15" x14ac:dyDescent="0.2">
      <c r="B12" s="75" t="s">
        <v>92</v>
      </c>
      <c r="C12" s="76" t="s">
        <v>93</v>
      </c>
      <c r="D12" s="41">
        <v>698499.36081828561</v>
      </c>
      <c r="E12" s="92">
        <v>33.840000000000003</v>
      </c>
      <c r="F12" s="343">
        <f>ROUND(D12*E12,2)</f>
        <v>23637218.370000001</v>
      </c>
      <c r="G12" s="41"/>
      <c r="H12" s="345">
        <v>38.89</v>
      </c>
      <c r="I12" s="85">
        <f>ROUND(D12*H12,2)</f>
        <v>27164640.140000001</v>
      </c>
      <c r="J12" s="343"/>
      <c r="K12" s="343">
        <f>I12-F12</f>
        <v>3527421.7699999996</v>
      </c>
      <c r="L12" s="346">
        <f>IFERROR(ROUND(K12/F12,5), )</f>
        <v>0.14923</v>
      </c>
      <c r="M12" s="399"/>
      <c r="N12" s="356"/>
      <c r="O12" s="77">
        <v>122144166.5837137</v>
      </c>
    </row>
    <row r="13" spans="1:15" x14ac:dyDescent="0.2">
      <c r="B13" s="341" t="s">
        <v>94</v>
      </c>
      <c r="C13" s="37" t="s">
        <v>95</v>
      </c>
      <c r="D13" s="41">
        <v>222166912.14539161</v>
      </c>
      <c r="E13" s="78">
        <v>0.37956000000000001</v>
      </c>
      <c r="F13" s="343">
        <f>ROUND(D13*E13,2)</f>
        <v>84325673.170000002</v>
      </c>
      <c r="G13" s="41"/>
      <c r="H13" s="112">
        <f>ROUND((O12-I12-I14-I22)/D32,5)</f>
        <v>0.41249000000000002</v>
      </c>
      <c r="I13" s="85">
        <f>ROUND(D13*H13,2)</f>
        <v>91641629.590000004</v>
      </c>
      <c r="J13" s="343"/>
      <c r="K13" s="343">
        <f>I13-F13</f>
        <v>7315956.4200000018</v>
      </c>
      <c r="L13" s="346">
        <f>IFERROR(ROUND(K13/F13,5), )</f>
        <v>8.6760000000000004E-2</v>
      </c>
      <c r="M13" s="399"/>
      <c r="N13" s="356"/>
      <c r="O13" s="348" t="s">
        <v>125</v>
      </c>
    </row>
    <row r="14" spans="1:15" x14ac:dyDescent="0.2">
      <c r="B14" s="341" t="s">
        <v>97</v>
      </c>
      <c r="C14" s="37"/>
      <c r="D14" s="41">
        <f>D13</f>
        <v>222166912.14539161</v>
      </c>
      <c r="E14" s="78">
        <v>1.371E-2</v>
      </c>
      <c r="F14" s="343">
        <f>ROUND(D14*E14,2)</f>
        <v>3045908.37</v>
      </c>
      <c r="G14" s="41"/>
      <c r="H14" s="112">
        <v>1.4919999999999999E-2</v>
      </c>
      <c r="I14" s="343">
        <f>ROUND(D14*H14,2)</f>
        <v>3314730.33</v>
      </c>
      <c r="J14" s="401"/>
      <c r="K14" s="343">
        <f>I14-F14</f>
        <v>268821.95999999996</v>
      </c>
      <c r="L14" s="346">
        <f>IFERROR(ROUND(K14/F14,5), )</f>
        <v>8.8260000000000005E-2</v>
      </c>
      <c r="M14" s="394"/>
      <c r="N14" s="394"/>
      <c r="O14" s="104">
        <f>I36-O12</f>
        <v>815.4562863111496</v>
      </c>
    </row>
    <row r="15" spans="1:15" x14ac:dyDescent="0.2">
      <c r="B15" s="357" t="s">
        <v>128</v>
      </c>
      <c r="C15" s="350"/>
      <c r="D15" s="41"/>
      <c r="E15" s="47"/>
      <c r="F15" s="351">
        <f>SUM(F12:F14)</f>
        <v>111008799.91000001</v>
      </c>
      <c r="G15" s="41"/>
      <c r="H15" s="41"/>
      <c r="I15" s="105">
        <f>SUM(I12:I14)</f>
        <v>122121000.06</v>
      </c>
      <c r="J15" s="343"/>
      <c r="K15" s="351">
        <f>SUM(K12:K14)</f>
        <v>11112200.150000002</v>
      </c>
      <c r="L15" s="352">
        <f>IFERROR(ROUND(K15/F15,5), )</f>
        <v>0.10009999999999999</v>
      </c>
      <c r="M15" s="399"/>
      <c r="N15" s="356"/>
      <c r="O15" s="106"/>
    </row>
    <row r="16" spans="1:15" x14ac:dyDescent="0.2">
      <c r="B16" s="341"/>
      <c r="C16" s="37"/>
      <c r="D16" s="47"/>
      <c r="E16" s="47"/>
      <c r="F16" s="343"/>
      <c r="G16" s="41"/>
      <c r="H16" s="41"/>
      <c r="I16" s="85"/>
      <c r="J16" s="343"/>
      <c r="K16" s="343"/>
      <c r="L16" s="346"/>
      <c r="M16" s="399"/>
      <c r="N16" s="356"/>
      <c r="O16" s="402">
        <v>9.5490287038700439E-2</v>
      </c>
    </row>
    <row r="17" spans="1:15" x14ac:dyDescent="0.2">
      <c r="B17" s="357" t="s">
        <v>252</v>
      </c>
      <c r="C17" s="37"/>
      <c r="D17" s="47"/>
      <c r="E17" s="37"/>
      <c r="F17" s="351">
        <f>F15</f>
        <v>111008799.91000001</v>
      </c>
      <c r="G17" s="107"/>
      <c r="H17" s="108"/>
      <c r="I17" s="105">
        <f>I15</f>
        <v>122121000.06</v>
      </c>
      <c r="J17" s="343"/>
      <c r="K17" s="105">
        <f>K15</f>
        <v>11112200.150000002</v>
      </c>
      <c r="L17" s="352">
        <f>ROUND(K17/F17,5)</f>
        <v>0.10009999999999999</v>
      </c>
      <c r="M17" s="399"/>
      <c r="N17" s="356"/>
      <c r="O17" s="361"/>
    </row>
    <row r="18" spans="1:15" x14ac:dyDescent="0.2">
      <c r="B18" s="403"/>
      <c r="C18" s="404"/>
      <c r="D18" s="80"/>
      <c r="E18" s="109"/>
      <c r="F18" s="110"/>
      <c r="G18" s="80"/>
      <c r="H18" s="111"/>
      <c r="I18" s="81"/>
      <c r="J18" s="405"/>
      <c r="K18" s="405"/>
      <c r="L18" s="406"/>
      <c r="M18" s="399"/>
      <c r="N18" s="356"/>
      <c r="O18" s="37"/>
    </row>
    <row r="19" spans="1:15" x14ac:dyDescent="0.2">
      <c r="A19" s="37"/>
      <c r="B19" s="37"/>
      <c r="C19" s="37"/>
      <c r="D19" s="47"/>
      <c r="E19" s="37"/>
      <c r="F19" s="334"/>
      <c r="G19" s="107"/>
      <c r="H19" s="108"/>
      <c r="I19" s="334"/>
      <c r="J19" s="334"/>
      <c r="K19" s="343"/>
      <c r="L19" s="407"/>
      <c r="M19" s="399"/>
      <c r="N19" s="356"/>
      <c r="O19" s="37"/>
    </row>
    <row r="20" spans="1:15" x14ac:dyDescent="0.2">
      <c r="A20" s="37"/>
      <c r="B20" s="87" t="s">
        <v>137</v>
      </c>
      <c r="C20" s="397"/>
      <c r="D20" s="337"/>
      <c r="E20" s="337"/>
      <c r="F20" s="339"/>
      <c r="G20" s="398"/>
      <c r="H20" s="274"/>
      <c r="I20" s="339"/>
      <c r="J20" s="339"/>
      <c r="K20" s="339"/>
      <c r="L20" s="360"/>
      <c r="M20" s="399"/>
      <c r="N20" s="356"/>
      <c r="O20" s="37"/>
    </row>
    <row r="21" spans="1:15" x14ac:dyDescent="0.2">
      <c r="A21" s="37"/>
      <c r="B21" s="341"/>
      <c r="C21" s="37"/>
      <c r="D21" s="315"/>
      <c r="E21" s="37"/>
      <c r="F21" s="343"/>
      <c r="G21" s="41"/>
      <c r="H21" s="47"/>
      <c r="I21" s="343"/>
      <c r="J21" s="343"/>
      <c r="K21" s="343"/>
      <c r="L21" s="346"/>
      <c r="M21" s="399"/>
      <c r="N21" s="356"/>
      <c r="O21" s="37"/>
    </row>
    <row r="22" spans="1:15" x14ac:dyDescent="0.2">
      <c r="A22" s="37"/>
      <c r="B22" s="75" t="s">
        <v>92</v>
      </c>
      <c r="C22" s="76" t="s">
        <v>93</v>
      </c>
      <c r="D22" s="41">
        <v>24</v>
      </c>
      <c r="E22" s="92">
        <v>364.04</v>
      </c>
      <c r="F22" s="343">
        <f>ROUND(D22*E22,2)</f>
        <v>8736.9599999999991</v>
      </c>
      <c r="G22" s="41"/>
      <c r="H22" s="345">
        <f>E22</f>
        <v>364.04</v>
      </c>
      <c r="I22" s="85">
        <f>ROUND(D22*H22,2)</f>
        <v>8736.9599999999991</v>
      </c>
      <c r="J22" s="343"/>
      <c r="K22" s="343">
        <f>I22-F22</f>
        <v>0</v>
      </c>
      <c r="L22" s="346">
        <f>IFERROR(ROUND(K22/F22,5), )</f>
        <v>0</v>
      </c>
      <c r="M22" s="399"/>
      <c r="N22" s="356"/>
      <c r="O22" s="37"/>
    </row>
    <row r="23" spans="1:15" x14ac:dyDescent="0.2">
      <c r="A23" s="37"/>
      <c r="B23" s="341" t="s">
        <v>94</v>
      </c>
      <c r="C23" s="37" t="s">
        <v>95</v>
      </c>
      <c r="D23" s="41">
        <v>36958.529999999992</v>
      </c>
      <c r="E23" s="78">
        <v>0.37956000000000001</v>
      </c>
      <c r="F23" s="343">
        <f>ROUND(D23*E23,2)</f>
        <v>14027.98</v>
      </c>
      <c r="G23" s="41"/>
      <c r="H23" s="112">
        <f>H13</f>
        <v>0.41249000000000002</v>
      </c>
      <c r="I23" s="85">
        <f>ROUND(D23*H23,2)</f>
        <v>15245.02</v>
      </c>
      <c r="J23" s="343"/>
      <c r="K23" s="343">
        <f>I23-F23</f>
        <v>1217.0400000000009</v>
      </c>
      <c r="L23" s="346">
        <f>IFERROR(ROUND(K23/F23,5), )</f>
        <v>8.6760000000000004E-2</v>
      </c>
      <c r="M23" s="399"/>
      <c r="N23" s="356"/>
      <c r="O23" s="37"/>
    </row>
    <row r="24" spans="1:15" x14ac:dyDescent="0.2">
      <c r="A24" s="37"/>
      <c r="B24" s="357" t="s">
        <v>128</v>
      </c>
      <c r="C24" s="350"/>
      <c r="D24" s="41"/>
      <c r="E24" s="47"/>
      <c r="F24" s="351">
        <f>SUM(F22:F23)</f>
        <v>22764.94</v>
      </c>
      <c r="G24" s="41"/>
      <c r="H24" s="41"/>
      <c r="I24" s="105">
        <f>SUM(I22:I23)</f>
        <v>23981.98</v>
      </c>
      <c r="J24" s="343"/>
      <c r="K24" s="105">
        <f>SUM(K22:K23)</f>
        <v>1217.0400000000009</v>
      </c>
      <c r="L24" s="352">
        <f>IFERROR(ROUND(K24/F24,5), )</f>
        <v>5.3460000000000001E-2</v>
      </c>
      <c r="M24" s="399"/>
      <c r="N24" s="356"/>
      <c r="O24" s="37"/>
    </row>
    <row r="25" spans="1:15" x14ac:dyDescent="0.2">
      <c r="A25" s="37"/>
      <c r="B25" s="341"/>
      <c r="C25" s="37"/>
      <c r="D25" s="37"/>
      <c r="E25" s="37"/>
      <c r="F25" s="317"/>
      <c r="G25" s="41"/>
      <c r="H25" s="47"/>
      <c r="I25" s="317"/>
      <c r="J25" s="317"/>
      <c r="K25" s="317"/>
      <c r="L25" s="346"/>
      <c r="M25" s="399"/>
      <c r="N25" s="356"/>
      <c r="O25" s="37"/>
    </row>
    <row r="26" spans="1:15" x14ac:dyDescent="0.2">
      <c r="A26" s="37"/>
      <c r="B26" s="357" t="s">
        <v>252</v>
      </c>
      <c r="C26" s="37"/>
      <c r="D26" s="47"/>
      <c r="E26" s="37"/>
      <c r="F26" s="351">
        <f>F24</f>
        <v>22764.94</v>
      </c>
      <c r="G26" s="107"/>
      <c r="H26" s="108"/>
      <c r="I26" s="351">
        <f>I24</f>
        <v>23981.98</v>
      </c>
      <c r="J26" s="343"/>
      <c r="K26" s="351">
        <v>1223.6925354000009</v>
      </c>
      <c r="L26" s="352">
        <f>ROUND(K26/F26,5)</f>
        <v>5.3749999999999999E-2</v>
      </c>
      <c r="M26" s="399"/>
      <c r="N26" s="356"/>
      <c r="O26" s="37"/>
    </row>
    <row r="27" spans="1:15" x14ac:dyDescent="0.2">
      <c r="A27" s="37"/>
      <c r="B27" s="403"/>
      <c r="C27" s="404"/>
      <c r="D27" s="80"/>
      <c r="E27" s="109"/>
      <c r="F27" s="110"/>
      <c r="G27" s="80"/>
      <c r="H27" s="111"/>
      <c r="I27" s="81"/>
      <c r="J27" s="405"/>
      <c r="K27" s="405"/>
      <c r="L27" s="406"/>
      <c r="M27" s="399"/>
      <c r="N27" s="356"/>
      <c r="O27" s="37"/>
    </row>
    <row r="28" spans="1:15" x14ac:dyDescent="0.2">
      <c r="A28" s="37"/>
      <c r="B28" s="37"/>
      <c r="C28" s="37"/>
      <c r="D28" s="47"/>
      <c r="E28" s="37"/>
      <c r="F28" s="334"/>
      <c r="G28" s="107"/>
      <c r="H28" s="108"/>
      <c r="I28" s="334"/>
      <c r="J28" s="334"/>
      <c r="K28" s="343"/>
      <c r="L28" s="407"/>
      <c r="M28" s="399"/>
      <c r="N28" s="356"/>
      <c r="O28" s="37"/>
    </row>
    <row r="29" spans="1:15" x14ac:dyDescent="0.2">
      <c r="A29" s="37"/>
      <c r="B29" s="335" t="s">
        <v>138</v>
      </c>
      <c r="C29" s="397"/>
      <c r="D29" s="337"/>
      <c r="E29" s="337"/>
      <c r="F29" s="339"/>
      <c r="G29" s="398"/>
      <c r="H29" s="274"/>
      <c r="I29" s="339"/>
      <c r="J29" s="339"/>
      <c r="K29" s="339"/>
      <c r="L29" s="360"/>
      <c r="M29" s="399"/>
      <c r="N29" s="356"/>
      <c r="O29" s="37"/>
    </row>
    <row r="30" spans="1:15" x14ac:dyDescent="0.2">
      <c r="A30" s="37"/>
      <c r="B30" s="341"/>
      <c r="C30" s="37"/>
      <c r="D30" s="315"/>
      <c r="E30" s="37"/>
      <c r="F30" s="343"/>
      <c r="G30" s="41"/>
      <c r="H30" s="47"/>
      <c r="I30" s="343"/>
      <c r="J30" s="343"/>
      <c r="K30" s="343"/>
      <c r="L30" s="346"/>
      <c r="M30" s="399"/>
      <c r="N30" s="356"/>
      <c r="O30" s="37"/>
    </row>
    <row r="31" spans="1:15" x14ac:dyDescent="0.2">
      <c r="A31" s="37"/>
      <c r="B31" s="75" t="s">
        <v>92</v>
      </c>
      <c r="C31" s="76" t="s">
        <v>93</v>
      </c>
      <c r="D31" s="41">
        <f>D12+D22</f>
        <v>698523.36081828561</v>
      </c>
      <c r="E31" s="92"/>
      <c r="F31" s="343">
        <f>F12+F22</f>
        <v>23645955.330000002</v>
      </c>
      <c r="G31" s="41"/>
      <c r="H31" s="113"/>
      <c r="I31" s="343">
        <f>I12+I22</f>
        <v>27173377.100000001</v>
      </c>
      <c r="J31" s="343"/>
      <c r="K31" s="343">
        <f>I31-F31</f>
        <v>3527421.7699999996</v>
      </c>
      <c r="L31" s="346">
        <f>IFERROR(ROUND(K31/F31,5), )</f>
        <v>0.14918000000000001</v>
      </c>
      <c r="M31" s="399"/>
      <c r="N31" s="356"/>
      <c r="O31" s="37"/>
    </row>
    <row r="32" spans="1:15" x14ac:dyDescent="0.2">
      <c r="A32" s="37"/>
      <c r="B32" s="341" t="s">
        <v>94</v>
      </c>
      <c r="C32" s="37" t="s">
        <v>95</v>
      </c>
      <c r="D32" s="41">
        <f>D13+D23</f>
        <v>222203870.67539161</v>
      </c>
      <c r="E32" s="78"/>
      <c r="F32" s="343">
        <f>F13+F23</f>
        <v>84339701.150000006</v>
      </c>
      <c r="G32" s="41"/>
      <c r="H32" s="96"/>
      <c r="I32" s="343">
        <f>I13+I23</f>
        <v>91656874.609999999</v>
      </c>
      <c r="J32" s="343"/>
      <c r="K32" s="343">
        <f>I32-F32</f>
        <v>7317173.4599999934</v>
      </c>
      <c r="L32" s="346">
        <f>IFERROR(ROUND(K32/F32,5), )</f>
        <v>8.6760000000000004E-2</v>
      </c>
      <c r="M32" s="399"/>
      <c r="N32" s="356"/>
      <c r="O32" s="37"/>
    </row>
    <row r="33" spans="1:15" x14ac:dyDescent="0.2">
      <c r="A33" s="37"/>
      <c r="B33" s="341" t="s">
        <v>97</v>
      </c>
      <c r="C33" s="37" t="s">
        <v>95</v>
      </c>
      <c r="D33" s="41">
        <f>D14</f>
        <v>222166912.14539161</v>
      </c>
      <c r="E33" s="78"/>
      <c r="F33" s="343">
        <f>F14</f>
        <v>3045908.37</v>
      </c>
      <c r="G33" s="41"/>
      <c r="H33" s="96"/>
      <c r="I33" s="343">
        <f>I14</f>
        <v>3314730.33</v>
      </c>
      <c r="J33" s="343"/>
      <c r="K33" s="343">
        <f>I33-F33</f>
        <v>268821.95999999996</v>
      </c>
      <c r="L33" s="346">
        <f>IFERROR(ROUND(K33/F33,5), )</f>
        <v>8.8260000000000005E-2</v>
      </c>
      <c r="M33" s="399"/>
      <c r="N33" s="356"/>
      <c r="O33" s="37"/>
    </row>
    <row r="34" spans="1:15" x14ac:dyDescent="0.2">
      <c r="A34" s="37"/>
      <c r="B34" s="357" t="s">
        <v>128</v>
      </c>
      <c r="C34" s="350"/>
      <c r="D34" s="41"/>
      <c r="E34" s="47"/>
      <c r="F34" s="351">
        <f>SUM(F31:F33)</f>
        <v>111031564.85000001</v>
      </c>
      <c r="G34" s="41"/>
      <c r="H34" s="41"/>
      <c r="I34" s="351">
        <f>SUM(I31:I33)</f>
        <v>122144982.04000001</v>
      </c>
      <c r="J34" s="343"/>
      <c r="K34" s="351">
        <f>SUM(K31:K33)</f>
        <v>11113417.189999994</v>
      </c>
      <c r="L34" s="352">
        <f>IFERROR(ROUND(K34/F34,5), )</f>
        <v>0.10009</v>
      </c>
      <c r="M34" s="399"/>
      <c r="N34" s="356"/>
      <c r="O34" s="37"/>
    </row>
    <row r="35" spans="1:15" x14ac:dyDescent="0.2">
      <c r="A35" s="37"/>
      <c r="B35" s="357"/>
      <c r="C35" s="350"/>
      <c r="D35" s="41"/>
      <c r="E35" s="47"/>
      <c r="F35" s="343"/>
      <c r="G35" s="41"/>
      <c r="H35" s="41"/>
      <c r="I35" s="343"/>
      <c r="J35" s="343"/>
      <c r="K35" s="343"/>
      <c r="L35" s="346"/>
      <c r="M35" s="399"/>
      <c r="N35" s="356"/>
      <c r="O35" s="37"/>
    </row>
    <row r="36" spans="1:15" x14ac:dyDescent="0.2">
      <c r="A36" s="37"/>
      <c r="B36" s="357" t="s">
        <v>252</v>
      </c>
      <c r="C36" s="37"/>
      <c r="D36" s="47"/>
      <c r="E36" s="37"/>
      <c r="F36" s="351">
        <f>F34</f>
        <v>111031564.85000001</v>
      </c>
      <c r="G36" s="107"/>
      <c r="H36" s="108"/>
      <c r="I36" s="351">
        <f>I34</f>
        <v>122144982.04000001</v>
      </c>
      <c r="J36" s="343"/>
      <c r="K36" s="351">
        <f>K34</f>
        <v>11113417.189999994</v>
      </c>
      <c r="L36" s="352">
        <f>ROUND(K36/F36,5)</f>
        <v>0.10009</v>
      </c>
      <c r="M36" s="399"/>
      <c r="N36" s="356"/>
      <c r="O36" s="37"/>
    </row>
    <row r="37" spans="1:15" x14ac:dyDescent="0.2">
      <c r="A37" s="37"/>
      <c r="B37" s="403"/>
      <c r="C37" s="404"/>
      <c r="D37" s="80"/>
      <c r="E37" s="109"/>
      <c r="F37" s="110"/>
      <c r="G37" s="80"/>
      <c r="H37" s="111"/>
      <c r="I37" s="81"/>
      <c r="J37" s="405"/>
      <c r="K37" s="405"/>
      <c r="L37" s="406"/>
      <c r="M37" s="399"/>
      <c r="N37" s="356"/>
      <c r="O37" s="37"/>
    </row>
    <row r="38" spans="1:15" x14ac:dyDescent="0.2">
      <c r="A38" s="37"/>
      <c r="B38" s="37"/>
      <c r="C38" s="37"/>
      <c r="D38" s="47"/>
      <c r="E38" s="37"/>
      <c r="F38" s="334"/>
      <c r="G38" s="107"/>
      <c r="H38" s="108"/>
      <c r="I38" s="334"/>
      <c r="J38" s="334"/>
      <c r="K38" s="343"/>
      <c r="L38" s="407"/>
      <c r="M38" s="399"/>
      <c r="N38" s="356"/>
      <c r="O38" s="37"/>
    </row>
    <row r="39" spans="1:15" x14ac:dyDescent="0.2">
      <c r="B39" s="87" t="s">
        <v>139</v>
      </c>
      <c r="C39" s="397"/>
      <c r="D39" s="274"/>
      <c r="E39" s="337"/>
      <c r="F39" s="339"/>
      <c r="G39" s="274"/>
      <c r="H39" s="274"/>
      <c r="I39" s="339"/>
      <c r="J39" s="339"/>
      <c r="K39" s="339"/>
      <c r="L39" s="360"/>
      <c r="M39" s="399"/>
      <c r="N39" s="356"/>
    </row>
    <row r="40" spans="1:15" x14ac:dyDescent="0.2">
      <c r="B40" s="88"/>
      <c r="C40" s="37"/>
      <c r="D40" s="47"/>
      <c r="E40" s="47"/>
      <c r="F40" s="343"/>
      <c r="G40" s="89"/>
      <c r="H40" s="47"/>
      <c r="I40" s="343"/>
      <c r="J40" s="343"/>
      <c r="K40" s="343"/>
      <c r="L40" s="346"/>
      <c r="M40" s="399"/>
      <c r="N40" s="356"/>
      <c r="O40" s="114" t="s">
        <v>140</v>
      </c>
    </row>
    <row r="41" spans="1:15" x14ac:dyDescent="0.2">
      <c r="B41" s="75" t="s">
        <v>92</v>
      </c>
      <c r="C41" s="76" t="s">
        <v>93</v>
      </c>
      <c r="D41" s="41">
        <v>14991.599999999999</v>
      </c>
      <c r="E41" s="92">
        <v>113.4</v>
      </c>
      <c r="F41" s="343">
        <f>ROUND(D41*E41,2)</f>
        <v>1700047.44</v>
      </c>
      <c r="G41" s="41"/>
      <c r="H41" s="345">
        <v>130.33000000000001</v>
      </c>
      <c r="I41" s="343">
        <f>ROUND(D41*H41,2)</f>
        <v>1953855.23</v>
      </c>
      <c r="J41" s="343"/>
      <c r="K41" s="343">
        <f>I41-F41</f>
        <v>253807.79000000004</v>
      </c>
      <c r="L41" s="344">
        <f t="shared" ref="L41:L43" si="0">IFERROR(ROUND(K41/F41,5), )</f>
        <v>0.14929000000000001</v>
      </c>
      <c r="M41" s="399"/>
      <c r="N41" s="356"/>
      <c r="O41" s="77">
        <v>22261666.953032859</v>
      </c>
    </row>
    <row r="42" spans="1:15" x14ac:dyDescent="0.2">
      <c r="B42" s="88" t="s">
        <v>99</v>
      </c>
      <c r="C42" s="76" t="s">
        <v>93</v>
      </c>
      <c r="D42" s="41">
        <f>D41</f>
        <v>14991.599999999999</v>
      </c>
      <c r="E42" s="92">
        <v>123.82</v>
      </c>
      <c r="F42" s="334">
        <f>D42*E42</f>
        <v>1856259.9119999998</v>
      </c>
      <c r="G42" s="41"/>
      <c r="H42" s="345">
        <f>ROUND(H46*900,2)</f>
        <v>126.28</v>
      </c>
      <c r="I42" s="334">
        <f>ROUND(D42*H42,2)</f>
        <v>1893139.25</v>
      </c>
      <c r="J42" s="334"/>
      <c r="K42" s="343">
        <f>I42-F42</f>
        <v>36879.338000000222</v>
      </c>
      <c r="L42" s="344">
        <f t="shared" si="0"/>
        <v>1.9869999999999999E-2</v>
      </c>
      <c r="M42" s="399"/>
      <c r="N42" s="332"/>
      <c r="O42" s="115" t="s">
        <v>125</v>
      </c>
    </row>
    <row r="43" spans="1:15" x14ac:dyDescent="0.2">
      <c r="B43" s="88" t="s">
        <v>100</v>
      </c>
      <c r="C43" s="37" t="s">
        <v>98</v>
      </c>
      <c r="D43" s="41">
        <v>4828804.7110000001</v>
      </c>
      <c r="E43" s="92">
        <v>1.25</v>
      </c>
      <c r="F43" s="334">
        <f>ROUND(D43*E43,2)</f>
        <v>6036005.8899999997</v>
      </c>
      <c r="G43" s="41"/>
      <c r="H43" s="345">
        <f>ROUND(E43*(1+$O$45),2)</f>
        <v>1.37</v>
      </c>
      <c r="I43" s="334">
        <f>ROUND(D43*H43,2)</f>
        <v>6615462.4500000002</v>
      </c>
      <c r="J43" s="334"/>
      <c r="K43" s="343">
        <f>I43-F43</f>
        <v>579456.56000000052</v>
      </c>
      <c r="L43" s="344">
        <f t="shared" si="0"/>
        <v>9.6000000000000002E-2</v>
      </c>
      <c r="M43" s="399"/>
      <c r="N43" s="332"/>
      <c r="O43" s="104">
        <f>I86-O41</f>
        <v>130.10030537843704</v>
      </c>
    </row>
    <row r="44" spans="1:15" x14ac:dyDescent="0.2">
      <c r="B44" s="88"/>
      <c r="C44" s="37"/>
      <c r="D44" s="41"/>
      <c r="E44" s="92"/>
      <c r="F44" s="401"/>
      <c r="G44" s="41"/>
      <c r="H44" s="92"/>
      <c r="I44" s="334"/>
      <c r="J44" s="334"/>
      <c r="K44" s="362"/>
      <c r="L44" s="408"/>
      <c r="M44" s="399"/>
      <c r="N44" s="332"/>
      <c r="O44" s="116"/>
    </row>
    <row r="45" spans="1:15" x14ac:dyDescent="0.2">
      <c r="B45" s="88" t="s">
        <v>101</v>
      </c>
      <c r="C45" s="37"/>
      <c r="D45" s="41"/>
      <c r="E45" s="92"/>
      <c r="F45" s="334"/>
      <c r="G45" s="41"/>
      <c r="H45" s="92"/>
      <c r="I45" s="334"/>
      <c r="J45" s="334"/>
      <c r="K45" s="362"/>
      <c r="L45" s="408"/>
      <c r="M45" s="399"/>
      <c r="N45" s="332"/>
      <c r="O45" s="402">
        <v>9.5490287038700439E-2</v>
      </c>
    </row>
    <row r="46" spans="1:15" x14ac:dyDescent="0.2">
      <c r="B46" s="88" t="s">
        <v>102</v>
      </c>
      <c r="C46" s="37" t="s">
        <v>95</v>
      </c>
      <c r="D46" s="41">
        <v>12213411.474000001</v>
      </c>
      <c r="E46" s="78">
        <v>0.13758000000000001</v>
      </c>
      <c r="F46" s="343" t="s">
        <v>103</v>
      </c>
      <c r="G46" s="41"/>
      <c r="H46" s="112">
        <f>H47</f>
        <v>0.14030999999999999</v>
      </c>
      <c r="I46" s="343" t="s">
        <v>103</v>
      </c>
      <c r="J46" s="343"/>
      <c r="K46" s="343"/>
      <c r="L46" s="346"/>
      <c r="M46" s="399"/>
      <c r="N46" s="356"/>
    </row>
    <row r="47" spans="1:15" x14ac:dyDescent="0.2">
      <c r="B47" s="88" t="s">
        <v>104</v>
      </c>
      <c r="C47" s="37" t="s">
        <v>95</v>
      </c>
      <c r="D47" s="41">
        <v>27469287.989699997</v>
      </c>
      <c r="E47" s="78">
        <v>0.13758000000000001</v>
      </c>
      <c r="F47" s="343">
        <f>ROUND(D47*E47,2)</f>
        <v>3779224.64</v>
      </c>
      <c r="G47" s="41"/>
      <c r="H47" s="112">
        <v>0.14030999999999999</v>
      </c>
      <c r="I47" s="343">
        <f>ROUND(D47*H47,2)</f>
        <v>3854215.8</v>
      </c>
      <c r="J47" s="343"/>
      <c r="K47" s="343">
        <f>I47-F47</f>
        <v>74991.159999999683</v>
      </c>
      <c r="L47" s="344">
        <f t="shared" ref="L47:L48" si="1">IFERROR(ROUND(K47/F47,5), )</f>
        <v>1.984E-2</v>
      </c>
      <c r="M47" s="399"/>
      <c r="N47" s="356"/>
    </row>
    <row r="48" spans="1:15" x14ac:dyDescent="0.2">
      <c r="B48" s="88" t="s">
        <v>105</v>
      </c>
      <c r="C48" s="37" t="s">
        <v>95</v>
      </c>
      <c r="D48" s="41">
        <v>22835291.693248168</v>
      </c>
      <c r="E48" s="78">
        <v>0.11074000000000001</v>
      </c>
      <c r="F48" s="343">
        <f>ROUND(D48*E48,2)</f>
        <v>2528780.2000000002</v>
      </c>
      <c r="G48" s="41"/>
      <c r="H48" s="112">
        <f>ROUND(E48*(1+$O$45),5)</f>
        <v>0.12131</v>
      </c>
      <c r="I48" s="343">
        <f>ROUND(D48*H48,2)</f>
        <v>2770149.24</v>
      </c>
      <c r="J48" s="343"/>
      <c r="K48" s="343">
        <f>I48-F48</f>
        <v>241369.04000000004</v>
      </c>
      <c r="L48" s="344">
        <f t="shared" si="1"/>
        <v>9.5449999999999993E-2</v>
      </c>
      <c r="M48" s="399"/>
      <c r="N48" s="356"/>
      <c r="O48" s="85"/>
    </row>
    <row r="49" spans="1:16" s="44" customFormat="1" x14ac:dyDescent="0.2">
      <c r="A49" s="47"/>
      <c r="B49" s="75" t="s">
        <v>106</v>
      </c>
      <c r="C49" s="350"/>
      <c r="D49" s="17">
        <f>SUM(D46:D48)</f>
        <v>62517991.156948164</v>
      </c>
      <c r="E49" s="315"/>
      <c r="F49" s="334"/>
      <c r="G49" s="41"/>
      <c r="H49" s="41"/>
      <c r="I49" s="47"/>
      <c r="J49" s="47"/>
      <c r="K49" s="47"/>
      <c r="L49" s="93"/>
      <c r="M49" s="117"/>
      <c r="N49" s="97"/>
      <c r="O49" s="47"/>
    </row>
    <row r="50" spans="1:16" s="44" customFormat="1" x14ac:dyDescent="0.2">
      <c r="A50" s="47"/>
      <c r="B50" s="75" t="s">
        <v>97</v>
      </c>
      <c r="C50" s="37" t="s">
        <v>95</v>
      </c>
      <c r="D50" s="41">
        <f>D49</f>
        <v>62517991.156948164</v>
      </c>
      <c r="E50" s="409">
        <v>1.005E-2</v>
      </c>
      <c r="F50" s="334">
        <f>D50*E50</f>
        <v>628305.81112732901</v>
      </c>
      <c r="G50" s="41"/>
      <c r="H50" s="112">
        <v>1.119E-2</v>
      </c>
      <c r="I50" s="334">
        <f>D50*H50</f>
        <v>699576.32104624994</v>
      </c>
      <c r="J50" s="334"/>
      <c r="K50" s="343">
        <f>I50-F50</f>
        <v>71270.509918920929</v>
      </c>
      <c r="L50" s="344">
        <f>IFERROR(ROUND(K50/F50,5), )</f>
        <v>0.11343</v>
      </c>
      <c r="M50" s="117"/>
      <c r="N50" s="97"/>
      <c r="O50" s="47"/>
      <c r="P50" s="25"/>
    </row>
    <row r="51" spans="1:16" x14ac:dyDescent="0.2">
      <c r="B51" s="357" t="s">
        <v>128</v>
      </c>
      <c r="C51" s="350"/>
      <c r="D51" s="17"/>
      <c r="E51" s="315"/>
      <c r="F51" s="410">
        <f>SUM(F41:F50)</f>
        <v>16528623.893127328</v>
      </c>
      <c r="G51" s="41"/>
      <c r="H51" s="41"/>
      <c r="I51" s="410">
        <f>SUM(I41:I43,I47:I50)</f>
        <v>17786398.291046247</v>
      </c>
      <c r="J51" s="334"/>
      <c r="K51" s="410">
        <f>SUM(K41:K50)</f>
        <v>1257774.3979189214</v>
      </c>
      <c r="L51" s="352">
        <f>ROUND(K51/F51,5)</f>
        <v>7.6100000000000001E-2</v>
      </c>
      <c r="M51" s="399"/>
      <c r="N51" s="356"/>
      <c r="O51" s="98"/>
    </row>
    <row r="52" spans="1:16" x14ac:dyDescent="0.2">
      <c r="B52" s="75"/>
      <c r="C52" s="350"/>
      <c r="D52" s="41"/>
      <c r="E52" s="37"/>
      <c r="F52" s="343"/>
      <c r="G52" s="41"/>
      <c r="H52" s="41"/>
      <c r="I52" s="334"/>
      <c r="J52" s="334"/>
      <c r="K52" s="343"/>
      <c r="L52" s="346"/>
      <c r="M52" s="399"/>
      <c r="N52" s="356"/>
      <c r="O52" s="118"/>
    </row>
    <row r="53" spans="1:16" x14ac:dyDescent="0.2">
      <c r="B53" s="75" t="s">
        <v>252</v>
      </c>
      <c r="C53" s="350"/>
      <c r="D53" s="47"/>
      <c r="E53" s="41"/>
      <c r="F53" s="410">
        <f>+F51</f>
        <v>16528623.893127328</v>
      </c>
      <c r="G53" s="41"/>
      <c r="H53" s="41"/>
      <c r="I53" s="410">
        <f>+I51</f>
        <v>17786398.291046247</v>
      </c>
      <c r="J53" s="334"/>
      <c r="K53" s="351">
        <f>K51</f>
        <v>1257774.3979189214</v>
      </c>
      <c r="L53" s="352">
        <f>ROUND(K53/F53,5)</f>
        <v>7.6100000000000001E-2</v>
      </c>
      <c r="M53" s="399"/>
      <c r="N53" s="356"/>
      <c r="O53" s="47"/>
    </row>
    <row r="54" spans="1:16" s="44" customFormat="1" x14ac:dyDescent="0.2">
      <c r="B54" s="79"/>
      <c r="C54" s="80"/>
      <c r="D54" s="80"/>
      <c r="E54" s="80"/>
      <c r="F54" s="81"/>
      <c r="G54" s="80"/>
      <c r="H54" s="80"/>
      <c r="I54" s="110"/>
      <c r="J54" s="110"/>
      <c r="K54" s="81"/>
      <c r="L54" s="83"/>
      <c r="M54" s="117"/>
      <c r="N54" s="97"/>
      <c r="O54" s="47"/>
    </row>
    <row r="55" spans="1:16" s="44" customFormat="1" x14ac:dyDescent="0.2">
      <c r="A55" s="47"/>
      <c r="B55" s="47"/>
      <c r="C55" s="47"/>
      <c r="D55" s="47"/>
      <c r="E55" s="47"/>
      <c r="F55" s="85"/>
      <c r="G55" s="47"/>
      <c r="H55" s="47"/>
      <c r="I55" s="119"/>
      <c r="J55" s="119"/>
      <c r="K55" s="85"/>
      <c r="L55" s="86"/>
      <c r="M55" s="117"/>
      <c r="N55" s="97"/>
      <c r="O55" s="47"/>
    </row>
    <row r="56" spans="1:16" s="44" customFormat="1" x14ac:dyDescent="0.2">
      <c r="A56" s="47"/>
      <c r="B56" s="87" t="s">
        <v>141</v>
      </c>
      <c r="C56" s="397"/>
      <c r="D56" s="274"/>
      <c r="E56" s="337"/>
      <c r="F56" s="339"/>
      <c r="G56" s="274"/>
      <c r="H56" s="274"/>
      <c r="I56" s="339"/>
      <c r="J56" s="339"/>
      <c r="K56" s="339"/>
      <c r="L56" s="360"/>
      <c r="M56" s="117"/>
      <c r="N56" s="97"/>
      <c r="O56" s="47"/>
    </row>
    <row r="57" spans="1:16" s="44" customFormat="1" x14ac:dyDescent="0.2">
      <c r="A57" s="47"/>
      <c r="B57" s="88"/>
      <c r="C57" s="37"/>
      <c r="D57" s="47"/>
      <c r="E57" s="47"/>
      <c r="F57" s="343"/>
      <c r="G57" s="89"/>
      <c r="H57" s="47"/>
      <c r="I57" s="343"/>
      <c r="J57" s="343"/>
      <c r="K57" s="343"/>
      <c r="L57" s="346"/>
      <c r="M57" s="117"/>
      <c r="N57" s="97"/>
      <c r="O57" s="47"/>
    </row>
    <row r="58" spans="1:16" s="44" customFormat="1" x14ac:dyDescent="0.2">
      <c r="A58" s="47"/>
      <c r="B58" s="75" t="s">
        <v>92</v>
      </c>
      <c r="C58" s="76" t="s">
        <v>93</v>
      </c>
      <c r="D58" s="41">
        <v>1040</v>
      </c>
      <c r="E58" s="92">
        <v>422.79</v>
      </c>
      <c r="F58" s="343">
        <f>ROUND(D58*E58,2)</f>
        <v>439701.6</v>
      </c>
      <c r="G58" s="41"/>
      <c r="H58" s="345">
        <f>E58</f>
        <v>422.79</v>
      </c>
      <c r="I58" s="343">
        <f>ROUND(D58*H58,2)</f>
        <v>439701.6</v>
      </c>
      <c r="J58" s="343"/>
      <c r="K58" s="343">
        <f>I58-F58</f>
        <v>0</v>
      </c>
      <c r="L58" s="344">
        <f t="shared" ref="L58:L60" si="2">IFERROR(ROUND(K58/F58,5), )</f>
        <v>0</v>
      </c>
      <c r="M58" s="117"/>
      <c r="N58" s="97"/>
      <c r="O58" s="76"/>
    </row>
    <row r="59" spans="1:16" s="44" customFormat="1" x14ac:dyDescent="0.2">
      <c r="A59" s="47"/>
      <c r="B59" s="88" t="s">
        <v>99</v>
      </c>
      <c r="C59" s="76" t="s">
        <v>93</v>
      </c>
      <c r="D59" s="41">
        <f>D58</f>
        <v>1040</v>
      </c>
      <c r="E59" s="92">
        <v>123.82</v>
      </c>
      <c r="F59" s="334">
        <f>D59*E59</f>
        <v>128772.79999999999</v>
      </c>
      <c r="G59" s="41"/>
      <c r="H59" s="345">
        <f>H42</f>
        <v>126.28</v>
      </c>
      <c r="I59" s="334">
        <f>ROUND(D59*H59,2)</f>
        <v>131331.20000000001</v>
      </c>
      <c r="J59" s="334"/>
      <c r="K59" s="343">
        <f>I59-F59</f>
        <v>2558.4000000000233</v>
      </c>
      <c r="L59" s="344">
        <f t="shared" si="2"/>
        <v>1.9869999999999999E-2</v>
      </c>
      <c r="M59" s="117"/>
      <c r="N59" s="97"/>
      <c r="O59" s="47"/>
    </row>
    <row r="60" spans="1:16" s="44" customFormat="1" x14ac:dyDescent="0.2">
      <c r="A60" s="47"/>
      <c r="B60" s="88" t="s">
        <v>100</v>
      </c>
      <c r="C60" s="37" t="s">
        <v>98</v>
      </c>
      <c r="D60" s="41">
        <v>1163206.9669999999</v>
      </c>
      <c r="E60" s="92">
        <v>1.25</v>
      </c>
      <c r="F60" s="334">
        <f>ROUND(D60*E60,2)</f>
        <v>1454008.71</v>
      </c>
      <c r="G60" s="41"/>
      <c r="H60" s="345">
        <f>H43</f>
        <v>1.37</v>
      </c>
      <c r="I60" s="334">
        <f>ROUND(D60*H60,2)</f>
        <v>1593593.54</v>
      </c>
      <c r="J60" s="47"/>
      <c r="K60" s="343">
        <f>I60-F60</f>
        <v>139584.83000000007</v>
      </c>
      <c r="L60" s="344">
        <f t="shared" si="2"/>
        <v>9.6000000000000002E-2</v>
      </c>
      <c r="M60" s="117"/>
      <c r="N60" s="97"/>
      <c r="O60" s="47"/>
    </row>
    <row r="61" spans="1:16" s="44" customFormat="1" x14ac:dyDescent="0.2">
      <c r="A61" s="47"/>
      <c r="B61" s="88"/>
      <c r="C61" s="37"/>
      <c r="D61" s="41"/>
      <c r="E61" s="92"/>
      <c r="F61" s="334"/>
      <c r="G61" s="41"/>
      <c r="H61" s="92"/>
      <c r="I61" s="334"/>
      <c r="J61" s="334"/>
      <c r="K61" s="362"/>
      <c r="L61" s="408"/>
      <c r="M61" s="117"/>
      <c r="N61" s="97"/>
      <c r="O61" s="47"/>
    </row>
    <row r="62" spans="1:16" s="44" customFormat="1" x14ac:dyDescent="0.2">
      <c r="A62" s="47"/>
      <c r="B62" s="88" t="s">
        <v>101</v>
      </c>
      <c r="C62" s="37"/>
      <c r="D62" s="41"/>
      <c r="E62" s="92"/>
      <c r="F62" s="343"/>
      <c r="G62" s="41"/>
      <c r="H62" s="92"/>
      <c r="I62" s="334"/>
      <c r="J62" s="334"/>
      <c r="K62" s="362"/>
      <c r="L62" s="408"/>
      <c r="M62" s="117"/>
      <c r="N62" s="97"/>
      <c r="O62" s="47"/>
    </row>
    <row r="63" spans="1:16" s="44" customFormat="1" x14ac:dyDescent="0.2">
      <c r="A63" s="47"/>
      <c r="B63" s="88" t="s">
        <v>102</v>
      </c>
      <c r="C63" s="37" t="s">
        <v>95</v>
      </c>
      <c r="D63" s="41">
        <v>1057148.28</v>
      </c>
      <c r="E63" s="78">
        <v>0.13758000000000001</v>
      </c>
      <c r="F63" s="343" t="s">
        <v>103</v>
      </c>
      <c r="G63" s="41"/>
      <c r="H63" s="112">
        <f>H46</f>
        <v>0.14030999999999999</v>
      </c>
      <c r="I63" s="343" t="s">
        <v>103</v>
      </c>
      <c r="J63" s="343"/>
      <c r="K63" s="343"/>
      <c r="L63" s="346"/>
      <c r="M63" s="117"/>
      <c r="N63" s="97"/>
      <c r="O63" s="47"/>
    </row>
    <row r="64" spans="1:16" s="44" customFormat="1" x14ac:dyDescent="0.2">
      <c r="A64" s="47"/>
      <c r="B64" s="88" t="s">
        <v>104</v>
      </c>
      <c r="C64" s="37" t="s">
        <v>95</v>
      </c>
      <c r="D64" s="41">
        <v>3901926.5700000003</v>
      </c>
      <c r="E64" s="78">
        <v>0.13758000000000001</v>
      </c>
      <c r="F64" s="343">
        <f>D64*E64</f>
        <v>536827.05750060012</v>
      </c>
      <c r="G64" s="41"/>
      <c r="H64" s="112">
        <f>H47</f>
        <v>0.14030999999999999</v>
      </c>
      <c r="I64" s="343">
        <f>H64*D64</f>
        <v>547479.31703669997</v>
      </c>
      <c r="J64" s="343"/>
      <c r="K64" s="343">
        <f>I64-F64</f>
        <v>10652.259536099853</v>
      </c>
      <c r="L64" s="344">
        <f t="shared" ref="L64:L65" si="3">IFERROR(ROUND(K64/F64,5), )</f>
        <v>1.984E-2</v>
      </c>
      <c r="M64" s="117"/>
      <c r="N64" s="97"/>
      <c r="O64" s="47"/>
    </row>
    <row r="65" spans="1:15" s="44" customFormat="1" x14ac:dyDescent="0.2">
      <c r="A65" s="47"/>
      <c r="B65" s="88" t="s">
        <v>105</v>
      </c>
      <c r="C65" s="37" t="s">
        <v>95</v>
      </c>
      <c r="D65" s="41">
        <v>14535430.758019032</v>
      </c>
      <c r="E65" s="78">
        <v>0.11074000000000001</v>
      </c>
      <c r="F65" s="343">
        <f>D65*E65</f>
        <v>1609653.6021430276</v>
      </c>
      <c r="G65" s="41"/>
      <c r="H65" s="112">
        <f>H48</f>
        <v>0.12131</v>
      </c>
      <c r="I65" s="343">
        <f>H65*D65</f>
        <v>1763293.1052552888</v>
      </c>
      <c r="J65" s="343"/>
      <c r="K65" s="343">
        <f>I65-F65</f>
        <v>153639.50311226118</v>
      </c>
      <c r="L65" s="344">
        <f t="shared" si="3"/>
        <v>9.5449999999999993E-2</v>
      </c>
      <c r="M65" s="117"/>
      <c r="N65" s="97"/>
      <c r="O65" s="47"/>
    </row>
    <row r="66" spans="1:15" s="44" customFormat="1" x14ac:dyDescent="0.2">
      <c r="A66" s="47"/>
      <c r="B66" s="75" t="s">
        <v>106</v>
      </c>
      <c r="C66" s="350"/>
      <c r="D66" s="17">
        <f>SUM(D63:D65)</f>
        <v>19494505.608019032</v>
      </c>
      <c r="E66" s="315"/>
      <c r="F66" s="334"/>
      <c r="G66" s="41"/>
      <c r="H66" s="41"/>
      <c r="I66" s="47"/>
      <c r="J66" s="47"/>
      <c r="K66" s="47"/>
      <c r="L66" s="93"/>
      <c r="M66" s="117"/>
      <c r="N66" s="97"/>
      <c r="O66" s="47"/>
    </row>
    <row r="67" spans="1:15" s="44" customFormat="1" x14ac:dyDescent="0.2">
      <c r="A67" s="47"/>
      <c r="B67" s="357" t="s">
        <v>128</v>
      </c>
      <c r="C67" s="350"/>
      <c r="D67" s="41"/>
      <c r="E67" s="315"/>
      <c r="F67" s="410">
        <f>SUM(F58:F66)</f>
        <v>4168963.769643628</v>
      </c>
      <c r="G67" s="41"/>
      <c r="H67" s="41"/>
      <c r="I67" s="410">
        <f>SUM(I58:I66)</f>
        <v>4475398.7622919884</v>
      </c>
      <c r="J67" s="334"/>
      <c r="K67" s="410">
        <f>SUM(K58:K66)</f>
        <v>306434.99264836113</v>
      </c>
      <c r="L67" s="352">
        <f>ROUND(K67/F67,5)</f>
        <v>7.3499999999999996E-2</v>
      </c>
      <c r="M67" s="117"/>
      <c r="N67" s="97"/>
      <c r="O67" s="47"/>
    </row>
    <row r="68" spans="1:15" s="44" customFormat="1" x14ac:dyDescent="0.2">
      <c r="A68" s="47"/>
      <c r="B68" s="75"/>
      <c r="C68" s="350"/>
      <c r="D68" s="41"/>
      <c r="E68" s="315"/>
      <c r="F68" s="334"/>
      <c r="G68" s="41"/>
      <c r="H68" s="41"/>
      <c r="I68" s="334"/>
      <c r="J68" s="334"/>
      <c r="K68" s="343"/>
      <c r="L68" s="346"/>
      <c r="M68" s="117"/>
      <c r="N68" s="97"/>
      <c r="O68" s="411"/>
    </row>
    <row r="69" spans="1:15" s="44" customFormat="1" x14ac:dyDescent="0.2">
      <c r="A69" s="47"/>
      <c r="B69" s="88" t="s">
        <v>252</v>
      </c>
      <c r="C69" s="37"/>
      <c r="D69" s="41"/>
      <c r="E69" s="78"/>
      <c r="F69" s="410">
        <f>F67</f>
        <v>4168963.769643628</v>
      </c>
      <c r="G69" s="47"/>
      <c r="H69" s="92"/>
      <c r="I69" s="410">
        <f>I67</f>
        <v>4475398.7622919884</v>
      </c>
      <c r="J69" s="343"/>
      <c r="K69" s="351">
        <f>K67</f>
        <v>306434.99264836113</v>
      </c>
      <c r="L69" s="352">
        <f>ROUND(K69/F69,5)</f>
        <v>7.3499999999999996E-2</v>
      </c>
      <c r="M69" s="117"/>
      <c r="N69" s="97"/>
      <c r="O69" s="85"/>
    </row>
    <row r="70" spans="1:15" s="44" customFormat="1" x14ac:dyDescent="0.2">
      <c r="A70" s="47"/>
      <c r="B70" s="79"/>
      <c r="C70" s="80"/>
      <c r="D70" s="80"/>
      <c r="E70" s="80"/>
      <c r="F70" s="81"/>
      <c r="G70" s="80"/>
      <c r="H70" s="80"/>
      <c r="I70" s="110"/>
      <c r="J70" s="110"/>
      <c r="K70" s="81"/>
      <c r="L70" s="83"/>
      <c r="M70" s="117"/>
      <c r="N70" s="97"/>
      <c r="O70" s="411"/>
    </row>
    <row r="71" spans="1:15" s="44" customFormat="1" x14ac:dyDescent="0.2">
      <c r="A71" s="47"/>
      <c r="B71" s="47"/>
      <c r="C71" s="47"/>
      <c r="D71" s="47"/>
      <c r="E71" s="47"/>
      <c r="F71" s="85"/>
      <c r="G71" s="47"/>
      <c r="H71" s="47"/>
      <c r="I71" s="119"/>
      <c r="J71" s="119"/>
      <c r="K71" s="85"/>
      <c r="L71" s="86"/>
      <c r="M71" s="117"/>
      <c r="N71" s="97"/>
      <c r="O71" s="411"/>
    </row>
    <row r="72" spans="1:15" s="44" customFormat="1" x14ac:dyDescent="0.2">
      <c r="A72" s="47"/>
      <c r="B72" s="87" t="s">
        <v>142</v>
      </c>
      <c r="C72" s="397"/>
      <c r="D72" s="274"/>
      <c r="E72" s="337"/>
      <c r="F72" s="339"/>
      <c r="G72" s="274"/>
      <c r="H72" s="274"/>
      <c r="I72" s="339"/>
      <c r="J72" s="339"/>
      <c r="K72" s="339"/>
      <c r="L72" s="360"/>
      <c r="M72" s="117"/>
      <c r="N72" s="97"/>
      <c r="O72" s="411"/>
    </row>
    <row r="73" spans="1:15" s="44" customFormat="1" x14ac:dyDescent="0.2">
      <c r="A73" s="47"/>
      <c r="B73" s="341"/>
      <c r="C73" s="37"/>
      <c r="D73" s="47"/>
      <c r="E73" s="47"/>
      <c r="F73" s="343"/>
      <c r="G73" s="89"/>
      <c r="H73" s="47"/>
      <c r="I73" s="343"/>
      <c r="J73" s="343"/>
      <c r="K73" s="343"/>
      <c r="L73" s="346"/>
      <c r="M73" s="117"/>
      <c r="N73" s="97"/>
      <c r="O73" s="411"/>
    </row>
    <row r="74" spans="1:15" s="44" customFormat="1" x14ac:dyDescent="0.2">
      <c r="A74" s="47"/>
      <c r="B74" s="75" t="s">
        <v>92</v>
      </c>
      <c r="C74" s="76" t="s">
        <v>93</v>
      </c>
      <c r="D74" s="41">
        <f>D58+D41</f>
        <v>16031.599999999999</v>
      </c>
      <c r="E74" s="92"/>
      <c r="F74" s="343">
        <f>F58+F41</f>
        <v>2139749.04</v>
      </c>
      <c r="G74" s="41"/>
      <c r="H74" s="113"/>
      <c r="I74" s="343">
        <f>I58+I41</f>
        <v>2393556.83</v>
      </c>
      <c r="J74" s="343"/>
      <c r="K74" s="343">
        <f>K58+K41</f>
        <v>253807.79000000004</v>
      </c>
      <c r="L74" s="344">
        <f t="shared" ref="L74:L76" si="4">IFERROR(ROUND(K74/F74,5), )</f>
        <v>0.11862</v>
      </c>
      <c r="M74" s="117"/>
      <c r="N74" s="97"/>
      <c r="O74" s="411"/>
    </row>
    <row r="75" spans="1:15" s="44" customFormat="1" x14ac:dyDescent="0.2">
      <c r="A75" s="47"/>
      <c r="B75" s="88" t="s">
        <v>99</v>
      </c>
      <c r="C75" s="76" t="s">
        <v>93</v>
      </c>
      <c r="D75" s="41">
        <f>D74</f>
        <v>16031.599999999999</v>
      </c>
      <c r="E75" s="92"/>
      <c r="F75" s="343">
        <f>F59+F42</f>
        <v>1985032.7119999998</v>
      </c>
      <c r="G75" s="41"/>
      <c r="H75" s="92"/>
      <c r="I75" s="343">
        <f>I59+I42</f>
        <v>2024470.45</v>
      </c>
      <c r="J75" s="334"/>
      <c r="K75" s="343">
        <f>K59+K42</f>
        <v>39437.738000000245</v>
      </c>
      <c r="L75" s="344">
        <f t="shared" si="4"/>
        <v>1.9869999999999999E-2</v>
      </c>
      <c r="M75" s="117"/>
      <c r="N75" s="97"/>
      <c r="O75" s="411"/>
    </row>
    <row r="76" spans="1:15" s="44" customFormat="1" x14ac:dyDescent="0.2">
      <c r="A76" s="47"/>
      <c r="B76" s="341" t="s">
        <v>100</v>
      </c>
      <c r="C76" s="37" t="s">
        <v>98</v>
      </c>
      <c r="D76" s="41">
        <f>D60+D43</f>
        <v>5992011.6780000003</v>
      </c>
      <c r="E76" s="92"/>
      <c r="F76" s="343">
        <f>F60+F43</f>
        <v>7490014.5999999996</v>
      </c>
      <c r="G76" s="41"/>
      <c r="H76" s="113"/>
      <c r="I76" s="343">
        <f>I60+I43</f>
        <v>8209055.9900000002</v>
      </c>
      <c r="J76" s="334"/>
      <c r="K76" s="343">
        <f>K60+K43</f>
        <v>719041.3900000006</v>
      </c>
      <c r="L76" s="344">
        <f t="shared" si="4"/>
        <v>9.6000000000000002E-2</v>
      </c>
      <c r="M76" s="117"/>
      <c r="N76" s="97"/>
      <c r="O76" s="411"/>
    </row>
    <row r="77" spans="1:15" s="44" customFormat="1" x14ac:dyDescent="0.2">
      <c r="A77" s="47"/>
      <c r="B77" s="341"/>
      <c r="C77" s="37"/>
      <c r="D77" s="41"/>
      <c r="E77" s="92"/>
      <c r="F77" s="334"/>
      <c r="G77" s="41"/>
      <c r="H77" s="92"/>
      <c r="I77" s="334"/>
      <c r="J77" s="334"/>
      <c r="K77" s="362"/>
      <c r="L77" s="408"/>
      <c r="M77" s="117"/>
      <c r="N77" s="97"/>
      <c r="O77" s="411"/>
    </row>
    <row r="78" spans="1:15" s="44" customFormat="1" x14ac:dyDescent="0.2">
      <c r="A78" s="47"/>
      <c r="B78" s="341" t="s">
        <v>101</v>
      </c>
      <c r="C78" s="37"/>
      <c r="D78" s="41"/>
      <c r="E78" s="92"/>
      <c r="F78" s="343"/>
      <c r="G78" s="41"/>
      <c r="H78" s="92"/>
      <c r="I78" s="334"/>
      <c r="J78" s="334"/>
      <c r="K78" s="362"/>
      <c r="L78" s="408"/>
      <c r="M78" s="117"/>
      <c r="N78" s="97"/>
      <c r="O78" s="411"/>
    </row>
    <row r="79" spans="1:15" s="44" customFormat="1" x14ac:dyDescent="0.2">
      <c r="A79" s="47"/>
      <c r="B79" s="88" t="s">
        <v>102</v>
      </c>
      <c r="C79" s="37" t="s">
        <v>95</v>
      </c>
      <c r="D79" s="41">
        <f>D63+D46</f>
        <v>13270559.754000001</v>
      </c>
      <c r="E79" s="78"/>
      <c r="F79" s="343" t="s">
        <v>103</v>
      </c>
      <c r="G79" s="41"/>
      <c r="H79" s="78"/>
      <c r="I79" s="343" t="s">
        <v>103</v>
      </c>
      <c r="J79" s="343"/>
      <c r="K79" s="343"/>
      <c r="L79" s="346"/>
      <c r="M79" s="117"/>
      <c r="N79" s="97"/>
      <c r="O79" s="411"/>
    </row>
    <row r="80" spans="1:15" s="44" customFormat="1" x14ac:dyDescent="0.2">
      <c r="A80" s="47"/>
      <c r="B80" s="88" t="s">
        <v>104</v>
      </c>
      <c r="C80" s="37" t="s">
        <v>95</v>
      </c>
      <c r="D80" s="41">
        <f>D64+D47</f>
        <v>31371214.559699997</v>
      </c>
      <c r="E80" s="78"/>
      <c r="F80" s="343">
        <f>F64+F47</f>
        <v>4316051.6975006005</v>
      </c>
      <c r="G80" s="41"/>
      <c r="H80" s="78"/>
      <c r="I80" s="343">
        <f>I64+I47</f>
        <v>4401695.1170367002</v>
      </c>
      <c r="J80" s="343"/>
      <c r="K80" s="343">
        <f>K64+K47</f>
        <v>85643.419536099536</v>
      </c>
      <c r="L80" s="344">
        <f t="shared" ref="L80:L81" si="5">IFERROR(ROUND(K80/F80,5), )</f>
        <v>1.984E-2</v>
      </c>
      <c r="M80" s="117"/>
      <c r="N80" s="97"/>
      <c r="O80" s="411"/>
    </row>
    <row r="81" spans="1:15" s="44" customFormat="1" x14ac:dyDescent="0.2">
      <c r="A81" s="47"/>
      <c r="B81" s="88" t="s">
        <v>105</v>
      </c>
      <c r="C81" s="37" t="s">
        <v>95</v>
      </c>
      <c r="D81" s="82">
        <f>D65+D48</f>
        <v>37370722.451267198</v>
      </c>
      <c r="E81" s="78"/>
      <c r="F81" s="343">
        <f>F65+F48</f>
        <v>4138433.802143028</v>
      </c>
      <c r="G81" s="41"/>
      <c r="H81" s="78"/>
      <c r="I81" s="343">
        <f>I65+I48</f>
        <v>4533442.3452552892</v>
      </c>
      <c r="J81" s="343"/>
      <c r="K81" s="343">
        <f>K65+K48</f>
        <v>395008.54311226122</v>
      </c>
      <c r="L81" s="344">
        <f t="shared" si="5"/>
        <v>9.5449999999999993E-2</v>
      </c>
      <c r="M81" s="117"/>
      <c r="N81" s="97"/>
      <c r="O81" s="411"/>
    </row>
    <row r="82" spans="1:15" s="44" customFormat="1" x14ac:dyDescent="0.2">
      <c r="A82" s="47"/>
      <c r="B82" s="357" t="s">
        <v>106</v>
      </c>
      <c r="C82" s="350"/>
      <c r="D82" s="17">
        <f>SUM(D79:D81)</f>
        <v>82012496.764967203</v>
      </c>
      <c r="E82" s="315"/>
      <c r="F82" s="334"/>
      <c r="G82" s="41"/>
      <c r="H82" s="41"/>
      <c r="I82" s="47"/>
      <c r="J82" s="47"/>
      <c r="K82" s="47"/>
      <c r="L82" s="93"/>
      <c r="M82" s="117"/>
      <c r="N82" s="97"/>
      <c r="O82" s="411"/>
    </row>
    <row r="83" spans="1:15" s="44" customFormat="1" x14ac:dyDescent="0.2">
      <c r="A83" s="47"/>
      <c r="B83" s="341" t="s">
        <v>97</v>
      </c>
      <c r="C83" s="37" t="s">
        <v>95</v>
      </c>
      <c r="D83" s="41">
        <f>D50</f>
        <v>62517991.156948164</v>
      </c>
      <c r="E83" s="78"/>
      <c r="F83" s="343">
        <f>F50</f>
        <v>628305.81112732901</v>
      </c>
      <c r="G83" s="41"/>
      <c r="H83" s="96"/>
      <c r="I83" s="343">
        <f>I50</f>
        <v>699576.32104624994</v>
      </c>
      <c r="J83" s="343"/>
      <c r="K83" s="343">
        <f>I83-F83</f>
        <v>71270.509918920929</v>
      </c>
      <c r="L83" s="346">
        <f>IFERROR(ROUND(K83/F83,5), )</f>
        <v>0.11343</v>
      </c>
      <c r="M83" s="117"/>
      <c r="N83" s="97"/>
      <c r="O83" s="411"/>
    </row>
    <row r="84" spans="1:15" s="44" customFormat="1" x14ac:dyDescent="0.2">
      <c r="A84" s="47"/>
      <c r="B84" s="357" t="s">
        <v>128</v>
      </c>
      <c r="C84" s="350"/>
      <c r="D84" s="41"/>
      <c r="E84" s="315"/>
      <c r="F84" s="410">
        <f>SUM(F74:F83)</f>
        <v>20697587.662770957</v>
      </c>
      <c r="G84" s="41"/>
      <c r="H84" s="41"/>
      <c r="I84" s="410">
        <f>SUM(I74:I83)</f>
        <v>22261797.053338237</v>
      </c>
      <c r="J84" s="334"/>
      <c r="K84" s="410">
        <f>SUM(K74:K82)</f>
        <v>1492938.8806483615</v>
      </c>
      <c r="L84" s="352">
        <f>ROUND(K84/F84,5)</f>
        <v>7.213E-2</v>
      </c>
      <c r="M84" s="117"/>
      <c r="N84" s="97"/>
      <c r="O84" s="411"/>
    </row>
    <row r="85" spans="1:15" s="44" customFormat="1" x14ac:dyDescent="0.2">
      <c r="A85" s="47"/>
      <c r="B85" s="357"/>
      <c r="C85" s="350"/>
      <c r="D85" s="41"/>
      <c r="E85" s="315"/>
      <c r="F85" s="334"/>
      <c r="G85" s="41"/>
      <c r="H85" s="41"/>
      <c r="I85" s="334"/>
      <c r="J85" s="334"/>
      <c r="K85" s="343"/>
      <c r="L85" s="346"/>
      <c r="M85" s="117"/>
      <c r="N85" s="97"/>
      <c r="O85" s="411"/>
    </row>
    <row r="86" spans="1:15" s="44" customFormat="1" x14ac:dyDescent="0.2">
      <c r="A86" s="47"/>
      <c r="B86" s="341" t="s">
        <v>252</v>
      </c>
      <c r="C86" s="37"/>
      <c r="D86" s="41"/>
      <c r="E86" s="78"/>
      <c r="F86" s="410">
        <f>F84</f>
        <v>20697587.662770957</v>
      </c>
      <c r="G86" s="47"/>
      <c r="H86" s="92"/>
      <c r="I86" s="410">
        <f>I84</f>
        <v>22261797.053338237</v>
      </c>
      <c r="J86" s="343"/>
      <c r="K86" s="351">
        <f>K84</f>
        <v>1492938.8806483615</v>
      </c>
      <c r="L86" s="352">
        <f>ROUND(K86/F86,5)</f>
        <v>7.213E-2</v>
      </c>
      <c r="M86" s="117"/>
      <c r="N86" s="97"/>
      <c r="O86" s="37"/>
    </row>
    <row r="87" spans="1:15" s="44" customFormat="1" x14ac:dyDescent="0.2">
      <c r="A87" s="47"/>
      <c r="B87" s="79"/>
      <c r="C87" s="80"/>
      <c r="D87" s="80"/>
      <c r="E87" s="80"/>
      <c r="F87" s="81"/>
      <c r="G87" s="80"/>
      <c r="H87" s="80"/>
      <c r="I87" s="110"/>
      <c r="J87" s="110"/>
      <c r="K87" s="81"/>
      <c r="L87" s="83"/>
      <c r="M87" s="117"/>
      <c r="N87" s="97"/>
      <c r="O87" s="37"/>
    </row>
    <row r="88" spans="1:15" s="47" customFormat="1" x14ac:dyDescent="0.2">
      <c r="F88" s="85"/>
      <c r="I88" s="119"/>
      <c r="J88" s="119"/>
      <c r="K88" s="85"/>
      <c r="L88" s="86"/>
      <c r="M88" s="117"/>
      <c r="N88" s="97"/>
      <c r="O88" s="361"/>
    </row>
    <row r="89" spans="1:15" x14ac:dyDescent="0.2">
      <c r="B89" s="37"/>
      <c r="F89" s="377"/>
      <c r="I89" s="377"/>
      <c r="J89" s="377"/>
      <c r="K89" s="377"/>
      <c r="M89" s="399"/>
      <c r="N89" s="356"/>
      <c r="O89" s="361"/>
    </row>
    <row r="90" spans="1:15" x14ac:dyDescent="0.2">
      <c r="B90" s="314" t="s">
        <v>143</v>
      </c>
      <c r="F90" s="377"/>
      <c r="I90" s="377"/>
      <c r="J90" s="377"/>
      <c r="K90" s="377"/>
      <c r="M90" s="399"/>
      <c r="N90" s="356"/>
      <c r="O90" s="412"/>
    </row>
    <row r="91" spans="1:15" x14ac:dyDescent="0.2">
      <c r="D91" s="100" t="s">
        <v>95</v>
      </c>
      <c r="F91" s="413" t="s">
        <v>86</v>
      </c>
      <c r="I91" s="413" t="s">
        <v>26</v>
      </c>
      <c r="J91" s="377"/>
      <c r="K91" s="413" t="s">
        <v>73</v>
      </c>
      <c r="M91" s="399"/>
      <c r="N91" s="356"/>
    </row>
    <row r="92" spans="1:15" x14ac:dyDescent="0.2">
      <c r="B92" s="314" t="s">
        <v>252</v>
      </c>
      <c r="C92" s="414"/>
      <c r="D92" s="315"/>
      <c r="E92" s="414"/>
      <c r="F92" s="414"/>
      <c r="G92" s="120"/>
      <c r="H92" s="120"/>
      <c r="I92" s="414"/>
      <c r="J92" s="414"/>
      <c r="K92" s="415"/>
      <c r="M92" s="416"/>
    </row>
    <row r="93" spans="1:15" x14ac:dyDescent="0.2">
      <c r="B93" s="45" t="s">
        <v>145</v>
      </c>
      <c r="C93" s="414"/>
      <c r="D93" s="315">
        <f>D32</f>
        <v>222203870.67539161</v>
      </c>
      <c r="E93" s="414"/>
      <c r="F93" s="414">
        <f>F15+F24</f>
        <v>111031564.85000001</v>
      </c>
      <c r="G93" s="414"/>
      <c r="H93" s="120"/>
      <c r="I93" s="414">
        <f>I15+I24</f>
        <v>122144982.04000001</v>
      </c>
      <c r="J93" s="414"/>
      <c r="K93" s="415">
        <f>I93-F93</f>
        <v>11113417.189999998</v>
      </c>
      <c r="L93" s="378">
        <f>K93/F93</f>
        <v>0.10009241250462297</v>
      </c>
      <c r="M93" s="416"/>
    </row>
    <row r="94" spans="1:15" x14ac:dyDescent="0.2">
      <c r="B94" s="45" t="s">
        <v>144</v>
      </c>
      <c r="C94" s="414"/>
      <c r="D94" s="417">
        <f>D66</f>
        <v>19494505.608019032</v>
      </c>
      <c r="E94" s="414"/>
      <c r="F94" s="414">
        <f>F51+F67</f>
        <v>20697587.662770957</v>
      </c>
      <c r="G94" s="414"/>
      <c r="H94" s="120"/>
      <c r="I94" s="414">
        <f>I51+I67</f>
        <v>22261797.053338237</v>
      </c>
      <c r="J94" s="414"/>
      <c r="K94" s="415">
        <f>I94-F94</f>
        <v>1564209.3905672804</v>
      </c>
      <c r="L94" s="378">
        <f>K94/F94</f>
        <v>7.5574478342751314E-2</v>
      </c>
      <c r="M94" s="416"/>
    </row>
    <row r="95" spans="1:15" x14ac:dyDescent="0.2">
      <c r="B95" s="45" t="s">
        <v>0</v>
      </c>
      <c r="C95" s="414"/>
      <c r="D95" s="418">
        <f>SUM(D93:D94)</f>
        <v>241698376.28341064</v>
      </c>
      <c r="E95" s="414"/>
      <c r="F95" s="419">
        <f>SUM(F93:F94)</f>
        <v>131729152.51277097</v>
      </c>
      <c r="G95" s="414"/>
      <c r="H95" s="120"/>
      <c r="I95" s="419">
        <f>SUM(I93:I94)</f>
        <v>144406779.09333825</v>
      </c>
      <c r="J95" s="414"/>
      <c r="K95" s="419">
        <f>SUM(K93:K94)</f>
        <v>12677626.580567278</v>
      </c>
      <c r="L95" s="378">
        <f>K95/F95</f>
        <v>9.624009825264912E-2</v>
      </c>
      <c r="M95" s="416"/>
    </row>
    <row r="96" spans="1:15" ht="13.5" thickBot="1" x14ac:dyDescent="0.25">
      <c r="C96" s="414"/>
      <c r="D96" s="417"/>
      <c r="E96" s="414"/>
      <c r="F96" s="414"/>
      <c r="G96" s="414"/>
      <c r="H96" s="414"/>
      <c r="I96" s="414"/>
      <c r="J96" s="414"/>
      <c r="K96" s="414"/>
      <c r="M96" s="416"/>
    </row>
    <row r="97" spans="2:13" ht="13.5" thickBot="1" x14ac:dyDescent="0.25">
      <c r="B97" s="379" t="s">
        <v>13</v>
      </c>
      <c r="C97" s="380" t="s">
        <v>254</v>
      </c>
      <c r="D97" s="381">
        <v>131691503.15920852</v>
      </c>
      <c r="E97" s="380" t="s">
        <v>255</v>
      </c>
      <c r="F97" s="420">
        <f>D97-F95</f>
        <v>-37649.353562444448</v>
      </c>
      <c r="G97" s="120"/>
      <c r="H97" s="120"/>
      <c r="I97" s="414"/>
      <c r="J97" s="414"/>
      <c r="K97" s="414"/>
      <c r="M97" s="416"/>
    </row>
    <row r="98" spans="2:13" x14ac:dyDescent="0.2">
      <c r="C98" s="414"/>
      <c r="D98" s="414"/>
      <c r="E98" s="414"/>
      <c r="F98" s="414"/>
      <c r="G98" s="120"/>
      <c r="H98" s="120"/>
      <c r="I98" s="414"/>
      <c r="J98" s="414"/>
      <c r="K98" s="414"/>
      <c r="M98" s="416"/>
    </row>
    <row r="99" spans="2:13" x14ac:dyDescent="0.2">
      <c r="D99" s="376"/>
      <c r="F99" s="45"/>
      <c r="G99" s="120"/>
      <c r="H99" s="120"/>
      <c r="I99" s="414"/>
      <c r="J99" s="414"/>
      <c r="K99" s="414"/>
      <c r="M99" s="416"/>
    </row>
    <row r="100" spans="2:13" x14ac:dyDescent="0.2">
      <c r="C100" s="414"/>
      <c r="D100" s="414"/>
      <c r="E100" s="414"/>
      <c r="F100" s="414"/>
      <c r="G100" s="120"/>
      <c r="H100" s="120"/>
      <c r="I100" s="414"/>
      <c r="J100" s="414"/>
      <c r="K100" s="414"/>
      <c r="M100" s="416"/>
    </row>
    <row r="101" spans="2:13" x14ac:dyDescent="0.2">
      <c r="C101" s="414"/>
      <c r="D101" s="414"/>
      <c r="E101" s="414"/>
      <c r="F101" s="414"/>
      <c r="G101" s="120"/>
      <c r="H101" s="120"/>
      <c r="I101" s="414"/>
      <c r="J101" s="414"/>
      <c r="K101" s="414"/>
      <c r="M101" s="416"/>
    </row>
    <row r="102" spans="2:13" x14ac:dyDescent="0.2">
      <c r="C102" s="414"/>
      <c r="D102" s="414"/>
      <c r="E102" s="414"/>
      <c r="F102" s="414"/>
      <c r="G102" s="120"/>
      <c r="H102" s="120"/>
      <c r="I102" s="414"/>
      <c r="J102" s="414"/>
      <c r="K102" s="414"/>
      <c r="M102" s="416"/>
    </row>
    <row r="103" spans="2:13" x14ac:dyDescent="0.2">
      <c r="C103" s="414"/>
      <c r="D103" s="414"/>
      <c r="E103" s="414"/>
      <c r="F103" s="414"/>
      <c r="G103" s="120"/>
      <c r="H103" s="120"/>
      <c r="I103" s="414"/>
      <c r="J103" s="414"/>
      <c r="K103" s="414"/>
      <c r="M103" s="416"/>
    </row>
    <row r="104" spans="2:13" x14ac:dyDescent="0.2">
      <c r="C104" s="414"/>
      <c r="D104" s="414"/>
      <c r="E104" s="414"/>
      <c r="F104" s="414"/>
      <c r="G104" s="120"/>
      <c r="H104" s="120"/>
      <c r="I104" s="414"/>
      <c r="J104" s="414"/>
      <c r="K104" s="414"/>
      <c r="M104" s="416"/>
    </row>
    <row r="105" spans="2:13" x14ac:dyDescent="0.2">
      <c r="C105" s="414"/>
      <c r="D105" s="414"/>
      <c r="E105" s="414"/>
      <c r="F105" s="414"/>
      <c r="G105" s="120"/>
      <c r="H105" s="120"/>
      <c r="I105" s="414"/>
      <c r="J105" s="414"/>
      <c r="K105" s="414"/>
      <c r="M105" s="416"/>
    </row>
    <row r="106" spans="2:13" x14ac:dyDescent="0.2">
      <c r="C106" s="414"/>
      <c r="D106" s="414"/>
      <c r="E106" s="414"/>
      <c r="F106" s="414"/>
      <c r="G106" s="120"/>
      <c r="H106" s="120"/>
      <c r="I106" s="414"/>
      <c r="J106" s="414"/>
      <c r="K106" s="414"/>
      <c r="M106" s="416"/>
    </row>
    <row r="107" spans="2:13" x14ac:dyDescent="0.2">
      <c r="C107" s="414"/>
      <c r="D107" s="414"/>
      <c r="E107" s="414"/>
      <c r="F107" s="414"/>
      <c r="G107" s="120"/>
      <c r="H107" s="120"/>
      <c r="I107" s="414"/>
      <c r="J107" s="414"/>
      <c r="K107" s="414"/>
      <c r="M107" s="416"/>
    </row>
    <row r="108" spans="2:13" x14ac:dyDescent="0.2">
      <c r="C108" s="414"/>
      <c r="D108" s="414"/>
      <c r="E108" s="414"/>
      <c r="F108" s="414"/>
      <c r="G108" s="120"/>
      <c r="H108" s="120"/>
      <c r="I108" s="414"/>
      <c r="J108" s="414"/>
      <c r="K108" s="414"/>
      <c r="M108" s="416"/>
    </row>
    <row r="109" spans="2:13" x14ac:dyDescent="0.2">
      <c r="C109" s="414"/>
      <c r="D109" s="414"/>
      <c r="E109" s="414"/>
      <c r="F109" s="414"/>
      <c r="G109" s="120"/>
      <c r="H109" s="120"/>
      <c r="I109" s="414"/>
      <c r="J109" s="414"/>
      <c r="K109" s="414"/>
      <c r="M109" s="416"/>
    </row>
    <row r="110" spans="2:13" x14ac:dyDescent="0.2">
      <c r="C110" s="414"/>
      <c r="D110" s="414"/>
      <c r="E110" s="414"/>
      <c r="F110" s="414"/>
      <c r="G110" s="120"/>
      <c r="H110" s="120"/>
      <c r="I110" s="414"/>
      <c r="J110" s="414"/>
      <c r="K110" s="414"/>
      <c r="M110" s="416"/>
    </row>
    <row r="111" spans="2:13" x14ac:dyDescent="0.2">
      <c r="C111" s="414"/>
      <c r="D111" s="414"/>
      <c r="E111" s="414"/>
      <c r="F111" s="414"/>
      <c r="G111" s="120"/>
      <c r="H111" s="120"/>
      <c r="I111" s="414"/>
      <c r="J111" s="414"/>
      <c r="K111" s="414"/>
      <c r="M111" s="416"/>
    </row>
    <row r="112" spans="2:13" x14ac:dyDescent="0.2">
      <c r="C112" s="414"/>
      <c r="D112" s="414"/>
      <c r="E112" s="414"/>
      <c r="F112" s="414"/>
      <c r="G112" s="120"/>
      <c r="H112" s="120"/>
      <c r="I112" s="414"/>
      <c r="J112" s="414"/>
      <c r="K112" s="414"/>
      <c r="M112" s="416"/>
    </row>
    <row r="113" spans="3:13" x14ac:dyDescent="0.2">
      <c r="C113" s="414"/>
      <c r="D113" s="414"/>
      <c r="E113" s="414"/>
      <c r="F113" s="414"/>
      <c r="G113" s="120"/>
      <c r="H113" s="120"/>
      <c r="I113" s="414"/>
      <c r="J113" s="414"/>
      <c r="K113" s="414"/>
      <c r="M113" s="416"/>
    </row>
    <row r="114" spans="3:13" x14ac:dyDescent="0.2">
      <c r="C114" s="414"/>
      <c r="D114" s="414"/>
      <c r="E114" s="414"/>
      <c r="F114" s="414"/>
      <c r="G114" s="120"/>
      <c r="H114" s="120"/>
      <c r="I114" s="414"/>
      <c r="J114" s="414"/>
      <c r="K114" s="414"/>
      <c r="M114" s="416"/>
    </row>
    <row r="115" spans="3:13" x14ac:dyDescent="0.2">
      <c r="C115" s="414"/>
      <c r="D115" s="414"/>
      <c r="E115" s="414"/>
      <c r="F115" s="414"/>
      <c r="G115" s="120"/>
      <c r="H115" s="120"/>
      <c r="I115" s="414"/>
      <c r="J115" s="414"/>
      <c r="K115" s="414"/>
      <c r="M115" s="416"/>
    </row>
    <row r="116" spans="3:13" x14ac:dyDescent="0.2">
      <c r="C116" s="414"/>
      <c r="D116" s="414"/>
      <c r="E116" s="414"/>
      <c r="F116" s="414"/>
      <c r="G116" s="120"/>
      <c r="H116" s="120"/>
      <c r="I116" s="414"/>
      <c r="J116" s="414"/>
      <c r="K116" s="414"/>
      <c r="M116" s="416"/>
    </row>
    <row r="117" spans="3:13" x14ac:dyDescent="0.2">
      <c r="M117" s="416"/>
    </row>
    <row r="118" spans="3:13" x14ac:dyDescent="0.2">
      <c r="M118" s="416"/>
    </row>
  </sheetData>
  <mergeCells count="1">
    <mergeCell ref="K7:L7"/>
  </mergeCells>
  <printOptions horizontalCentered="1"/>
  <pageMargins left="0.5" right="0.5" top="1" bottom="1" header="0.75" footer="0.5"/>
  <pageSetup scale="65" fitToHeight="8" orientation="landscape" blackAndWhite="1" r:id="rId1"/>
  <headerFooter alignWithMargins="0">
    <oddFooter>&amp;R&amp;A
 Page &amp;P of &amp;N</oddFooter>
  </headerFooter>
  <rowBreaks count="2" manualBreakCount="2">
    <brk id="38" max="16383" man="1"/>
    <brk id="8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7"/>
  <sheetViews>
    <sheetView zoomScale="90" zoomScaleNormal="90" zoomScaleSheetLayoutView="90" workbookViewId="0">
      <pane ySplit="8" topLeftCell="A107" activePane="bottomLeft" state="frozen"/>
      <selection activeCell="G42" sqref="G42"/>
      <selection pane="bottomLeft" activeCell="G42" sqref="G42"/>
    </sheetView>
  </sheetViews>
  <sheetFormatPr defaultColWidth="9.140625" defaultRowHeight="12.75" x14ac:dyDescent="0.2"/>
  <cols>
    <col min="1" max="1" width="2.42578125" style="45" customWidth="1"/>
    <col min="2" max="2" width="31.7109375" style="45" customWidth="1"/>
    <col min="3" max="3" width="9.7109375" style="45" customWidth="1"/>
    <col min="4" max="4" width="15.140625" style="36" bestFit="1" customWidth="1"/>
    <col min="5" max="5" width="10.42578125" style="458" customWidth="1"/>
    <col min="6" max="6" width="13.5703125" style="316" customWidth="1"/>
    <col min="7" max="7" width="3" style="41" customWidth="1"/>
    <col min="8" max="8" width="10.42578125" style="144" customWidth="1"/>
    <col min="9" max="9" width="14" style="316" bestFit="1" customWidth="1"/>
    <col min="10" max="10" width="2.85546875" style="316" customWidth="1"/>
    <col min="11" max="11" width="13.140625" style="316" customWidth="1"/>
    <col min="12" max="12" width="10.42578125" style="467" customWidth="1"/>
    <col min="13" max="13" width="2.85546875" style="384" customWidth="1"/>
    <col min="14" max="14" width="2.140625" style="424" customWidth="1"/>
    <col min="15" max="15" width="14.5703125" style="45" bestFit="1" customWidth="1"/>
    <col min="16" max="16" width="2.85546875" style="45" customWidth="1"/>
    <col min="17" max="16384" width="9.140625" style="45"/>
  </cols>
  <sheetData>
    <row r="1" spans="1:16" x14ac:dyDescent="0.2">
      <c r="B1" s="309" t="s">
        <v>12</v>
      </c>
      <c r="C1" s="35"/>
      <c r="D1" s="102"/>
      <c r="E1" s="421"/>
      <c r="F1" s="386"/>
      <c r="G1" s="121"/>
      <c r="H1" s="122"/>
      <c r="I1" s="386"/>
      <c r="J1" s="386"/>
      <c r="K1" s="386"/>
      <c r="L1" s="388"/>
      <c r="M1" s="388"/>
      <c r="N1" s="389"/>
      <c r="O1" s="35"/>
      <c r="P1" s="35"/>
    </row>
    <row r="2" spans="1:16" x14ac:dyDescent="0.2">
      <c r="B2" s="311" t="s">
        <v>312</v>
      </c>
      <c r="C2" s="312"/>
      <c r="D2" s="122"/>
      <c r="E2" s="386"/>
      <c r="F2" s="386"/>
      <c r="G2" s="122"/>
      <c r="H2" s="122"/>
      <c r="I2" s="386"/>
      <c r="J2" s="386"/>
      <c r="K2" s="386"/>
      <c r="L2" s="386"/>
      <c r="M2" s="388"/>
      <c r="N2" s="389"/>
      <c r="O2" s="35"/>
      <c r="P2" s="35"/>
    </row>
    <row r="3" spans="1:16" x14ac:dyDescent="0.2">
      <c r="B3" s="311" t="s">
        <v>313</v>
      </c>
      <c r="C3" s="312"/>
      <c r="D3" s="122"/>
      <c r="E3" s="386"/>
      <c r="F3" s="386"/>
      <c r="G3" s="122"/>
      <c r="H3" s="122"/>
      <c r="I3" s="386"/>
      <c r="J3" s="386"/>
      <c r="K3" s="386"/>
      <c r="L3" s="386"/>
      <c r="M3" s="388"/>
      <c r="N3" s="389"/>
      <c r="O3" s="35"/>
      <c r="P3" s="35"/>
    </row>
    <row r="4" spans="1:16" x14ac:dyDescent="0.2">
      <c r="B4" s="311" t="s">
        <v>146</v>
      </c>
      <c r="C4" s="312"/>
      <c r="D4" s="122"/>
      <c r="E4" s="386"/>
      <c r="F4" s="386"/>
      <c r="G4" s="122"/>
      <c r="H4" s="122"/>
      <c r="I4" s="386"/>
      <c r="J4" s="386"/>
      <c r="K4" s="386"/>
      <c r="L4" s="386"/>
      <c r="M4" s="388"/>
      <c r="N4" s="389"/>
      <c r="O4" s="35"/>
      <c r="P4" s="35"/>
    </row>
    <row r="5" spans="1:16" x14ac:dyDescent="0.2">
      <c r="B5" s="311" t="s">
        <v>314</v>
      </c>
      <c r="C5" s="312"/>
      <c r="D5" s="102"/>
      <c r="E5" s="421"/>
      <c r="F5" s="386"/>
      <c r="G5" s="121"/>
      <c r="H5" s="122"/>
      <c r="I5" s="386"/>
      <c r="J5" s="386"/>
      <c r="K5" s="386"/>
      <c r="L5" s="388"/>
      <c r="M5" s="388"/>
      <c r="N5" s="389"/>
      <c r="O5" s="313"/>
      <c r="P5" s="35"/>
    </row>
    <row r="6" spans="1:16" s="37" customFormat="1" x14ac:dyDescent="0.2">
      <c r="B6" s="422"/>
      <c r="C6" s="313"/>
      <c r="D6" s="41"/>
      <c r="E6" s="423"/>
      <c r="F6" s="317"/>
      <c r="G6" s="41"/>
      <c r="H6" s="92"/>
      <c r="I6" s="317"/>
      <c r="J6" s="317"/>
      <c r="K6" s="317"/>
      <c r="L6" s="424"/>
      <c r="M6" s="394"/>
      <c r="N6" s="394"/>
    </row>
    <row r="7" spans="1:16" x14ac:dyDescent="0.2">
      <c r="B7" s="319"/>
      <c r="C7" s="320"/>
      <c r="D7" s="123" t="s">
        <v>85</v>
      </c>
      <c r="E7" s="73" t="s">
        <v>249</v>
      </c>
      <c r="F7" s="321"/>
      <c r="G7" s="46"/>
      <c r="H7" s="323" t="s">
        <v>250</v>
      </c>
      <c r="I7" s="321"/>
      <c r="J7" s="324"/>
      <c r="K7" s="669" t="s">
        <v>120</v>
      </c>
      <c r="L7" s="670"/>
      <c r="M7" s="394"/>
      <c r="N7" s="389"/>
      <c r="O7" s="327" t="s">
        <v>87</v>
      </c>
    </row>
    <row r="8" spans="1:16" x14ac:dyDescent="0.2">
      <c r="B8" s="328" t="s">
        <v>88</v>
      </c>
      <c r="C8" s="425" t="s">
        <v>89</v>
      </c>
      <c r="D8" s="100" t="s">
        <v>90</v>
      </c>
      <c r="E8" s="426" t="s">
        <v>82</v>
      </c>
      <c r="F8" s="330" t="s">
        <v>91</v>
      </c>
      <c r="G8" s="100"/>
      <c r="H8" s="109" t="s">
        <v>82</v>
      </c>
      <c r="I8" s="330" t="s">
        <v>91</v>
      </c>
      <c r="J8" s="330"/>
      <c r="K8" s="330" t="s">
        <v>121</v>
      </c>
      <c r="L8" s="331" t="s">
        <v>122</v>
      </c>
      <c r="M8" s="394"/>
      <c r="N8" s="332"/>
      <c r="O8" s="333" t="s">
        <v>123</v>
      </c>
    </row>
    <row r="9" spans="1:16" x14ac:dyDescent="0.2">
      <c r="A9" s="37"/>
      <c r="B9" s="357"/>
      <c r="C9" s="350"/>
      <c r="D9" s="41"/>
      <c r="E9" s="423"/>
      <c r="F9" s="317"/>
      <c r="G9" s="89"/>
      <c r="H9" s="92"/>
      <c r="I9" s="401"/>
      <c r="J9" s="401"/>
      <c r="K9" s="317"/>
      <c r="L9" s="427"/>
      <c r="M9" s="394"/>
      <c r="O9" s="37"/>
    </row>
    <row r="10" spans="1:16" x14ac:dyDescent="0.2">
      <c r="B10" s="335" t="s">
        <v>147</v>
      </c>
      <c r="C10" s="397"/>
      <c r="D10" s="398"/>
      <c r="E10" s="428"/>
      <c r="F10" s="339"/>
      <c r="G10" s="429"/>
      <c r="H10" s="430"/>
      <c r="I10" s="431"/>
      <c r="J10" s="431"/>
      <c r="K10" s="339"/>
      <c r="L10" s="340"/>
      <c r="M10" s="394"/>
      <c r="N10" s="394"/>
    </row>
    <row r="11" spans="1:16" x14ac:dyDescent="0.2">
      <c r="B11" s="341"/>
      <c r="C11" s="37"/>
      <c r="D11" s="41"/>
      <c r="E11" s="423"/>
      <c r="F11" s="343"/>
      <c r="G11" s="89"/>
      <c r="H11" s="92"/>
      <c r="I11" s="334"/>
      <c r="J11" s="401"/>
      <c r="K11" s="343"/>
      <c r="L11" s="344"/>
      <c r="M11" s="394"/>
      <c r="N11" s="394"/>
      <c r="O11" s="400" t="s">
        <v>148</v>
      </c>
    </row>
    <row r="12" spans="1:16" x14ac:dyDescent="0.2">
      <c r="B12" s="357" t="s">
        <v>92</v>
      </c>
      <c r="C12" s="350" t="s">
        <v>93</v>
      </c>
      <c r="D12" s="41">
        <v>368.56669691470051</v>
      </c>
      <c r="E12" s="92">
        <v>595.08000000000004</v>
      </c>
      <c r="F12" s="343">
        <f>ROUND(D12*E12,2)</f>
        <v>219326.67</v>
      </c>
      <c r="H12" s="345">
        <v>701.68</v>
      </c>
      <c r="I12" s="334">
        <f>ROUND(D12*H12,2)</f>
        <v>258615.88</v>
      </c>
      <c r="J12" s="401"/>
      <c r="K12" s="343">
        <f>I12-F12</f>
        <v>39289.209999999992</v>
      </c>
      <c r="L12" s="344">
        <f>IFERROR(K12/F12, )</f>
        <v>0.17913557890611292</v>
      </c>
      <c r="M12" s="394"/>
      <c r="N12" s="394"/>
      <c r="O12" s="77">
        <v>9611898.688954046</v>
      </c>
    </row>
    <row r="13" spans="1:16" x14ac:dyDescent="0.2">
      <c r="B13" s="341" t="s">
        <v>100</v>
      </c>
      <c r="C13" s="37" t="s">
        <v>98</v>
      </c>
      <c r="D13" s="41">
        <v>96766.635999999999</v>
      </c>
      <c r="E13" s="92">
        <v>1.3</v>
      </c>
      <c r="F13" s="343">
        <f>ROUND(D13*E13,2)</f>
        <v>125796.63</v>
      </c>
      <c r="H13" s="345">
        <f>ROUND(E13*(1+$O$16),2)</f>
        <v>1.44</v>
      </c>
      <c r="I13" s="334">
        <f>ROUND(D13*H13,2)</f>
        <v>139343.96</v>
      </c>
      <c r="J13" s="401"/>
      <c r="K13" s="343">
        <f>I13-F13</f>
        <v>13547.329999999987</v>
      </c>
      <c r="L13" s="344">
        <f t="shared" ref="L13:L15" si="0">IFERROR(K13/F13, )</f>
        <v>0.10769231258420824</v>
      </c>
      <c r="M13" s="394"/>
      <c r="N13" s="394"/>
      <c r="O13" s="348" t="s">
        <v>125</v>
      </c>
    </row>
    <row r="14" spans="1:16" x14ac:dyDescent="0.2">
      <c r="B14" s="341" t="s">
        <v>97</v>
      </c>
      <c r="C14" s="37" t="s">
        <v>95</v>
      </c>
      <c r="D14" s="41">
        <f>D21</f>
        <v>19992939.502740219</v>
      </c>
      <c r="E14" s="78">
        <v>7.0499999999999998E-3</v>
      </c>
      <c r="F14" s="343">
        <f>E14*D14</f>
        <v>140950.22349431855</v>
      </c>
      <c r="H14" s="112">
        <f>ROUND(E14*(1+$O$16),5)</f>
        <v>7.7999999999999996E-3</v>
      </c>
      <c r="I14" s="334">
        <f>ROUND(D14*H14,2)</f>
        <v>155944.93</v>
      </c>
      <c r="J14" s="317"/>
      <c r="K14" s="343">
        <f>I14-F14</f>
        <v>14994.706505681446</v>
      </c>
      <c r="L14" s="344">
        <f t="shared" si="0"/>
        <v>0.10638299205170013</v>
      </c>
      <c r="M14" s="394"/>
      <c r="N14" s="394"/>
      <c r="O14" s="353">
        <f>I54-O12</f>
        <v>91.681045953184366</v>
      </c>
    </row>
    <row r="15" spans="1:16" x14ac:dyDescent="0.2">
      <c r="B15" s="341" t="s">
        <v>107</v>
      </c>
      <c r="C15" s="37"/>
      <c r="D15" s="41"/>
      <c r="E15" s="78"/>
      <c r="F15" s="91">
        <v>9677.49</v>
      </c>
      <c r="H15" s="78"/>
      <c r="I15" s="85">
        <f>F15</f>
        <v>9677.49</v>
      </c>
      <c r="J15" s="317"/>
      <c r="K15" s="343">
        <f>I15-F15</f>
        <v>0</v>
      </c>
      <c r="L15" s="344">
        <f t="shared" si="0"/>
        <v>0</v>
      </c>
      <c r="M15" s="394"/>
      <c r="N15" s="394"/>
      <c r="O15" s="106"/>
    </row>
    <row r="16" spans="1:16" x14ac:dyDescent="0.2">
      <c r="B16" s="341"/>
      <c r="C16" s="37"/>
      <c r="D16" s="41"/>
      <c r="E16" s="78"/>
      <c r="F16" s="85"/>
      <c r="H16" s="78"/>
      <c r="I16" s="91"/>
      <c r="J16" s="401"/>
      <c r="K16" s="343"/>
      <c r="L16" s="344"/>
      <c r="M16" s="394"/>
      <c r="N16" s="394"/>
      <c r="O16" s="402">
        <v>0.10610240784340896</v>
      </c>
    </row>
    <row r="17" spans="2:16" x14ac:dyDescent="0.2">
      <c r="B17" s="341" t="s">
        <v>101</v>
      </c>
      <c r="C17" s="37"/>
      <c r="D17" s="41"/>
      <c r="E17" s="78"/>
      <c r="F17" s="85"/>
      <c r="H17" s="78"/>
      <c r="I17" s="91"/>
      <c r="J17" s="401"/>
      <c r="K17" s="343"/>
      <c r="L17" s="344"/>
      <c r="M17" s="394"/>
      <c r="N17" s="394"/>
      <c r="O17" s="432"/>
    </row>
    <row r="18" spans="2:16" x14ac:dyDescent="0.2">
      <c r="B18" s="341" t="s">
        <v>108</v>
      </c>
      <c r="C18" s="37" t="s">
        <v>95</v>
      </c>
      <c r="D18" s="41">
        <v>8259556.7221568692</v>
      </c>
      <c r="E18" s="78">
        <v>0.1084</v>
      </c>
      <c r="F18" s="85">
        <f>ROUND(D18*E18,2)</f>
        <v>895335.95</v>
      </c>
      <c r="H18" s="112">
        <f>ROUND((O12-SUM(I12:I15,I19:I20, I28:I30,I34:I35))/SUM(D18,D33),5)</f>
        <v>0.12488</v>
      </c>
      <c r="I18" s="91">
        <f>ROUND(D18*H18,2)</f>
        <v>1031453.44</v>
      </c>
      <c r="J18" s="401"/>
      <c r="K18" s="343">
        <f>I18-F18</f>
        <v>136117.49</v>
      </c>
      <c r="L18" s="344">
        <f t="shared" ref="L18:L20" si="1">IFERROR(K18/F18, )</f>
        <v>0.15202951473131399</v>
      </c>
      <c r="M18" s="394"/>
      <c r="N18" s="394"/>
      <c r="O18" s="433"/>
      <c r="P18" s="124"/>
    </row>
    <row r="19" spans="2:16" x14ac:dyDescent="0.2">
      <c r="B19" s="341" t="s">
        <v>109</v>
      </c>
      <c r="C19" s="37" t="s">
        <v>95</v>
      </c>
      <c r="D19" s="41">
        <v>4347559.727</v>
      </c>
      <c r="E19" s="78">
        <v>5.3650000000000003E-2</v>
      </c>
      <c r="F19" s="85">
        <f>ROUND(D19*E19,2)</f>
        <v>233246.58</v>
      </c>
      <c r="H19" s="112">
        <f>ROUND(E19*(1+$O$16),5)</f>
        <v>5.9339999999999997E-2</v>
      </c>
      <c r="I19" s="91">
        <f>ROUND(D19*H19,2)</f>
        <v>257984.19</v>
      </c>
      <c r="J19" s="401"/>
      <c r="K19" s="343">
        <f>I19-F19</f>
        <v>24737.610000000015</v>
      </c>
      <c r="L19" s="344">
        <f t="shared" si="1"/>
        <v>0.10605776084691153</v>
      </c>
      <c r="M19" s="394"/>
      <c r="N19" s="394"/>
      <c r="O19" s="96"/>
      <c r="P19" s="96"/>
    </row>
    <row r="20" spans="2:16" x14ac:dyDescent="0.2">
      <c r="B20" s="341" t="s">
        <v>110</v>
      </c>
      <c r="C20" s="37" t="s">
        <v>95</v>
      </c>
      <c r="D20" s="41">
        <v>7385823.0535833519</v>
      </c>
      <c r="E20" s="78">
        <v>5.1319999999999998E-2</v>
      </c>
      <c r="F20" s="85">
        <f>ROUND(D20*E20,2)</f>
        <v>379040.44</v>
      </c>
      <c r="H20" s="112">
        <f>ROUND(E20*(1+$O$16),5)</f>
        <v>5.6770000000000001E-2</v>
      </c>
      <c r="I20" s="91">
        <f>ROUND(D20*H20,2)</f>
        <v>419293.17</v>
      </c>
      <c r="J20" s="401"/>
      <c r="K20" s="343">
        <f>I20-F20</f>
        <v>40252.729999999981</v>
      </c>
      <c r="L20" s="344">
        <f t="shared" si="1"/>
        <v>0.10619639951874259</v>
      </c>
      <c r="M20" s="394"/>
      <c r="N20" s="394"/>
      <c r="O20" s="96"/>
      <c r="P20" s="96"/>
    </row>
    <row r="21" spans="2:16" x14ac:dyDescent="0.2">
      <c r="B21" s="357" t="s">
        <v>128</v>
      </c>
      <c r="C21" s="350"/>
      <c r="D21" s="17">
        <f>SUM(D18:D20)</f>
        <v>19992939.502740219</v>
      </c>
      <c r="E21" s="317"/>
      <c r="F21" s="131">
        <f>SUM(F12:F20)</f>
        <v>2003373.9834943186</v>
      </c>
      <c r="H21" s="92"/>
      <c r="I21" s="131">
        <f>SUM(I12:I20)</f>
        <v>2272313.06</v>
      </c>
      <c r="J21" s="401"/>
      <c r="K21" s="410">
        <f>SUM(K12:K20)</f>
        <v>268939.07650568138</v>
      </c>
      <c r="L21" s="125">
        <f>IFERROR(K21/F21, )</f>
        <v>0.13424307129944521</v>
      </c>
      <c r="M21" s="394"/>
      <c r="N21" s="394"/>
      <c r="O21" s="98"/>
      <c r="P21" s="307"/>
    </row>
    <row r="22" spans="2:16" ht="12.75" customHeight="1" x14ac:dyDescent="0.2">
      <c r="B22" s="357"/>
      <c r="C22" s="350"/>
      <c r="D22" s="41"/>
      <c r="E22" s="317"/>
      <c r="F22" s="91"/>
      <c r="H22" s="92"/>
      <c r="I22" s="91"/>
      <c r="J22" s="401"/>
      <c r="K22" s="343"/>
      <c r="L22" s="344"/>
      <c r="M22" s="394"/>
      <c r="N22" s="394"/>
      <c r="O22" s="434"/>
      <c r="P22" s="435"/>
    </row>
    <row r="23" spans="2:16" x14ac:dyDescent="0.2">
      <c r="B23" s="341" t="s">
        <v>252</v>
      </c>
      <c r="C23" s="37"/>
      <c r="D23" s="41"/>
      <c r="E23" s="78"/>
      <c r="F23" s="131">
        <f>F21</f>
        <v>2003373.9834943186</v>
      </c>
      <c r="H23" s="92"/>
      <c r="I23" s="131">
        <f>I21</f>
        <v>2272313.06</v>
      </c>
      <c r="J23" s="401"/>
      <c r="K23" s="410">
        <f>K21</f>
        <v>268939.07650568138</v>
      </c>
      <c r="L23" s="125">
        <f>IFERROR(K23/F23, )</f>
        <v>0.13424307129944521</v>
      </c>
      <c r="M23" s="394"/>
      <c r="N23" s="394"/>
    </row>
    <row r="24" spans="2:16" x14ac:dyDescent="0.2">
      <c r="B24" s="403"/>
      <c r="C24" s="372"/>
      <c r="D24" s="82"/>
      <c r="E24" s="436"/>
      <c r="F24" s="81"/>
      <c r="G24" s="82"/>
      <c r="H24" s="126"/>
      <c r="I24" s="81"/>
      <c r="J24" s="437"/>
      <c r="K24" s="405"/>
      <c r="L24" s="406"/>
      <c r="M24" s="394"/>
      <c r="N24" s="394"/>
    </row>
    <row r="25" spans="2:16" x14ac:dyDescent="0.2">
      <c r="B25" s="47"/>
      <c r="C25" s="47"/>
      <c r="D25" s="41"/>
      <c r="E25" s="78"/>
      <c r="F25" s="85"/>
      <c r="H25" s="92"/>
      <c r="I25" s="91"/>
      <c r="J25" s="127"/>
      <c r="K25" s="85"/>
      <c r="L25" s="86"/>
      <c r="M25" s="394"/>
      <c r="N25" s="394"/>
    </row>
    <row r="26" spans="2:16" x14ac:dyDescent="0.2">
      <c r="B26" s="335" t="s">
        <v>149</v>
      </c>
      <c r="C26" s="397"/>
      <c r="D26" s="398"/>
      <c r="E26" s="428"/>
      <c r="F26" s="438"/>
      <c r="G26" s="429"/>
      <c r="H26" s="430"/>
      <c r="I26" s="439"/>
      <c r="J26" s="431"/>
      <c r="K26" s="339"/>
      <c r="L26" s="340"/>
      <c r="M26" s="394"/>
      <c r="N26" s="394"/>
      <c r="O26" s="128"/>
      <c r="P26" s="76"/>
    </row>
    <row r="27" spans="2:16" x14ac:dyDescent="0.2">
      <c r="B27" s="341"/>
      <c r="C27" s="37"/>
      <c r="D27" s="41"/>
      <c r="E27" s="423"/>
      <c r="F27" s="85"/>
      <c r="G27" s="89"/>
      <c r="H27" s="92"/>
      <c r="I27" s="91"/>
      <c r="J27" s="401"/>
      <c r="K27" s="343"/>
      <c r="L27" s="344"/>
      <c r="M27" s="394"/>
      <c r="N27" s="394"/>
      <c r="O27" s="47"/>
      <c r="P27" s="47"/>
    </row>
    <row r="28" spans="2:16" x14ac:dyDescent="0.2">
      <c r="B28" s="357" t="s">
        <v>92</v>
      </c>
      <c r="C28" s="350" t="s">
        <v>93</v>
      </c>
      <c r="D28" s="41">
        <v>884.03333362675562</v>
      </c>
      <c r="E28" s="92">
        <v>903.09</v>
      </c>
      <c r="F28" s="85">
        <f>ROUND(D28*E28,2)</f>
        <v>798361.66</v>
      </c>
      <c r="H28" s="345">
        <f>E28</f>
        <v>903.09</v>
      </c>
      <c r="I28" s="91">
        <f>ROUND(D28*H28,2)</f>
        <v>798361.66</v>
      </c>
      <c r="J28" s="401"/>
      <c r="K28" s="343">
        <f>I28-F28</f>
        <v>0</v>
      </c>
      <c r="L28" s="344">
        <f t="shared" ref="L28:L30" si="2">IFERROR(K28/F28, )</f>
        <v>0</v>
      </c>
      <c r="M28" s="394"/>
      <c r="N28" s="394"/>
      <c r="O28" s="76"/>
      <c r="P28" s="76"/>
    </row>
    <row r="29" spans="2:16" x14ac:dyDescent="0.2">
      <c r="B29" s="341" t="s">
        <v>100</v>
      </c>
      <c r="C29" s="37" t="s">
        <v>98</v>
      </c>
      <c r="D29" s="41">
        <v>651309.33499999996</v>
      </c>
      <c r="E29" s="92">
        <v>1.3</v>
      </c>
      <c r="F29" s="85">
        <f>ROUND(D29*E29,2)</f>
        <v>846702.14</v>
      </c>
      <c r="H29" s="345">
        <f>$H$13</f>
        <v>1.44</v>
      </c>
      <c r="I29" s="91">
        <f>ROUND(D29*H29,2)</f>
        <v>937885.44</v>
      </c>
      <c r="J29" s="401"/>
      <c r="K29" s="343">
        <f>I29-F29</f>
        <v>91183.29999999993</v>
      </c>
      <c r="L29" s="344">
        <f t="shared" si="2"/>
        <v>0.10769229897068634</v>
      </c>
      <c r="M29" s="394"/>
      <c r="N29" s="394"/>
      <c r="O29" s="47"/>
      <c r="P29" s="47"/>
    </row>
    <row r="30" spans="2:16" x14ac:dyDescent="0.2">
      <c r="B30" s="341" t="s">
        <v>107</v>
      </c>
      <c r="C30" s="37"/>
      <c r="D30" s="41"/>
      <c r="E30" s="92"/>
      <c r="F30" s="91">
        <v>-10601.630000000003</v>
      </c>
      <c r="H30" s="345"/>
      <c r="I30" s="91">
        <f>F30</f>
        <v>-10601.630000000003</v>
      </c>
      <c r="J30" s="401"/>
      <c r="K30" s="343">
        <f>I30-F30</f>
        <v>0</v>
      </c>
      <c r="L30" s="344">
        <f t="shared" si="2"/>
        <v>0</v>
      </c>
      <c r="M30" s="394"/>
      <c r="N30" s="394"/>
      <c r="O30" s="47"/>
      <c r="P30" s="47"/>
    </row>
    <row r="31" spans="2:16" x14ac:dyDescent="0.2">
      <c r="B31" s="341"/>
      <c r="C31" s="37"/>
      <c r="D31" s="41"/>
      <c r="E31" s="78"/>
      <c r="F31" s="47"/>
      <c r="H31" s="112"/>
      <c r="I31" s="47"/>
      <c r="J31" s="317"/>
      <c r="K31" s="343"/>
      <c r="L31" s="344"/>
      <c r="M31" s="394"/>
      <c r="N31" s="394"/>
      <c r="O31" s="47"/>
      <c r="P31" s="47"/>
    </row>
    <row r="32" spans="2:16" x14ac:dyDescent="0.2">
      <c r="B32" s="341" t="s">
        <v>101</v>
      </c>
      <c r="C32" s="37"/>
      <c r="D32" s="41"/>
      <c r="E32" s="78"/>
      <c r="F32" s="85"/>
      <c r="H32" s="112"/>
      <c r="I32" s="91"/>
      <c r="J32" s="401"/>
      <c r="K32" s="343"/>
      <c r="L32" s="344"/>
      <c r="M32" s="394"/>
      <c r="N32" s="394"/>
      <c r="O32" s="47"/>
      <c r="P32" s="47"/>
    </row>
    <row r="33" spans="2:16" x14ac:dyDescent="0.2">
      <c r="B33" s="341" t="s">
        <v>108</v>
      </c>
      <c r="C33" s="37" t="s">
        <v>95</v>
      </c>
      <c r="D33" s="41">
        <v>24354615.889999997</v>
      </c>
      <c r="E33" s="78">
        <v>0.1084</v>
      </c>
      <c r="F33" s="85">
        <f>ROUND(D33*E33,2)</f>
        <v>2640040.36</v>
      </c>
      <c r="H33" s="112">
        <f>H18</f>
        <v>0.12488</v>
      </c>
      <c r="I33" s="91">
        <f>ROUND(D33*H33,2)</f>
        <v>3041404.43</v>
      </c>
      <c r="J33" s="401"/>
      <c r="K33" s="343">
        <f>I33-F33</f>
        <v>401364.0700000003</v>
      </c>
      <c r="L33" s="344">
        <f t="shared" ref="L33:L35" si="3">IFERROR(K33/F33, )</f>
        <v>0.1520295204880884</v>
      </c>
      <c r="M33" s="394"/>
      <c r="N33" s="394"/>
      <c r="O33" s="47"/>
      <c r="P33" s="47"/>
    </row>
    <row r="34" spans="2:16" x14ac:dyDescent="0.2">
      <c r="B34" s="341" t="s">
        <v>109</v>
      </c>
      <c r="C34" s="37" t="s">
        <v>95</v>
      </c>
      <c r="D34" s="41">
        <v>17329118.52</v>
      </c>
      <c r="E34" s="78">
        <v>5.3650000000000003E-2</v>
      </c>
      <c r="F34" s="85">
        <f>ROUND(D34*E34,2)</f>
        <v>929707.21</v>
      </c>
      <c r="H34" s="112">
        <f>H19</f>
        <v>5.9339999999999997E-2</v>
      </c>
      <c r="I34" s="91">
        <f>ROUND(D34*H34,2)</f>
        <v>1028309.89</v>
      </c>
      <c r="J34" s="401"/>
      <c r="K34" s="343">
        <f>I34-F34</f>
        <v>98602.680000000051</v>
      </c>
      <c r="L34" s="344">
        <f t="shared" si="3"/>
        <v>0.10605777705004574</v>
      </c>
      <c r="M34" s="394"/>
      <c r="N34" s="394"/>
      <c r="O34" s="47"/>
      <c r="P34" s="47"/>
    </row>
    <row r="35" spans="2:16" x14ac:dyDescent="0.2">
      <c r="B35" s="341" t="s">
        <v>111</v>
      </c>
      <c r="C35" s="37" t="s">
        <v>95</v>
      </c>
      <c r="D35" s="41">
        <v>27203056.60995879</v>
      </c>
      <c r="E35" s="78">
        <v>5.1319999999999998E-2</v>
      </c>
      <c r="F35" s="81">
        <f>ROUND(D35*E35,2)</f>
        <v>1396060.87</v>
      </c>
      <c r="H35" s="112">
        <f>H20</f>
        <v>5.6770000000000001E-2</v>
      </c>
      <c r="I35" s="91">
        <f>ROUND(D35*H35,2)</f>
        <v>1544317.52</v>
      </c>
      <c r="J35" s="401"/>
      <c r="K35" s="343">
        <f>I35-F35</f>
        <v>148256.64999999991</v>
      </c>
      <c r="L35" s="344">
        <f t="shared" si="3"/>
        <v>0.10619640818383506</v>
      </c>
      <c r="M35" s="394"/>
      <c r="N35" s="394"/>
      <c r="O35" s="47"/>
      <c r="P35" s="47"/>
    </row>
    <row r="36" spans="2:16" x14ac:dyDescent="0.2">
      <c r="B36" s="357" t="s">
        <v>128</v>
      </c>
      <c r="C36" s="350"/>
      <c r="D36" s="17">
        <f>SUM(D33:D35)</f>
        <v>68886791.019958794</v>
      </c>
      <c r="E36" s="317"/>
      <c r="F36" s="131">
        <f>SUM(F28:F35)</f>
        <v>6600270.6100000003</v>
      </c>
      <c r="H36" s="92"/>
      <c r="I36" s="131">
        <f>SUM(I28:I35)</f>
        <v>7339677.3100000005</v>
      </c>
      <c r="J36" s="401"/>
      <c r="K36" s="410">
        <f>SUM(K28:K35)</f>
        <v>739406.70000000019</v>
      </c>
      <c r="L36" s="125">
        <f>IFERROR(K36/F36, )</f>
        <v>0.11202672491635918</v>
      </c>
      <c r="M36" s="394"/>
      <c r="N36" s="394"/>
      <c r="O36" s="47"/>
      <c r="P36" s="47"/>
    </row>
    <row r="37" spans="2:16" x14ac:dyDescent="0.2">
      <c r="B37" s="357"/>
      <c r="C37" s="350"/>
      <c r="D37" s="41"/>
      <c r="E37" s="317"/>
      <c r="F37" s="91"/>
      <c r="H37" s="92"/>
      <c r="I37" s="91"/>
      <c r="J37" s="401"/>
      <c r="K37" s="343"/>
      <c r="L37" s="344"/>
      <c r="M37" s="394"/>
      <c r="N37" s="394"/>
      <c r="O37" s="76"/>
      <c r="P37" s="47"/>
    </row>
    <row r="38" spans="2:16" x14ac:dyDescent="0.2">
      <c r="B38" s="357" t="s">
        <v>252</v>
      </c>
      <c r="C38" s="37"/>
      <c r="D38" s="41"/>
      <c r="E38" s="92"/>
      <c r="F38" s="131">
        <f>F36</f>
        <v>6600270.6100000003</v>
      </c>
      <c r="G38" s="47"/>
      <c r="H38" s="92"/>
      <c r="I38" s="131">
        <f>I36</f>
        <v>7339677.3100000005</v>
      </c>
      <c r="J38" s="317"/>
      <c r="K38" s="410">
        <f>K36</f>
        <v>739406.70000000019</v>
      </c>
      <c r="L38" s="125">
        <f>IFERROR(K38/F38, )</f>
        <v>0.11202672491635918</v>
      </c>
      <c r="M38" s="394"/>
      <c r="N38" s="394"/>
      <c r="O38" s="129"/>
      <c r="P38" s="47"/>
    </row>
    <row r="39" spans="2:16" x14ac:dyDescent="0.2">
      <c r="B39" s="403"/>
      <c r="C39" s="372"/>
      <c r="D39" s="82"/>
      <c r="E39" s="436"/>
      <c r="F39" s="81"/>
      <c r="G39" s="82"/>
      <c r="H39" s="126"/>
      <c r="I39" s="133"/>
      <c r="J39" s="437"/>
      <c r="K39" s="405"/>
      <c r="L39" s="406"/>
      <c r="M39" s="394"/>
      <c r="N39" s="394"/>
      <c r="O39" s="47"/>
      <c r="P39" s="47"/>
    </row>
    <row r="40" spans="2:16" x14ac:dyDescent="0.2">
      <c r="B40" s="37"/>
      <c r="C40" s="37"/>
      <c r="D40" s="41"/>
      <c r="E40" s="423"/>
      <c r="F40" s="85"/>
      <c r="H40" s="92"/>
      <c r="I40" s="91"/>
      <c r="J40" s="401"/>
      <c r="K40" s="343"/>
      <c r="L40" s="407"/>
      <c r="M40" s="394"/>
      <c r="N40" s="394"/>
      <c r="O40" s="47"/>
      <c r="P40" s="47"/>
    </row>
    <row r="41" spans="2:16" x14ac:dyDescent="0.2">
      <c r="B41" s="87" t="s">
        <v>150</v>
      </c>
      <c r="C41" s="397"/>
      <c r="D41" s="398"/>
      <c r="E41" s="428"/>
      <c r="F41" s="438"/>
      <c r="G41" s="429"/>
      <c r="H41" s="430"/>
      <c r="I41" s="439"/>
      <c r="J41" s="431"/>
      <c r="K41" s="339"/>
      <c r="L41" s="340"/>
      <c r="M41" s="394"/>
      <c r="N41" s="394"/>
      <c r="O41" s="47"/>
      <c r="P41" s="47"/>
    </row>
    <row r="42" spans="2:16" x14ac:dyDescent="0.2">
      <c r="B42" s="341"/>
      <c r="C42" s="37"/>
      <c r="D42" s="41"/>
      <c r="E42" s="78"/>
      <c r="F42" s="85"/>
      <c r="G42" s="89"/>
      <c r="H42" s="92"/>
      <c r="I42" s="91"/>
      <c r="J42" s="127"/>
      <c r="K42" s="85"/>
      <c r="L42" s="90"/>
      <c r="M42" s="130"/>
      <c r="N42" s="394"/>
      <c r="O42" s="47"/>
      <c r="P42" s="47"/>
    </row>
    <row r="43" spans="2:16" x14ac:dyDescent="0.2">
      <c r="B43" s="357" t="s">
        <v>92</v>
      </c>
      <c r="C43" s="350" t="s">
        <v>93</v>
      </c>
      <c r="D43" s="41">
        <f>D28+D12</f>
        <v>1252.6000305414561</v>
      </c>
      <c r="E43" s="92"/>
      <c r="F43" s="85">
        <f>F12+F28</f>
        <v>1017688.3300000001</v>
      </c>
      <c r="H43" s="92"/>
      <c r="I43" s="85">
        <f>I12+I28</f>
        <v>1056977.54</v>
      </c>
      <c r="J43" s="127"/>
      <c r="K43" s="85">
        <f>I43-F43</f>
        <v>39289.209999999963</v>
      </c>
      <c r="L43" s="90">
        <f t="shared" ref="L43:L46" si="4">IFERROR(K43/F43, )</f>
        <v>3.860632852103154E-2</v>
      </c>
      <c r="M43" s="130"/>
      <c r="N43" s="394"/>
      <c r="O43" s="47"/>
      <c r="P43" s="47"/>
    </row>
    <row r="44" spans="2:16" x14ac:dyDescent="0.2">
      <c r="B44" s="341" t="s">
        <v>100</v>
      </c>
      <c r="C44" s="37" t="s">
        <v>98</v>
      </c>
      <c r="D44" s="41">
        <f>D29+D13</f>
        <v>748075.9709999999</v>
      </c>
      <c r="E44" s="92"/>
      <c r="F44" s="85">
        <f>F13+F29</f>
        <v>972498.77</v>
      </c>
      <c r="H44" s="92"/>
      <c r="I44" s="85">
        <f>I13+I29</f>
        <v>1077229.3999999999</v>
      </c>
      <c r="J44" s="127"/>
      <c r="K44" s="85">
        <f>I44-F44</f>
        <v>104730.62999999989</v>
      </c>
      <c r="L44" s="90">
        <f t="shared" si="4"/>
        <v>0.10769230073165016</v>
      </c>
      <c r="M44" s="130"/>
      <c r="N44" s="394"/>
      <c r="O44" s="47"/>
      <c r="P44" s="47"/>
    </row>
    <row r="45" spans="2:16" x14ac:dyDescent="0.2">
      <c r="B45" s="341" t="s">
        <v>97</v>
      </c>
      <c r="C45" s="37" t="s">
        <v>95</v>
      </c>
      <c r="D45" s="41">
        <f>D30+D14</f>
        <v>19992939.502740219</v>
      </c>
      <c r="E45" s="92"/>
      <c r="F45" s="85">
        <f>F14</f>
        <v>140950.22349431855</v>
      </c>
      <c r="H45" s="92"/>
      <c r="I45" s="85">
        <f>I14</f>
        <v>155944.93</v>
      </c>
      <c r="J45" s="127"/>
      <c r="K45" s="85">
        <f>I45-F45</f>
        <v>14994.706505681446</v>
      </c>
      <c r="L45" s="90">
        <f t="shared" si="4"/>
        <v>0.10638299205170013</v>
      </c>
      <c r="M45" s="130"/>
      <c r="N45" s="394"/>
      <c r="O45" s="47"/>
      <c r="P45" s="47"/>
    </row>
    <row r="46" spans="2:16" x14ac:dyDescent="0.2">
      <c r="B46" s="341" t="s">
        <v>107</v>
      </c>
      <c r="C46" s="37"/>
      <c r="D46" s="41"/>
      <c r="E46" s="92"/>
      <c r="F46" s="91">
        <f>F15+F30</f>
        <v>-924.14000000000306</v>
      </c>
      <c r="H46" s="92"/>
      <c r="I46" s="91">
        <f>I15+I30</f>
        <v>-924.14000000000306</v>
      </c>
      <c r="J46" s="127"/>
      <c r="K46" s="85">
        <f>I46-F46</f>
        <v>0</v>
      </c>
      <c r="L46" s="90">
        <f t="shared" si="4"/>
        <v>0</v>
      </c>
      <c r="M46" s="130"/>
      <c r="N46" s="394"/>
      <c r="O46" s="47"/>
      <c r="P46" s="47"/>
    </row>
    <row r="47" spans="2:16" x14ac:dyDescent="0.2">
      <c r="B47" s="341"/>
      <c r="C47" s="37"/>
      <c r="D47" s="41"/>
      <c r="E47" s="78"/>
      <c r="F47" s="47"/>
      <c r="H47" s="78"/>
      <c r="I47" s="47"/>
      <c r="J47" s="92"/>
      <c r="K47" s="85"/>
      <c r="L47" s="90"/>
      <c r="M47" s="130"/>
      <c r="N47" s="394"/>
      <c r="O47" s="47"/>
      <c r="P47" s="47"/>
    </row>
    <row r="48" spans="2:16" x14ac:dyDescent="0.2">
      <c r="B48" s="341" t="s">
        <v>101</v>
      </c>
      <c r="C48" s="37"/>
      <c r="D48" s="41"/>
      <c r="E48" s="78"/>
      <c r="F48" s="85"/>
      <c r="H48" s="78"/>
      <c r="I48" s="85"/>
      <c r="J48" s="127"/>
      <c r="K48" s="85"/>
      <c r="L48" s="90"/>
      <c r="M48" s="130"/>
      <c r="N48" s="394"/>
      <c r="O48" s="47"/>
      <c r="P48" s="47"/>
    </row>
    <row r="49" spans="1:16" x14ac:dyDescent="0.2">
      <c r="B49" s="341" t="s">
        <v>108</v>
      </c>
      <c r="C49" s="37" t="s">
        <v>95</v>
      </c>
      <c r="D49" s="41">
        <f>D33+D18</f>
        <v>32614172.612156868</v>
      </c>
      <c r="E49" s="78"/>
      <c r="F49" s="85">
        <f>F18+F33</f>
        <v>3535376.3099999996</v>
      </c>
      <c r="H49" s="96"/>
      <c r="I49" s="85">
        <f>I18+I33</f>
        <v>4072857.87</v>
      </c>
      <c r="J49" s="127"/>
      <c r="K49" s="85">
        <f>I49-F49</f>
        <v>537481.56000000052</v>
      </c>
      <c r="L49" s="90">
        <f t="shared" ref="L49:L51" si="5">IFERROR(K49/F49, )</f>
        <v>0.15202951903018228</v>
      </c>
      <c r="M49" s="130"/>
      <c r="N49" s="394"/>
      <c r="O49" s="47"/>
      <c r="P49" s="47"/>
    </row>
    <row r="50" spans="1:16" x14ac:dyDescent="0.2">
      <c r="B50" s="341" t="s">
        <v>109</v>
      </c>
      <c r="C50" s="37" t="s">
        <v>95</v>
      </c>
      <c r="D50" s="41">
        <f>D34+D19</f>
        <v>21676678.247000001</v>
      </c>
      <c r="E50" s="78"/>
      <c r="F50" s="85">
        <f>F19+F34</f>
        <v>1162953.79</v>
      </c>
      <c r="H50" s="96"/>
      <c r="I50" s="85">
        <f>I19+I34</f>
        <v>1286294.08</v>
      </c>
      <c r="J50" s="127"/>
      <c r="K50" s="85">
        <f>I50-F50</f>
        <v>123340.29000000004</v>
      </c>
      <c r="L50" s="90">
        <f t="shared" si="5"/>
        <v>0.10605777380028146</v>
      </c>
      <c r="M50" s="130"/>
      <c r="N50" s="394"/>
      <c r="O50" s="47"/>
      <c r="P50" s="47"/>
    </row>
    <row r="51" spans="1:16" x14ac:dyDescent="0.2">
      <c r="B51" s="341" t="s">
        <v>110</v>
      </c>
      <c r="C51" s="37" t="s">
        <v>95</v>
      </c>
      <c r="D51" s="41">
        <f>D35+D20</f>
        <v>34588879.663542144</v>
      </c>
      <c r="E51" s="78"/>
      <c r="F51" s="81">
        <f>F20+F35</f>
        <v>1775101.31</v>
      </c>
      <c r="H51" s="78"/>
      <c r="I51" s="81">
        <f>I20+I35</f>
        <v>1963610.69</v>
      </c>
      <c r="J51" s="127"/>
      <c r="K51" s="85">
        <f>I51-F51</f>
        <v>188509.37999999989</v>
      </c>
      <c r="L51" s="90">
        <f t="shared" si="5"/>
        <v>0.10619640633356295</v>
      </c>
      <c r="M51" s="130"/>
      <c r="N51" s="394"/>
      <c r="O51" s="47"/>
      <c r="P51" s="47"/>
    </row>
    <row r="52" spans="1:16" x14ac:dyDescent="0.2">
      <c r="B52" s="357" t="s">
        <v>128</v>
      </c>
      <c r="C52" s="350"/>
      <c r="D52" s="17">
        <f>SUM(D49:D51)</f>
        <v>88879730.522699013</v>
      </c>
      <c r="E52" s="92"/>
      <c r="F52" s="131">
        <f>SUM(F43:F51)</f>
        <v>8603644.5934943184</v>
      </c>
      <c r="H52" s="92"/>
      <c r="I52" s="131">
        <f>SUM(I43:I51)</f>
        <v>9611990.3699999992</v>
      </c>
      <c r="J52" s="127"/>
      <c r="K52" s="131">
        <f>SUM(K43:K51)</f>
        <v>1008345.7765056817</v>
      </c>
      <c r="L52" s="125">
        <f>IFERROR(K52/F52, )</f>
        <v>0.11719984078237571</v>
      </c>
      <c r="M52" s="130"/>
      <c r="N52" s="394"/>
      <c r="O52" s="47"/>
      <c r="P52" s="47"/>
    </row>
    <row r="53" spans="1:16" x14ac:dyDescent="0.2">
      <c r="B53" s="357"/>
      <c r="C53" s="350"/>
      <c r="D53" s="41"/>
      <c r="E53" s="92"/>
      <c r="F53" s="91"/>
      <c r="H53" s="92"/>
      <c r="I53" s="91"/>
      <c r="J53" s="127"/>
      <c r="K53" s="85"/>
      <c r="L53" s="90"/>
      <c r="M53" s="130"/>
      <c r="N53" s="394"/>
      <c r="O53" s="47"/>
      <c r="P53" s="47"/>
    </row>
    <row r="54" spans="1:16" x14ac:dyDescent="0.2">
      <c r="B54" s="341" t="s">
        <v>252</v>
      </c>
      <c r="C54" s="37"/>
      <c r="D54" s="41"/>
      <c r="E54" s="92"/>
      <c r="F54" s="131">
        <f>F52</f>
        <v>8603644.5934943184</v>
      </c>
      <c r="H54" s="92"/>
      <c r="I54" s="131">
        <f>I52</f>
        <v>9611990.3699999992</v>
      </c>
      <c r="J54" s="127"/>
      <c r="K54" s="131">
        <f>K52</f>
        <v>1008345.7765056817</v>
      </c>
      <c r="L54" s="125">
        <f>IFERROR(K54/F54, )</f>
        <v>0.11719984078237571</v>
      </c>
      <c r="M54" s="130"/>
      <c r="N54" s="394"/>
    </row>
    <row r="55" spans="1:16" x14ac:dyDescent="0.2">
      <c r="B55" s="403"/>
      <c r="C55" s="372"/>
      <c r="D55" s="82"/>
      <c r="E55" s="132"/>
      <c r="F55" s="81"/>
      <c r="G55" s="82"/>
      <c r="H55" s="126"/>
      <c r="I55" s="133"/>
      <c r="J55" s="134"/>
      <c r="K55" s="81"/>
      <c r="L55" s="83"/>
      <c r="M55" s="130"/>
      <c r="N55" s="394"/>
    </row>
    <row r="56" spans="1:16" x14ac:dyDescent="0.2">
      <c r="A56" s="37"/>
      <c r="B56" s="37"/>
      <c r="C56" s="37"/>
      <c r="D56" s="41"/>
      <c r="E56" s="423"/>
      <c r="F56" s="85"/>
      <c r="H56" s="92"/>
      <c r="I56" s="91"/>
      <c r="J56" s="401"/>
      <c r="K56" s="343"/>
      <c r="L56" s="407"/>
      <c r="M56" s="394"/>
      <c r="N56" s="394"/>
      <c r="O56" s="37"/>
    </row>
    <row r="57" spans="1:16" x14ac:dyDescent="0.2">
      <c r="B57" s="335" t="s">
        <v>151</v>
      </c>
      <c r="C57" s="397"/>
      <c r="D57" s="398"/>
      <c r="E57" s="428"/>
      <c r="F57" s="438"/>
      <c r="G57" s="398"/>
      <c r="H57" s="430"/>
      <c r="I57" s="440"/>
      <c r="J57" s="431"/>
      <c r="K57" s="339"/>
      <c r="L57" s="360"/>
      <c r="M57" s="394"/>
      <c r="N57" s="394"/>
      <c r="O57" s="37"/>
    </row>
    <row r="58" spans="1:16" x14ac:dyDescent="0.2">
      <c r="B58" s="341"/>
      <c r="C58" s="37"/>
      <c r="D58" s="41"/>
      <c r="E58" s="423"/>
      <c r="F58" s="85"/>
      <c r="G58" s="89"/>
      <c r="H58" s="92"/>
      <c r="I58" s="91"/>
      <c r="J58" s="401"/>
      <c r="K58" s="343"/>
      <c r="L58" s="344"/>
      <c r="M58" s="394"/>
      <c r="N58" s="394"/>
      <c r="O58" s="400" t="s">
        <v>152</v>
      </c>
    </row>
    <row r="59" spans="1:16" x14ac:dyDescent="0.2">
      <c r="B59" s="357" t="s">
        <v>92</v>
      </c>
      <c r="C59" s="350" t="s">
        <v>93</v>
      </c>
      <c r="D59" s="41">
        <v>1364.2999596828383</v>
      </c>
      <c r="E59" s="92">
        <v>148.82</v>
      </c>
      <c r="F59" s="85">
        <f>ROUND(D59*E59,2)</f>
        <v>203035.12</v>
      </c>
      <c r="H59" s="345">
        <f>E59</f>
        <v>148.82</v>
      </c>
      <c r="I59" s="91">
        <f>ROUND(D59*H59,2)</f>
        <v>203035.12</v>
      </c>
      <c r="J59" s="401"/>
      <c r="K59" s="343">
        <f>I59-F59</f>
        <v>0</v>
      </c>
      <c r="L59" s="344">
        <f t="shared" ref="L59:L62" si="6">IFERROR(K59/F59, )</f>
        <v>0</v>
      </c>
      <c r="M59" s="394"/>
      <c r="N59" s="394"/>
      <c r="O59" s="77">
        <v>1560028.5146650348</v>
      </c>
    </row>
    <row r="60" spans="1:16" x14ac:dyDescent="0.2">
      <c r="B60" s="341" t="s">
        <v>100</v>
      </c>
      <c r="C60" s="37" t="s">
        <v>98</v>
      </c>
      <c r="D60" s="41">
        <v>39087.972999999998</v>
      </c>
      <c r="E60" s="92">
        <v>1.35</v>
      </c>
      <c r="F60" s="85">
        <f>ROUND(D60*E60,2)</f>
        <v>52768.76</v>
      </c>
      <c r="H60" s="345">
        <f>E60</f>
        <v>1.35</v>
      </c>
      <c r="I60" s="91">
        <f>ROUND(D60*H60,2)</f>
        <v>52768.76</v>
      </c>
      <c r="J60" s="401"/>
      <c r="K60" s="343">
        <f>I60-F60</f>
        <v>0</v>
      </c>
      <c r="L60" s="344">
        <f t="shared" si="6"/>
        <v>0</v>
      </c>
      <c r="M60" s="394"/>
      <c r="N60" s="394"/>
      <c r="O60" s="348" t="s">
        <v>125</v>
      </c>
    </row>
    <row r="61" spans="1:16" x14ac:dyDescent="0.2">
      <c r="B61" s="341" t="s">
        <v>97</v>
      </c>
      <c r="C61" s="37" t="s">
        <v>95</v>
      </c>
      <c r="D61" s="41">
        <f>D67</f>
        <v>5773170.4876905456</v>
      </c>
      <c r="E61" s="78">
        <v>1.222E-2</v>
      </c>
      <c r="F61" s="85">
        <f>ROUND(D61*E61,2)</f>
        <v>70548.14</v>
      </c>
      <c r="H61" s="112">
        <f>E61</f>
        <v>1.222E-2</v>
      </c>
      <c r="I61" s="91">
        <f>ROUND(D67*H61,2)</f>
        <v>70548.14</v>
      </c>
      <c r="J61" s="401"/>
      <c r="K61" s="343">
        <f>I61-F61</f>
        <v>0</v>
      </c>
      <c r="L61" s="344">
        <f t="shared" si="6"/>
        <v>0</v>
      </c>
      <c r="M61" s="394"/>
      <c r="N61" s="394"/>
      <c r="O61" s="353">
        <f>I98-O59</f>
        <v>2.5053349651861936</v>
      </c>
    </row>
    <row r="62" spans="1:16" x14ac:dyDescent="0.2">
      <c r="B62" s="341" t="s">
        <v>107</v>
      </c>
      <c r="C62" s="37"/>
      <c r="D62" s="41"/>
      <c r="E62" s="78"/>
      <c r="F62" s="91">
        <v>7612.77</v>
      </c>
      <c r="H62" s="112"/>
      <c r="I62" s="91">
        <f>F62</f>
        <v>7612.77</v>
      </c>
      <c r="J62" s="441"/>
      <c r="K62" s="343">
        <f>I62-F62</f>
        <v>0</v>
      </c>
      <c r="L62" s="344">
        <f t="shared" si="6"/>
        <v>0</v>
      </c>
      <c r="M62" s="394"/>
      <c r="N62" s="394"/>
      <c r="O62" s="432"/>
    </row>
    <row r="63" spans="1:16" x14ac:dyDescent="0.2">
      <c r="B63" s="341"/>
      <c r="C63" s="37"/>
      <c r="D63" s="41"/>
      <c r="E63" s="78"/>
      <c r="F63" s="85"/>
      <c r="H63" s="112"/>
      <c r="I63" s="91"/>
      <c r="J63" s="401"/>
      <c r="K63" s="343"/>
      <c r="L63" s="344"/>
      <c r="M63" s="394"/>
      <c r="N63" s="394"/>
      <c r="O63" s="402">
        <v>4.2429683015157149E-2</v>
      </c>
      <c r="P63" s="435"/>
    </row>
    <row r="64" spans="1:16" x14ac:dyDescent="0.2">
      <c r="B64" s="341" t="s">
        <v>101</v>
      </c>
      <c r="C64" s="37"/>
      <c r="D64" s="41"/>
      <c r="E64" s="78"/>
      <c r="F64" s="85"/>
      <c r="H64" s="112"/>
      <c r="I64" s="91"/>
      <c r="J64" s="401"/>
      <c r="K64" s="343"/>
      <c r="L64" s="344"/>
      <c r="M64" s="394"/>
      <c r="N64" s="394"/>
      <c r="O64" s="442"/>
      <c r="P64" s="361"/>
    </row>
    <row r="65" spans="1:16" x14ac:dyDescent="0.2">
      <c r="B65" s="88" t="s">
        <v>112</v>
      </c>
      <c r="C65" s="47" t="s">
        <v>95</v>
      </c>
      <c r="D65" s="41">
        <v>1063981.5778999999</v>
      </c>
      <c r="E65" s="78">
        <v>0.18382000000000001</v>
      </c>
      <c r="F65" s="85">
        <f>ROUND(D65*E65,2)</f>
        <v>195581.09</v>
      </c>
      <c r="H65" s="112">
        <f>ROUND(E65*(1+$O$65),5)</f>
        <v>0.1951</v>
      </c>
      <c r="I65" s="91">
        <f>ROUND(D65*H65,2)</f>
        <v>207582.81</v>
      </c>
      <c r="J65" s="401"/>
      <c r="K65" s="343">
        <f>I65-F65</f>
        <v>12001.720000000001</v>
      </c>
      <c r="L65" s="344">
        <f t="shared" ref="L65:L66" si="7">IFERROR(K65/F65, )</f>
        <v>6.1364419228873313E-2</v>
      </c>
      <c r="M65" s="394"/>
      <c r="N65" s="394"/>
      <c r="O65" s="443">
        <f>(O59-SUM(I88:I91))/SUM(F94:F95)-1</f>
        <v>6.1383682309006371E-2</v>
      </c>
      <c r="P65" s="435"/>
    </row>
    <row r="66" spans="1:16" ht="12.75" customHeight="1" x14ac:dyDescent="0.2">
      <c r="B66" s="88" t="s">
        <v>113</v>
      </c>
      <c r="C66" s="47" t="s">
        <v>95</v>
      </c>
      <c r="D66" s="41">
        <v>4709188.9097905457</v>
      </c>
      <c r="E66" s="78">
        <v>0.13031000000000001</v>
      </c>
      <c r="F66" s="85">
        <f>ROUND(D66*E66,2)</f>
        <v>613654.41</v>
      </c>
      <c r="H66" s="112">
        <f>ROUND(E66*(1+$O$65),5)</f>
        <v>0.13830999999999999</v>
      </c>
      <c r="I66" s="91">
        <f>ROUND(D66*H66,2)</f>
        <v>651327.92000000004</v>
      </c>
      <c r="J66" s="401"/>
      <c r="K66" s="343">
        <f>I66-F66</f>
        <v>37673.510000000009</v>
      </c>
      <c r="L66" s="344">
        <f t="shared" si="7"/>
        <v>6.1392062675798269E-2</v>
      </c>
      <c r="M66" s="394"/>
      <c r="N66" s="394"/>
      <c r="O66" s="442"/>
      <c r="P66" s="435"/>
    </row>
    <row r="67" spans="1:16" ht="12.75" customHeight="1" x14ac:dyDescent="0.2">
      <c r="B67" s="357" t="s">
        <v>128</v>
      </c>
      <c r="C67" s="37" t="s">
        <v>95</v>
      </c>
      <c r="D67" s="17">
        <f>SUM(D65:D66)</f>
        <v>5773170.4876905456</v>
      </c>
      <c r="E67" s="423"/>
      <c r="F67" s="131">
        <f>SUM(F59:F66)</f>
        <v>1143200.29</v>
      </c>
      <c r="H67" s="92"/>
      <c r="I67" s="131">
        <f>SUM(I59:I66)</f>
        <v>1192875.52</v>
      </c>
      <c r="J67" s="401"/>
      <c r="K67" s="410">
        <f>SUM(K59:K66)</f>
        <v>49675.23000000001</v>
      </c>
      <c r="L67" s="444">
        <f>IFERROR(K67/F67, )</f>
        <v>4.3452779390040226E-2</v>
      </c>
      <c r="M67" s="394"/>
      <c r="N67" s="394"/>
      <c r="O67" s="412"/>
      <c r="P67" s="435"/>
    </row>
    <row r="68" spans="1:16" x14ac:dyDescent="0.2">
      <c r="B68" s="357"/>
      <c r="C68" s="350"/>
      <c r="D68" s="41"/>
      <c r="E68" s="423"/>
      <c r="F68" s="91"/>
      <c r="H68" s="92"/>
      <c r="I68" s="91"/>
      <c r="J68" s="401"/>
      <c r="K68" s="343"/>
      <c r="L68" s="346"/>
      <c r="M68" s="394"/>
      <c r="N68" s="117"/>
      <c r="O68" s="434"/>
      <c r="P68" s="435"/>
    </row>
    <row r="69" spans="1:16" s="37" customFormat="1" x14ac:dyDescent="0.2">
      <c r="B69" s="341" t="s">
        <v>252</v>
      </c>
      <c r="D69" s="41"/>
      <c r="E69" s="317"/>
      <c r="F69" s="131">
        <f>F67</f>
        <v>1143200.29</v>
      </c>
      <c r="G69" s="41"/>
      <c r="H69" s="92"/>
      <c r="I69" s="131">
        <f>I67</f>
        <v>1192875.52</v>
      </c>
      <c r="J69" s="401"/>
      <c r="K69" s="410">
        <f>K67</f>
        <v>49675.23000000001</v>
      </c>
      <c r="L69" s="444">
        <f>IFERROR(K69/F69, )</f>
        <v>4.3452779390040226E-2</v>
      </c>
      <c r="M69" s="394"/>
      <c r="N69" s="394"/>
    </row>
    <row r="70" spans="1:16" x14ac:dyDescent="0.2">
      <c r="A70" s="37"/>
      <c r="B70" s="403"/>
      <c r="C70" s="372"/>
      <c r="D70" s="82"/>
      <c r="E70" s="135"/>
      <c r="F70" s="81"/>
      <c r="G70" s="82"/>
      <c r="H70" s="126"/>
      <c r="I70" s="133"/>
      <c r="J70" s="437"/>
      <c r="K70" s="405"/>
      <c r="L70" s="374"/>
      <c r="M70" s="394"/>
      <c r="N70" s="394"/>
    </row>
    <row r="71" spans="1:16" s="37" customFormat="1" x14ac:dyDescent="0.2">
      <c r="D71" s="41"/>
      <c r="E71" s="136"/>
      <c r="F71" s="85"/>
      <c r="G71" s="41"/>
      <c r="H71" s="92"/>
      <c r="I71" s="91"/>
      <c r="J71" s="401"/>
      <c r="K71" s="343"/>
      <c r="L71" s="445"/>
      <c r="M71" s="394"/>
      <c r="N71" s="394"/>
    </row>
    <row r="72" spans="1:16" x14ac:dyDescent="0.2">
      <c r="A72" s="37"/>
      <c r="B72" s="335" t="s">
        <v>153</v>
      </c>
      <c r="C72" s="397"/>
      <c r="D72" s="398"/>
      <c r="E72" s="428"/>
      <c r="F72" s="438"/>
      <c r="G72" s="398"/>
      <c r="H72" s="430"/>
      <c r="I72" s="440"/>
      <c r="J72" s="431"/>
      <c r="K72" s="339"/>
      <c r="L72" s="360"/>
      <c r="M72" s="394"/>
      <c r="N72" s="394"/>
    </row>
    <row r="73" spans="1:16" x14ac:dyDescent="0.2">
      <c r="A73" s="37"/>
      <c r="B73" s="341"/>
      <c r="C73" s="37"/>
      <c r="D73" s="41"/>
      <c r="E73" s="423"/>
      <c r="F73" s="85"/>
      <c r="G73" s="89"/>
      <c r="H73" s="92"/>
      <c r="I73" s="91"/>
      <c r="J73" s="401"/>
      <c r="K73" s="343"/>
      <c r="L73" s="344"/>
      <c r="M73" s="394"/>
      <c r="N73" s="394"/>
    </row>
    <row r="74" spans="1:16" x14ac:dyDescent="0.2">
      <c r="A74" s="37"/>
      <c r="B74" s="357" t="s">
        <v>92</v>
      </c>
      <c r="C74" s="350" t="s">
        <v>93</v>
      </c>
      <c r="D74" s="41">
        <v>135.03332221112262</v>
      </c>
      <c r="E74" s="92">
        <v>457.76</v>
      </c>
      <c r="F74" s="85">
        <f>ROUND(D74*E74,2)</f>
        <v>61812.85</v>
      </c>
      <c r="H74" s="345">
        <f>E74</f>
        <v>457.76</v>
      </c>
      <c r="I74" s="91">
        <f>ROUND(D74*H74,2)</f>
        <v>61812.85</v>
      </c>
      <c r="J74" s="401"/>
      <c r="K74" s="343">
        <f>I74-F74</f>
        <v>0</v>
      </c>
      <c r="L74" s="344">
        <f t="shared" ref="L74:L76" si="8">IFERROR(K74/F74, )</f>
        <v>0</v>
      </c>
      <c r="M74" s="394"/>
      <c r="N74" s="394"/>
    </row>
    <row r="75" spans="1:16" x14ac:dyDescent="0.2">
      <c r="A75" s="37"/>
      <c r="B75" s="341" t="s">
        <v>100</v>
      </c>
      <c r="C75" s="37" t="s">
        <v>98</v>
      </c>
      <c r="D75" s="41">
        <v>43385</v>
      </c>
      <c r="E75" s="92">
        <v>1.35</v>
      </c>
      <c r="F75" s="85">
        <f>ROUND(D75*E75,2)</f>
        <v>58569.75</v>
      </c>
      <c r="H75" s="345">
        <f>H60</f>
        <v>1.35</v>
      </c>
      <c r="I75" s="91">
        <f>ROUND(D75*H75,2)</f>
        <v>58569.75</v>
      </c>
      <c r="J75" s="401"/>
      <c r="K75" s="343">
        <f>I75-F75</f>
        <v>0</v>
      </c>
      <c r="L75" s="344">
        <f t="shared" si="8"/>
        <v>0</v>
      </c>
      <c r="M75" s="394"/>
      <c r="N75" s="394"/>
    </row>
    <row r="76" spans="1:16" x14ac:dyDescent="0.2">
      <c r="A76" s="37"/>
      <c r="B76" s="341" t="s">
        <v>107</v>
      </c>
      <c r="C76" s="37"/>
      <c r="D76" s="41"/>
      <c r="E76" s="78"/>
      <c r="F76" s="91">
        <v>0</v>
      </c>
      <c r="H76" s="112"/>
      <c r="I76" s="91">
        <f>F76</f>
        <v>0</v>
      </c>
      <c r="J76" s="441"/>
      <c r="K76" s="343">
        <f>I76-F76</f>
        <v>0</v>
      </c>
      <c r="L76" s="344">
        <f t="shared" si="8"/>
        <v>0</v>
      </c>
      <c r="M76" s="394"/>
      <c r="N76" s="394"/>
    </row>
    <row r="77" spans="1:16" x14ac:dyDescent="0.2">
      <c r="A77" s="37"/>
      <c r="B77" s="341"/>
      <c r="C77" s="37"/>
      <c r="D77" s="41"/>
      <c r="E77" s="78"/>
      <c r="F77" s="85"/>
      <c r="H77" s="112"/>
      <c r="I77" s="91"/>
      <c r="J77" s="401"/>
      <c r="K77" s="343"/>
      <c r="L77" s="344"/>
      <c r="M77" s="394"/>
      <c r="N77" s="394"/>
    </row>
    <row r="78" spans="1:16" x14ac:dyDescent="0.2">
      <c r="A78" s="37"/>
      <c r="B78" s="341" t="s">
        <v>101</v>
      </c>
      <c r="C78" s="37"/>
      <c r="D78" s="41"/>
      <c r="E78" s="78"/>
      <c r="F78" s="85"/>
      <c r="H78" s="112"/>
      <c r="I78" s="91"/>
      <c r="J78" s="401"/>
      <c r="K78" s="343"/>
      <c r="L78" s="344"/>
      <c r="M78" s="394"/>
      <c r="N78" s="394"/>
    </row>
    <row r="79" spans="1:16" x14ac:dyDescent="0.2">
      <c r="A79" s="37"/>
      <c r="B79" s="88" t="s">
        <v>112</v>
      </c>
      <c r="C79" s="47" t="s">
        <v>95</v>
      </c>
      <c r="D79" s="41">
        <v>160051.62</v>
      </c>
      <c r="E79" s="78">
        <v>0.18382000000000001</v>
      </c>
      <c r="F79" s="85">
        <f>ROUND(D79*E79,2)</f>
        <v>29420.69</v>
      </c>
      <c r="H79" s="112">
        <f>H65</f>
        <v>0.1951</v>
      </c>
      <c r="I79" s="91">
        <f>ROUND(D79*H79,2)</f>
        <v>31226.07</v>
      </c>
      <c r="J79" s="401"/>
      <c r="K79" s="343">
        <f>I79-F79</f>
        <v>1805.380000000001</v>
      </c>
      <c r="L79" s="344">
        <f t="shared" ref="L79:L80" si="9">IFERROR(K79/F79, )</f>
        <v>6.1364298390010605E-2</v>
      </c>
      <c r="M79" s="394"/>
      <c r="N79" s="394"/>
    </row>
    <row r="80" spans="1:16" x14ac:dyDescent="0.2">
      <c r="A80" s="37"/>
      <c r="B80" s="88" t="s">
        <v>113</v>
      </c>
      <c r="C80" s="47" t="s">
        <v>95</v>
      </c>
      <c r="D80" s="41">
        <v>1558432.7200000002</v>
      </c>
      <c r="E80" s="78">
        <v>0.13031000000000001</v>
      </c>
      <c r="F80" s="85">
        <f>ROUND(D80*E80,2)</f>
        <v>203079.37</v>
      </c>
      <c r="H80" s="112">
        <f>H66</f>
        <v>0.13830999999999999</v>
      </c>
      <c r="I80" s="91">
        <f>ROUND(D80*H80,2)</f>
        <v>215546.83</v>
      </c>
      <c r="J80" s="401"/>
      <c r="K80" s="343">
        <f>I80-F80</f>
        <v>12467.459999999992</v>
      </c>
      <c r="L80" s="344">
        <f t="shared" si="9"/>
        <v>6.1392055726783044E-2</v>
      </c>
      <c r="M80" s="394"/>
      <c r="N80" s="394"/>
    </row>
    <row r="81" spans="1:14" x14ac:dyDescent="0.2">
      <c r="A81" s="37"/>
      <c r="B81" s="357" t="s">
        <v>128</v>
      </c>
      <c r="C81" s="37" t="s">
        <v>95</v>
      </c>
      <c r="D81" s="17">
        <f>SUM(D79:D80)</f>
        <v>1718484.3400000003</v>
      </c>
      <c r="E81" s="423"/>
      <c r="F81" s="131">
        <f>SUM(F74:F80)</f>
        <v>352882.66000000003</v>
      </c>
      <c r="H81" s="92"/>
      <c r="I81" s="131">
        <f>SUM(I74:I80)</f>
        <v>367155.5</v>
      </c>
      <c r="J81" s="401"/>
      <c r="K81" s="410">
        <f>SUM(K74:K80)</f>
        <v>14272.839999999993</v>
      </c>
      <c r="L81" s="444">
        <f>IFERROR(K81/F81, )</f>
        <v>4.044641921481773E-2</v>
      </c>
      <c r="M81" s="394"/>
      <c r="N81" s="394"/>
    </row>
    <row r="82" spans="1:14" x14ac:dyDescent="0.2">
      <c r="A82" s="37"/>
      <c r="B82" s="357"/>
      <c r="C82" s="350"/>
      <c r="D82" s="41"/>
      <c r="E82" s="423"/>
      <c r="F82" s="91"/>
      <c r="H82" s="92"/>
      <c r="I82" s="91"/>
      <c r="J82" s="401"/>
      <c r="K82" s="343"/>
      <c r="L82" s="346"/>
      <c r="M82" s="394"/>
      <c r="N82" s="394"/>
    </row>
    <row r="83" spans="1:14" x14ac:dyDescent="0.2">
      <c r="A83" s="37"/>
      <c r="B83" s="357" t="s">
        <v>252</v>
      </c>
      <c r="C83" s="37"/>
      <c r="D83" s="41"/>
      <c r="E83" s="92"/>
      <c r="F83" s="131">
        <f>+F81</f>
        <v>352882.66000000003</v>
      </c>
      <c r="G83" s="131"/>
      <c r="H83" s="92"/>
      <c r="I83" s="131">
        <f>+I81</f>
        <v>367155.5</v>
      </c>
      <c r="J83" s="317"/>
      <c r="K83" s="410">
        <f>+K81</f>
        <v>14272.839999999993</v>
      </c>
      <c r="L83" s="444">
        <f>IFERROR(K83/F83, )</f>
        <v>4.044641921481773E-2</v>
      </c>
      <c r="M83" s="394"/>
      <c r="N83" s="394"/>
    </row>
    <row r="84" spans="1:14" x14ac:dyDescent="0.2">
      <c r="A84" s="37"/>
      <c r="B84" s="403"/>
      <c r="C84" s="372"/>
      <c r="D84" s="82"/>
      <c r="E84" s="436"/>
      <c r="F84" s="81"/>
      <c r="G84" s="82"/>
      <c r="H84" s="126"/>
      <c r="I84" s="133"/>
      <c r="J84" s="437"/>
      <c r="K84" s="405"/>
      <c r="L84" s="406"/>
      <c r="M84" s="394"/>
      <c r="N84" s="394"/>
    </row>
    <row r="85" spans="1:14" s="37" customFormat="1" x14ac:dyDescent="0.2">
      <c r="D85" s="41"/>
      <c r="E85" s="136"/>
      <c r="F85" s="85"/>
      <c r="G85" s="41"/>
      <c r="H85" s="92"/>
      <c r="I85" s="91"/>
      <c r="J85" s="401"/>
      <c r="K85" s="343"/>
      <c r="L85" s="445"/>
      <c r="M85" s="394"/>
      <c r="N85" s="394"/>
    </row>
    <row r="86" spans="1:14" x14ac:dyDescent="0.2">
      <c r="A86" s="37"/>
      <c r="B86" s="335" t="s">
        <v>154</v>
      </c>
      <c r="C86" s="397"/>
      <c r="D86" s="398"/>
      <c r="E86" s="428"/>
      <c r="F86" s="438"/>
      <c r="G86" s="398"/>
      <c r="H86" s="430"/>
      <c r="I86" s="440"/>
      <c r="J86" s="431"/>
      <c r="K86" s="339"/>
      <c r="L86" s="360"/>
      <c r="M86" s="394"/>
      <c r="N86" s="394"/>
    </row>
    <row r="87" spans="1:14" x14ac:dyDescent="0.2">
      <c r="A87" s="37"/>
      <c r="B87" s="341"/>
      <c r="C87" s="37"/>
      <c r="D87" s="41"/>
      <c r="E87" s="423"/>
      <c r="F87" s="85"/>
      <c r="G87" s="89"/>
      <c r="H87" s="92"/>
      <c r="I87" s="91"/>
      <c r="J87" s="401"/>
      <c r="K87" s="343"/>
      <c r="L87" s="344"/>
      <c r="M87" s="394"/>
      <c r="N87" s="394"/>
    </row>
    <row r="88" spans="1:14" x14ac:dyDescent="0.2">
      <c r="A88" s="37"/>
      <c r="B88" s="357" t="s">
        <v>92</v>
      </c>
      <c r="C88" s="350" t="s">
        <v>93</v>
      </c>
      <c r="D88" s="41">
        <f>D59+D74</f>
        <v>1499.3332818939609</v>
      </c>
      <c r="E88" s="92"/>
      <c r="F88" s="85">
        <f>F59+F74</f>
        <v>264847.96999999997</v>
      </c>
      <c r="H88" s="113"/>
      <c r="I88" s="85">
        <f>I59+I74</f>
        <v>264847.96999999997</v>
      </c>
      <c r="J88" s="401"/>
      <c r="K88" s="343">
        <f>I88-F88</f>
        <v>0</v>
      </c>
      <c r="L88" s="344">
        <f t="shared" ref="L88:L91" si="10">IFERROR(K88/F88, )</f>
        <v>0</v>
      </c>
      <c r="M88" s="394"/>
      <c r="N88" s="394"/>
    </row>
    <row r="89" spans="1:14" x14ac:dyDescent="0.2">
      <c r="A89" s="37"/>
      <c r="B89" s="341" t="s">
        <v>100</v>
      </c>
      <c r="C89" s="37" t="s">
        <v>98</v>
      </c>
      <c r="D89" s="41">
        <f>D60+D75</f>
        <v>82472.972999999998</v>
      </c>
      <c r="E89" s="92"/>
      <c r="F89" s="85">
        <f>F60+F75</f>
        <v>111338.51000000001</v>
      </c>
      <c r="H89" s="113"/>
      <c r="I89" s="85">
        <f>I60+I75</f>
        <v>111338.51000000001</v>
      </c>
      <c r="J89" s="401"/>
      <c r="K89" s="343">
        <f>I89-F89</f>
        <v>0</v>
      </c>
      <c r="L89" s="344">
        <f t="shared" si="10"/>
        <v>0</v>
      </c>
      <c r="M89" s="394"/>
      <c r="N89" s="394"/>
    </row>
    <row r="90" spans="1:14" x14ac:dyDescent="0.2">
      <c r="A90" s="37"/>
      <c r="B90" s="341" t="s">
        <v>97</v>
      </c>
      <c r="C90" s="37" t="s">
        <v>95</v>
      </c>
      <c r="D90" s="41">
        <f>D61</f>
        <v>5773170.4876905456</v>
      </c>
      <c r="E90" s="78"/>
      <c r="F90" s="85">
        <f>F61</f>
        <v>70548.14</v>
      </c>
      <c r="H90" s="96"/>
      <c r="I90" s="85">
        <f>I61</f>
        <v>70548.14</v>
      </c>
      <c r="J90" s="401"/>
      <c r="K90" s="343">
        <f>I90-F90</f>
        <v>0</v>
      </c>
      <c r="L90" s="344">
        <f t="shared" si="10"/>
        <v>0</v>
      </c>
      <c r="M90" s="394"/>
      <c r="N90" s="394"/>
    </row>
    <row r="91" spans="1:14" x14ac:dyDescent="0.2">
      <c r="A91" s="37"/>
      <c r="B91" s="341" t="s">
        <v>107</v>
      </c>
      <c r="C91" s="37"/>
      <c r="D91" s="41"/>
      <c r="E91" s="78"/>
      <c r="F91" s="91">
        <f>F62+F76</f>
        <v>7612.77</v>
      </c>
      <c r="H91" s="78"/>
      <c r="I91" s="91">
        <f>I62+I76</f>
        <v>7612.77</v>
      </c>
      <c r="J91" s="441"/>
      <c r="K91" s="343">
        <f>I91-F91</f>
        <v>0</v>
      </c>
      <c r="L91" s="344">
        <f t="shared" si="10"/>
        <v>0</v>
      </c>
      <c r="M91" s="394"/>
      <c r="N91" s="394"/>
    </row>
    <row r="92" spans="1:14" x14ac:dyDescent="0.2">
      <c r="A92" s="37"/>
      <c r="B92" s="341"/>
      <c r="C92" s="37"/>
      <c r="D92" s="41"/>
      <c r="E92" s="78"/>
      <c r="F92" s="85"/>
      <c r="H92" s="78"/>
      <c r="I92" s="85"/>
      <c r="J92" s="401"/>
      <c r="K92" s="343"/>
      <c r="L92" s="344"/>
      <c r="M92" s="394"/>
      <c r="N92" s="394"/>
    </row>
    <row r="93" spans="1:14" x14ac:dyDescent="0.2">
      <c r="A93" s="37"/>
      <c r="B93" s="341" t="s">
        <v>101</v>
      </c>
      <c r="C93" s="37"/>
      <c r="D93" s="41"/>
      <c r="E93" s="78"/>
      <c r="F93" s="85"/>
      <c r="H93" s="78"/>
      <c r="I93" s="85"/>
      <c r="J93" s="401"/>
      <c r="K93" s="343"/>
      <c r="L93" s="344"/>
      <c r="M93" s="394"/>
      <c r="N93" s="394"/>
    </row>
    <row r="94" spans="1:14" x14ac:dyDescent="0.2">
      <c r="A94" s="37"/>
      <c r="B94" s="88" t="s">
        <v>112</v>
      </c>
      <c r="C94" s="47" t="s">
        <v>95</v>
      </c>
      <c r="D94" s="41">
        <f>D65+D79</f>
        <v>1224033.1979</v>
      </c>
      <c r="E94" s="78"/>
      <c r="F94" s="85">
        <f>F65+F79</f>
        <v>225001.78</v>
      </c>
      <c r="H94" s="78"/>
      <c r="I94" s="85">
        <f>I65+I79</f>
        <v>238808.88</v>
      </c>
      <c r="J94" s="401"/>
      <c r="K94" s="343">
        <f>I94-F94</f>
        <v>13807.100000000006</v>
      </c>
      <c r="L94" s="344">
        <f t="shared" ref="L94:L95" si="11">IFERROR(K94/F94, )</f>
        <v>6.1364403428275129E-2</v>
      </c>
      <c r="M94" s="394"/>
      <c r="N94" s="394"/>
    </row>
    <row r="95" spans="1:14" x14ac:dyDescent="0.2">
      <c r="A95" s="37"/>
      <c r="B95" s="88" t="s">
        <v>113</v>
      </c>
      <c r="C95" s="47" t="s">
        <v>95</v>
      </c>
      <c r="D95" s="41">
        <f>D66+D80</f>
        <v>6267621.6297905464</v>
      </c>
      <c r="E95" s="78"/>
      <c r="F95" s="85">
        <f>F66+F80</f>
        <v>816733.78</v>
      </c>
      <c r="H95" s="78"/>
      <c r="I95" s="85">
        <f>I66+I80</f>
        <v>866874.75</v>
      </c>
      <c r="J95" s="401"/>
      <c r="K95" s="343">
        <f>I95-F95</f>
        <v>50140.969999999972</v>
      </c>
      <c r="L95" s="344">
        <f t="shared" si="11"/>
        <v>6.1392060947938226E-2</v>
      </c>
      <c r="M95" s="394"/>
      <c r="N95" s="394"/>
    </row>
    <row r="96" spans="1:14" x14ac:dyDescent="0.2">
      <c r="A96" s="37"/>
      <c r="B96" s="357" t="s">
        <v>128</v>
      </c>
      <c r="C96" s="37" t="s">
        <v>95</v>
      </c>
      <c r="D96" s="17">
        <f>SUM(D94:D95)</f>
        <v>7491654.8276905464</v>
      </c>
      <c r="E96" s="423"/>
      <c r="F96" s="131">
        <f>SUM(F88:F95)</f>
        <v>1496082.9500000002</v>
      </c>
      <c r="H96" s="92"/>
      <c r="I96" s="131">
        <f>SUM(I88:I95)</f>
        <v>1560031.02</v>
      </c>
      <c r="J96" s="401"/>
      <c r="K96" s="410">
        <f>SUM(K88:K95)</f>
        <v>63948.069999999978</v>
      </c>
      <c r="L96" s="444">
        <f>IFERROR(K96/F96, )</f>
        <v>4.2743666051404415E-2</v>
      </c>
      <c r="M96" s="394"/>
      <c r="N96" s="394"/>
    </row>
    <row r="97" spans="1:16" x14ac:dyDescent="0.2">
      <c r="A97" s="37"/>
      <c r="B97" s="357"/>
      <c r="C97" s="350"/>
      <c r="D97" s="41"/>
      <c r="E97" s="423"/>
      <c r="F97" s="91"/>
      <c r="H97" s="92"/>
      <c r="I97" s="91"/>
      <c r="J97" s="401"/>
      <c r="K97" s="343"/>
      <c r="L97" s="346"/>
      <c r="M97" s="394"/>
      <c r="N97" s="394"/>
    </row>
    <row r="98" spans="1:16" x14ac:dyDescent="0.2">
      <c r="A98" s="37"/>
      <c r="B98" s="357" t="s">
        <v>252</v>
      </c>
      <c r="C98" s="350"/>
      <c r="D98" s="47"/>
      <c r="E98" s="317"/>
      <c r="F98" s="131">
        <f>F96</f>
        <v>1496082.9500000002</v>
      </c>
      <c r="G98" s="47"/>
      <c r="H98" s="92"/>
      <c r="I98" s="131">
        <f>I96</f>
        <v>1560031.02</v>
      </c>
      <c r="J98" s="401"/>
      <c r="K98" s="410">
        <f>K96</f>
        <v>63948.069999999978</v>
      </c>
      <c r="L98" s="444">
        <f>IFERROR(K98/F98, )</f>
        <v>4.2743666051404415E-2</v>
      </c>
      <c r="M98" s="394"/>
      <c r="N98" s="394"/>
    </row>
    <row r="99" spans="1:16" x14ac:dyDescent="0.2">
      <c r="A99" s="37"/>
      <c r="B99" s="403"/>
      <c r="C99" s="372"/>
      <c r="D99" s="82"/>
      <c r="E99" s="436"/>
      <c r="F99" s="81"/>
      <c r="G99" s="82"/>
      <c r="H99" s="126"/>
      <c r="I99" s="133"/>
      <c r="J99" s="437"/>
      <c r="K99" s="405"/>
      <c r="L99" s="374"/>
      <c r="M99" s="394"/>
      <c r="N99" s="394"/>
    </row>
    <row r="100" spans="1:16" s="37" customFormat="1" x14ac:dyDescent="0.2">
      <c r="B100" s="47"/>
      <c r="C100" s="47"/>
      <c r="D100" s="41"/>
      <c r="E100" s="136"/>
      <c r="F100" s="85"/>
      <c r="G100" s="41"/>
      <c r="H100" s="92"/>
      <c r="I100" s="91"/>
      <c r="J100" s="127"/>
      <c r="K100" s="85"/>
      <c r="L100" s="137"/>
      <c r="M100" s="394"/>
      <c r="N100" s="394"/>
    </row>
    <row r="101" spans="1:16" s="37" customFormat="1" x14ac:dyDescent="0.2">
      <c r="B101" s="47"/>
      <c r="C101" s="47"/>
      <c r="D101" s="41"/>
      <c r="E101" s="78"/>
      <c r="F101" s="85"/>
      <c r="G101" s="41"/>
      <c r="H101" s="92"/>
      <c r="I101" s="91"/>
      <c r="J101" s="127"/>
      <c r="K101" s="85"/>
      <c r="L101" s="137"/>
      <c r="M101" s="394"/>
      <c r="N101" s="394"/>
    </row>
    <row r="102" spans="1:16" x14ac:dyDescent="0.2">
      <c r="B102" s="335" t="s">
        <v>155</v>
      </c>
      <c r="C102" s="397"/>
      <c r="D102" s="398"/>
      <c r="E102" s="428"/>
      <c r="F102" s="438"/>
      <c r="G102" s="398"/>
      <c r="H102" s="430"/>
      <c r="I102" s="440"/>
      <c r="J102" s="431"/>
      <c r="K102" s="339"/>
      <c r="L102" s="340"/>
      <c r="M102" s="394"/>
      <c r="N102" s="394"/>
      <c r="O102" s="37"/>
    </row>
    <row r="103" spans="1:16" x14ac:dyDescent="0.2">
      <c r="B103" s="341"/>
      <c r="C103" s="37"/>
      <c r="D103" s="41"/>
      <c r="E103" s="423"/>
      <c r="F103" s="85"/>
      <c r="H103" s="92"/>
      <c r="I103" s="91"/>
      <c r="J103" s="401"/>
      <c r="K103" s="343"/>
      <c r="L103" s="344"/>
      <c r="M103" s="394"/>
      <c r="N103" s="394"/>
      <c r="O103" s="327" t="s">
        <v>156</v>
      </c>
    </row>
    <row r="104" spans="1:16" x14ac:dyDescent="0.2">
      <c r="B104" s="357" t="s">
        <v>92</v>
      </c>
      <c r="C104" s="350" t="s">
        <v>93</v>
      </c>
      <c r="D104" s="41">
        <v>61</v>
      </c>
      <c r="E104" s="92">
        <v>606.5</v>
      </c>
      <c r="F104" s="85">
        <f>ROUND(D104*E104,2)</f>
        <v>36996.5</v>
      </c>
      <c r="H104" s="345">
        <v>715.15</v>
      </c>
      <c r="I104" s="91">
        <f>ROUND(D104*H104,2)</f>
        <v>43624.15</v>
      </c>
      <c r="J104" s="401"/>
      <c r="K104" s="343">
        <f>I104-F104</f>
        <v>6627.6500000000015</v>
      </c>
      <c r="L104" s="344">
        <f t="shared" ref="L104:L107" si="12">IFERROR(K104/F104, )</f>
        <v>0.17914262159934052</v>
      </c>
      <c r="M104" s="394"/>
      <c r="N104" s="394"/>
      <c r="O104" s="446">
        <v>6299755.2809057441</v>
      </c>
    </row>
    <row r="105" spans="1:16" x14ac:dyDescent="0.2">
      <c r="B105" s="341" t="s">
        <v>100</v>
      </c>
      <c r="C105" s="37" t="s">
        <v>98</v>
      </c>
      <c r="D105" s="41">
        <v>0</v>
      </c>
      <c r="E105" s="92">
        <v>1.45</v>
      </c>
      <c r="F105" s="85">
        <f>ROUND(D105*E105,2)</f>
        <v>0</v>
      </c>
      <c r="H105" s="345">
        <f>E105</f>
        <v>1.45</v>
      </c>
      <c r="I105" s="91">
        <f>ROUND(D105*H105,2)</f>
        <v>0</v>
      </c>
      <c r="J105" s="401"/>
      <c r="K105" s="343">
        <f>I105-F105</f>
        <v>0</v>
      </c>
      <c r="L105" s="344">
        <f>IFERROR(K105/F105, )</f>
        <v>0</v>
      </c>
      <c r="M105" s="394"/>
      <c r="N105" s="394"/>
      <c r="O105" s="348" t="s">
        <v>125</v>
      </c>
    </row>
    <row r="106" spans="1:16" x14ac:dyDescent="0.2">
      <c r="B106" s="341" t="s">
        <v>97</v>
      </c>
      <c r="C106" s="37"/>
      <c r="D106" s="41">
        <f>D116</f>
        <v>21819455.762355208</v>
      </c>
      <c r="E106" s="78">
        <v>8.43E-3</v>
      </c>
      <c r="F106" s="85">
        <f>ROUND(D106*E106,2)</f>
        <v>183938.01</v>
      </c>
      <c r="H106" s="112">
        <f>ROUND(E106*(1+$O$108),5)</f>
        <v>9.3200000000000002E-3</v>
      </c>
      <c r="I106" s="85">
        <f>ROUND(D106*H106,2)</f>
        <v>203357.33</v>
      </c>
      <c r="J106" s="401"/>
      <c r="K106" s="343">
        <f>I106-F106</f>
        <v>19419.319999999978</v>
      </c>
      <c r="L106" s="344">
        <f t="shared" si="12"/>
        <v>0.10557535117401769</v>
      </c>
      <c r="M106" s="394"/>
      <c r="N106" s="394"/>
      <c r="O106" s="353">
        <f>I155-O104</f>
        <v>151.2490942561999</v>
      </c>
    </row>
    <row r="107" spans="1:16" x14ac:dyDescent="0.2">
      <c r="B107" s="88" t="s">
        <v>107</v>
      </c>
      <c r="C107" s="47"/>
      <c r="D107" s="41"/>
      <c r="E107" s="92"/>
      <c r="F107" s="91">
        <v>51086.770000000004</v>
      </c>
      <c r="H107" s="78" t="s">
        <v>114</v>
      </c>
      <c r="I107" s="91">
        <f>F107</f>
        <v>51086.770000000004</v>
      </c>
      <c r="J107" s="401"/>
      <c r="K107" s="343">
        <f>I107-F107</f>
        <v>0</v>
      </c>
      <c r="L107" s="344">
        <f t="shared" si="12"/>
        <v>0</v>
      </c>
      <c r="M107" s="394"/>
      <c r="N107" s="394"/>
      <c r="O107" s="447"/>
    </row>
    <row r="108" spans="1:16" x14ac:dyDescent="0.2">
      <c r="B108" s="341"/>
      <c r="C108" s="37"/>
      <c r="D108" s="41"/>
      <c r="E108" s="317"/>
      <c r="F108" s="85"/>
      <c r="H108" s="78"/>
      <c r="I108" s="91"/>
      <c r="J108" s="401"/>
      <c r="K108" s="362"/>
      <c r="L108" s="408"/>
      <c r="M108" s="394"/>
      <c r="N108" s="394"/>
      <c r="O108" s="448">
        <v>0.10610240784340896</v>
      </c>
    </row>
    <row r="109" spans="1:16" x14ac:dyDescent="0.2">
      <c r="B109" s="341" t="s">
        <v>101</v>
      </c>
      <c r="C109" s="37"/>
      <c r="D109" s="41"/>
      <c r="E109" s="317"/>
      <c r="F109" s="85"/>
      <c r="H109" s="78"/>
      <c r="I109" s="91"/>
      <c r="J109" s="401"/>
      <c r="K109" s="362"/>
      <c r="L109" s="408"/>
      <c r="M109" s="394"/>
      <c r="N109" s="394"/>
      <c r="O109" s="449">
        <f>(O104-SUM(I141:I144,I152))/SUM(F147:F151)-1</f>
        <v>0.18370474105037182</v>
      </c>
      <c r="P109" s="435"/>
    </row>
    <row r="110" spans="1:16" x14ac:dyDescent="0.2">
      <c r="B110" s="341" t="s">
        <v>108</v>
      </c>
      <c r="C110" s="37" t="s">
        <v>95</v>
      </c>
      <c r="D110" s="41">
        <v>1512193</v>
      </c>
      <c r="E110" s="78">
        <v>0.17533000000000001</v>
      </c>
      <c r="F110" s="85">
        <f t="shared" ref="F110:F115" si="13">ROUND(D110*E110,2)</f>
        <v>265132.79999999999</v>
      </c>
      <c r="H110" s="112">
        <f>ROUND(E110*(1+$O$109),5)</f>
        <v>0.20754</v>
      </c>
      <c r="I110" s="91">
        <f t="shared" ref="I110:I115" si="14">ROUND(D110*H110,2)</f>
        <v>313840.53999999998</v>
      </c>
      <c r="J110" s="401"/>
      <c r="K110" s="343">
        <f t="shared" ref="K110:K116" si="15">I110-F110</f>
        <v>48707.739999999991</v>
      </c>
      <c r="L110" s="344">
        <f t="shared" ref="L110:L115" si="16">IFERROR(K110/F110, )</f>
        <v>0.18371072911386291</v>
      </c>
      <c r="M110" s="394"/>
      <c r="N110" s="394"/>
      <c r="O110" s="449">
        <f>O108*0.33</f>
        <v>3.5013794588324959E-2</v>
      </c>
      <c r="P110" s="361"/>
    </row>
    <row r="111" spans="1:16" x14ac:dyDescent="0.2">
      <c r="B111" s="341" t="s">
        <v>109</v>
      </c>
      <c r="C111" s="37" t="s">
        <v>95</v>
      </c>
      <c r="D111" s="41">
        <v>1398016.115</v>
      </c>
      <c r="E111" s="78">
        <v>0.10595</v>
      </c>
      <c r="F111" s="85">
        <f t="shared" si="13"/>
        <v>148119.81</v>
      </c>
      <c r="H111" s="112">
        <f t="shared" ref="H111:H114" si="17">ROUND(E111*(1+$O$109),5)</f>
        <v>0.12540999999999999</v>
      </c>
      <c r="I111" s="91">
        <f t="shared" si="14"/>
        <v>175325.2</v>
      </c>
      <c r="J111" s="401"/>
      <c r="K111" s="343">
        <f t="shared" si="15"/>
        <v>27205.390000000014</v>
      </c>
      <c r="L111" s="344">
        <f t="shared" si="16"/>
        <v>0.18367151564669179</v>
      </c>
      <c r="M111" s="394"/>
      <c r="N111" s="394"/>
      <c r="O111" s="119"/>
      <c r="P111" s="37"/>
    </row>
    <row r="112" spans="1:16" x14ac:dyDescent="0.2">
      <c r="B112" s="341" t="s">
        <v>111</v>
      </c>
      <c r="C112" s="37" t="s">
        <v>95</v>
      </c>
      <c r="D112" s="41">
        <v>2316890.0959999999</v>
      </c>
      <c r="E112" s="78">
        <v>6.7419999999999994E-2</v>
      </c>
      <c r="F112" s="85">
        <f t="shared" si="13"/>
        <v>156204.73000000001</v>
      </c>
      <c r="H112" s="112">
        <f t="shared" si="17"/>
        <v>7.9810000000000006E-2</v>
      </c>
      <c r="I112" s="91">
        <f t="shared" si="14"/>
        <v>184911</v>
      </c>
      <c r="J112" s="401"/>
      <c r="K112" s="343">
        <f t="shared" si="15"/>
        <v>28706.26999999999</v>
      </c>
      <c r="L112" s="344">
        <f t="shared" si="16"/>
        <v>0.18377337229160723</v>
      </c>
      <c r="M112" s="394"/>
      <c r="N112" s="394"/>
      <c r="O112" s="350"/>
      <c r="P112" s="350"/>
    </row>
    <row r="113" spans="1:16" x14ac:dyDescent="0.2">
      <c r="B113" s="341" t="s">
        <v>15</v>
      </c>
      <c r="C113" s="37" t="s">
        <v>95</v>
      </c>
      <c r="D113" s="41">
        <v>3045256.8779999996</v>
      </c>
      <c r="E113" s="78">
        <v>4.3229999999999998E-2</v>
      </c>
      <c r="F113" s="85">
        <f t="shared" si="13"/>
        <v>131646.45000000001</v>
      </c>
      <c r="H113" s="112">
        <f t="shared" si="17"/>
        <v>5.117E-2</v>
      </c>
      <c r="I113" s="91">
        <f t="shared" si="14"/>
        <v>155825.79</v>
      </c>
      <c r="J113" s="401"/>
      <c r="K113" s="343">
        <f t="shared" si="15"/>
        <v>24179.339999999997</v>
      </c>
      <c r="L113" s="344">
        <f t="shared" si="16"/>
        <v>0.18366875825364068</v>
      </c>
      <c r="M113" s="394"/>
      <c r="N113" s="394"/>
      <c r="O113" s="37"/>
      <c r="P113" s="37"/>
    </row>
    <row r="114" spans="1:16" x14ac:dyDescent="0.2">
      <c r="B114" s="341" t="s">
        <v>14</v>
      </c>
      <c r="C114" s="37" t="s">
        <v>95</v>
      </c>
      <c r="D114" s="41">
        <v>3792042.2029999997</v>
      </c>
      <c r="E114" s="78">
        <v>3.1109999999999999E-2</v>
      </c>
      <c r="F114" s="85">
        <f t="shared" si="13"/>
        <v>117970.43</v>
      </c>
      <c r="H114" s="112">
        <f t="shared" si="17"/>
        <v>3.6830000000000002E-2</v>
      </c>
      <c r="I114" s="91">
        <f t="shared" si="14"/>
        <v>139660.91</v>
      </c>
      <c r="J114" s="401"/>
      <c r="K114" s="343">
        <f t="shared" si="15"/>
        <v>21690.48000000001</v>
      </c>
      <c r="L114" s="344">
        <f t="shared" si="16"/>
        <v>0.18386370211586084</v>
      </c>
      <c r="M114" s="394"/>
      <c r="N114" s="394"/>
      <c r="P114" s="37"/>
    </row>
    <row r="115" spans="1:16" x14ac:dyDescent="0.2">
      <c r="B115" s="341" t="s">
        <v>115</v>
      </c>
      <c r="C115" s="37" t="s">
        <v>95</v>
      </c>
      <c r="D115" s="41">
        <v>9755057.4703552071</v>
      </c>
      <c r="E115" s="78">
        <v>2.3990000000000001E-2</v>
      </c>
      <c r="F115" s="85">
        <f t="shared" si="13"/>
        <v>234023.83</v>
      </c>
      <c r="H115" s="112">
        <f>ROUND(E115*(1+$O$110),5)</f>
        <v>2.4830000000000001E-2</v>
      </c>
      <c r="I115" s="91">
        <f t="shared" si="14"/>
        <v>242218.08</v>
      </c>
      <c r="J115" s="401"/>
      <c r="K115" s="343">
        <f t="shared" si="15"/>
        <v>8194.25</v>
      </c>
      <c r="L115" s="344">
        <f t="shared" si="16"/>
        <v>3.501459659044124E-2</v>
      </c>
      <c r="M115" s="394"/>
      <c r="N115" s="394"/>
      <c r="O115" s="37"/>
      <c r="P115" s="350"/>
    </row>
    <row r="116" spans="1:16" x14ac:dyDescent="0.2">
      <c r="B116" s="357" t="s">
        <v>128</v>
      </c>
      <c r="C116" s="37" t="s">
        <v>95</v>
      </c>
      <c r="D116" s="17">
        <f>SUM(D110:D115)</f>
        <v>21819455.762355208</v>
      </c>
      <c r="E116" s="423"/>
      <c r="F116" s="131">
        <f>SUM(F104:F115)</f>
        <v>1325119.33</v>
      </c>
      <c r="H116" s="92"/>
      <c r="I116" s="131">
        <f>SUM(I104:I115)</f>
        <v>1509849.77</v>
      </c>
      <c r="J116" s="401"/>
      <c r="K116" s="410">
        <f t="shared" si="15"/>
        <v>184730.43999999994</v>
      </c>
      <c r="L116" s="444">
        <f>IFERROR(K116/F116, )</f>
        <v>0.13940664498494632</v>
      </c>
      <c r="M116" s="394"/>
      <c r="N116" s="394"/>
      <c r="O116" s="37"/>
      <c r="P116" s="407"/>
    </row>
    <row r="117" spans="1:16" x14ac:dyDescent="0.2">
      <c r="B117" s="357"/>
      <c r="C117" s="350"/>
      <c r="D117" s="41"/>
      <c r="E117" s="423"/>
      <c r="F117" s="85"/>
      <c r="H117" s="92"/>
      <c r="I117" s="91"/>
      <c r="J117" s="401"/>
      <c r="K117" s="343"/>
      <c r="L117" s="346"/>
      <c r="M117" s="394"/>
      <c r="N117" s="117"/>
      <c r="O117" s="138"/>
      <c r="P117" s="37"/>
    </row>
    <row r="118" spans="1:16" x14ac:dyDescent="0.2">
      <c r="B118" s="341" t="s">
        <v>252</v>
      </c>
      <c r="C118" s="37"/>
      <c r="D118" s="41"/>
      <c r="E118" s="317"/>
      <c r="F118" s="131">
        <f>F116</f>
        <v>1325119.33</v>
      </c>
      <c r="H118" s="92"/>
      <c r="I118" s="131">
        <f>I116</f>
        <v>1509849.77</v>
      </c>
      <c r="J118" s="401"/>
      <c r="K118" s="410">
        <f>K116</f>
        <v>184730.43999999994</v>
      </c>
      <c r="L118" s="444">
        <f>IFERROR(K118/F118, )</f>
        <v>0.13940664498494632</v>
      </c>
      <c r="M118" s="394"/>
      <c r="N118" s="394"/>
      <c r="O118" s="37"/>
      <c r="P118" s="37"/>
    </row>
    <row r="119" spans="1:16" x14ac:dyDescent="0.2">
      <c r="A119" s="37"/>
      <c r="B119" s="403"/>
      <c r="C119" s="372"/>
      <c r="D119" s="82"/>
      <c r="E119" s="132"/>
      <c r="F119" s="81"/>
      <c r="G119" s="82"/>
      <c r="H119" s="126"/>
      <c r="I119" s="133"/>
      <c r="J119" s="437"/>
      <c r="K119" s="405"/>
      <c r="L119" s="374"/>
      <c r="M119" s="394"/>
      <c r="N119" s="394"/>
      <c r="O119" s="350"/>
      <c r="P119" s="37"/>
    </row>
    <row r="120" spans="1:16" x14ac:dyDescent="0.2">
      <c r="A120" s="37"/>
      <c r="B120" s="37"/>
      <c r="C120" s="37"/>
      <c r="D120" s="41"/>
      <c r="E120" s="78"/>
      <c r="F120" s="85"/>
      <c r="H120" s="92"/>
      <c r="I120" s="91"/>
      <c r="J120" s="401"/>
      <c r="K120" s="343"/>
      <c r="L120" s="445"/>
      <c r="M120" s="394"/>
      <c r="N120" s="394"/>
      <c r="O120" s="37"/>
      <c r="P120" s="37"/>
    </row>
    <row r="121" spans="1:16" x14ac:dyDescent="0.2">
      <c r="A121" s="37"/>
      <c r="B121" s="335" t="s">
        <v>157</v>
      </c>
      <c r="C121" s="397"/>
      <c r="D121" s="398"/>
      <c r="E121" s="428"/>
      <c r="F121" s="438"/>
      <c r="G121" s="398"/>
      <c r="H121" s="430"/>
      <c r="I121" s="440"/>
      <c r="J121" s="431"/>
      <c r="K121" s="339"/>
      <c r="L121" s="340"/>
      <c r="M121" s="394"/>
      <c r="N121" s="394"/>
      <c r="O121" s="37"/>
      <c r="P121" s="37"/>
    </row>
    <row r="122" spans="1:16" x14ac:dyDescent="0.2">
      <c r="A122" s="37"/>
      <c r="B122" s="341"/>
      <c r="C122" s="37"/>
      <c r="D122" s="41"/>
      <c r="E122" s="423"/>
      <c r="F122" s="85"/>
      <c r="H122" s="92"/>
      <c r="I122" s="91"/>
      <c r="J122" s="401"/>
      <c r="K122" s="343"/>
      <c r="L122" s="344"/>
      <c r="M122" s="394"/>
      <c r="N122" s="394"/>
      <c r="O122" s="37"/>
      <c r="P122" s="37"/>
    </row>
    <row r="123" spans="1:16" x14ac:dyDescent="0.2">
      <c r="A123" s="37"/>
      <c r="B123" s="357" t="s">
        <v>92</v>
      </c>
      <c r="C123" s="350" t="s">
        <v>93</v>
      </c>
      <c r="D123" s="41">
        <v>120.00000000000001</v>
      </c>
      <c r="E123" s="92">
        <v>918.31</v>
      </c>
      <c r="F123" s="85">
        <f>ROUND(D123*E123,2)</f>
        <v>110197.2</v>
      </c>
      <c r="H123" s="345">
        <v>1082.81</v>
      </c>
      <c r="I123" s="91">
        <f>ROUND(D123*H123,2)</f>
        <v>129937.2</v>
      </c>
      <c r="J123" s="401"/>
      <c r="K123" s="343">
        <f>I123-F123</f>
        <v>19740</v>
      </c>
      <c r="L123" s="344">
        <f t="shared" ref="L123:L124" si="18">IFERROR(K123/F123, )</f>
        <v>0.179133408108373</v>
      </c>
      <c r="M123" s="394"/>
      <c r="N123" s="394"/>
      <c r="O123" s="37"/>
      <c r="P123" s="37"/>
    </row>
    <row r="124" spans="1:16" x14ac:dyDescent="0.2">
      <c r="A124" s="37"/>
      <c r="B124" s="341" t="s">
        <v>100</v>
      </c>
      <c r="C124" s="37" t="s">
        <v>98</v>
      </c>
      <c r="D124" s="41">
        <v>296082</v>
      </c>
      <c r="E124" s="92">
        <v>1.45</v>
      </c>
      <c r="F124" s="85">
        <f>ROUND(D124*E124,2)</f>
        <v>429318.9</v>
      </c>
      <c r="H124" s="345">
        <f>H105</f>
        <v>1.45</v>
      </c>
      <c r="I124" s="91">
        <f>ROUND(D124*H124,2)</f>
        <v>429318.9</v>
      </c>
      <c r="J124" s="401"/>
      <c r="K124" s="343">
        <f>I124-F124</f>
        <v>0</v>
      </c>
      <c r="L124" s="344">
        <f t="shared" si="18"/>
        <v>0</v>
      </c>
      <c r="M124" s="394"/>
      <c r="N124" s="394"/>
    </row>
    <row r="125" spans="1:16" x14ac:dyDescent="0.2">
      <c r="A125" s="37"/>
      <c r="B125" s="341" t="s">
        <v>107</v>
      </c>
      <c r="C125" s="37"/>
      <c r="D125" s="41"/>
      <c r="E125" s="92"/>
      <c r="F125" s="91">
        <v>19447.379999999997</v>
      </c>
      <c r="H125" s="345"/>
      <c r="I125" s="91">
        <f>F125</f>
        <v>19447.379999999997</v>
      </c>
      <c r="J125" s="401"/>
      <c r="K125" s="362"/>
      <c r="L125" s="344">
        <f>IFERROR(K125/F125, )</f>
        <v>0</v>
      </c>
      <c r="M125" s="394"/>
      <c r="N125" s="394"/>
    </row>
    <row r="126" spans="1:16" x14ac:dyDescent="0.2">
      <c r="A126" s="37"/>
      <c r="B126" s="88"/>
      <c r="C126" s="37"/>
      <c r="D126" s="41"/>
      <c r="E126" s="78"/>
      <c r="F126" s="85"/>
      <c r="H126" s="112"/>
      <c r="I126" s="91"/>
      <c r="J126" s="401"/>
      <c r="K126" s="362"/>
      <c r="L126" s="408"/>
      <c r="M126" s="394"/>
      <c r="N126" s="394"/>
    </row>
    <row r="127" spans="1:16" x14ac:dyDescent="0.2">
      <c r="A127" s="37"/>
      <c r="B127" s="341" t="s">
        <v>101</v>
      </c>
      <c r="C127" s="37"/>
      <c r="D127" s="41"/>
      <c r="E127" s="317"/>
      <c r="F127" s="85"/>
      <c r="H127" s="112"/>
      <c r="I127" s="91"/>
      <c r="J127" s="401"/>
      <c r="K127" s="362"/>
      <c r="L127" s="408"/>
      <c r="M127" s="394"/>
      <c r="N127" s="394"/>
    </row>
    <row r="128" spans="1:16" x14ac:dyDescent="0.2">
      <c r="A128" s="37"/>
      <c r="B128" s="341" t="s">
        <v>108</v>
      </c>
      <c r="C128" s="37" t="s">
        <v>95</v>
      </c>
      <c r="D128" s="41">
        <v>2998789.67</v>
      </c>
      <c r="E128" s="78">
        <v>0.17533000000000001</v>
      </c>
      <c r="F128" s="85">
        <f t="shared" ref="F128:F133" si="19">ROUND(D128*E128,2)</f>
        <v>525777.79</v>
      </c>
      <c r="H128" s="112">
        <f t="shared" ref="H128:H133" si="20">H110</f>
        <v>0.20754</v>
      </c>
      <c r="I128" s="91">
        <f t="shared" ref="I128:I133" si="21">ROUND(D128*H128,2)</f>
        <v>622368.81000000006</v>
      </c>
      <c r="J128" s="401"/>
      <c r="K128" s="343">
        <f t="shared" ref="K128:K133" si="22">I128-F128</f>
        <v>96591.020000000019</v>
      </c>
      <c r="L128" s="344">
        <f t="shared" ref="L128:L133" si="23">IFERROR(K128/F128, )</f>
        <v>0.18371072692134829</v>
      </c>
      <c r="M128" s="394"/>
      <c r="N128" s="394"/>
    </row>
    <row r="129" spans="1:15" x14ac:dyDescent="0.2">
      <c r="A129" s="37"/>
      <c r="B129" s="341" t="s">
        <v>109</v>
      </c>
      <c r="C129" s="37" t="s">
        <v>95</v>
      </c>
      <c r="D129" s="41">
        <v>3000000</v>
      </c>
      <c r="E129" s="78">
        <v>0.10595</v>
      </c>
      <c r="F129" s="85">
        <f t="shared" si="19"/>
        <v>317850</v>
      </c>
      <c r="H129" s="112">
        <f t="shared" si="20"/>
        <v>0.12540999999999999</v>
      </c>
      <c r="I129" s="91">
        <f t="shared" si="21"/>
        <v>376230</v>
      </c>
      <c r="J129" s="401"/>
      <c r="K129" s="343">
        <f t="shared" si="22"/>
        <v>58380</v>
      </c>
      <c r="L129" s="344">
        <f t="shared" si="23"/>
        <v>0.18367154318074563</v>
      </c>
      <c r="M129" s="394"/>
      <c r="N129" s="394"/>
    </row>
    <row r="130" spans="1:15" x14ac:dyDescent="0.2">
      <c r="A130" s="37"/>
      <c r="B130" s="341" t="s">
        <v>111</v>
      </c>
      <c r="C130" s="37" t="s">
        <v>95</v>
      </c>
      <c r="D130" s="41">
        <v>6000000</v>
      </c>
      <c r="E130" s="78">
        <v>6.7419999999999994E-2</v>
      </c>
      <c r="F130" s="85">
        <f t="shared" si="19"/>
        <v>404520</v>
      </c>
      <c r="H130" s="112">
        <f t="shared" si="20"/>
        <v>7.9810000000000006E-2</v>
      </c>
      <c r="I130" s="91">
        <f t="shared" si="21"/>
        <v>478860</v>
      </c>
      <c r="J130" s="401"/>
      <c r="K130" s="343">
        <f t="shared" si="22"/>
        <v>74340</v>
      </c>
      <c r="L130" s="344">
        <f t="shared" si="23"/>
        <v>0.18377336102046871</v>
      </c>
      <c r="M130" s="394"/>
      <c r="N130" s="394"/>
    </row>
    <row r="131" spans="1:15" x14ac:dyDescent="0.2">
      <c r="A131" s="37"/>
      <c r="B131" s="341" t="s">
        <v>15</v>
      </c>
      <c r="C131" s="37" t="s">
        <v>95</v>
      </c>
      <c r="D131" s="41">
        <v>11463691.02</v>
      </c>
      <c r="E131" s="78">
        <v>4.3229999999999998E-2</v>
      </c>
      <c r="F131" s="85">
        <f t="shared" si="19"/>
        <v>495575.36</v>
      </c>
      <c r="H131" s="112">
        <f t="shared" si="20"/>
        <v>5.117E-2</v>
      </c>
      <c r="I131" s="91">
        <f t="shared" si="21"/>
        <v>586597.06999999995</v>
      </c>
      <c r="J131" s="401"/>
      <c r="K131" s="343">
        <f t="shared" si="22"/>
        <v>91021.709999999963</v>
      </c>
      <c r="L131" s="344">
        <f t="shared" si="23"/>
        <v>0.18366875625131962</v>
      </c>
      <c r="M131" s="394"/>
      <c r="N131" s="394"/>
    </row>
    <row r="132" spans="1:15" x14ac:dyDescent="0.2">
      <c r="A132" s="37"/>
      <c r="B132" s="341" t="s">
        <v>14</v>
      </c>
      <c r="C132" s="37" t="s">
        <v>95</v>
      </c>
      <c r="D132" s="41">
        <v>25744602.149999999</v>
      </c>
      <c r="E132" s="78">
        <v>3.1109999999999999E-2</v>
      </c>
      <c r="F132" s="85">
        <f t="shared" si="19"/>
        <v>800914.57</v>
      </c>
      <c r="H132" s="112">
        <f t="shared" si="20"/>
        <v>3.6830000000000002E-2</v>
      </c>
      <c r="I132" s="91">
        <f t="shared" si="21"/>
        <v>948173.7</v>
      </c>
      <c r="J132" s="401"/>
      <c r="K132" s="343">
        <f t="shared" si="22"/>
        <v>147259.13</v>
      </c>
      <c r="L132" s="344">
        <f t="shared" si="23"/>
        <v>0.18386371720020028</v>
      </c>
      <c r="M132" s="394"/>
      <c r="N132" s="394"/>
    </row>
    <row r="133" spans="1:15" x14ac:dyDescent="0.2">
      <c r="A133" s="37"/>
      <c r="B133" s="341" t="s">
        <v>115</v>
      </c>
      <c r="C133" s="37" t="s">
        <v>95</v>
      </c>
      <c r="D133" s="41">
        <v>48293342.805479579</v>
      </c>
      <c r="E133" s="78">
        <v>2.3990000000000001E-2</v>
      </c>
      <c r="F133" s="85">
        <f t="shared" si="19"/>
        <v>1158557.29</v>
      </c>
      <c r="H133" s="112">
        <f t="shared" si="20"/>
        <v>2.4830000000000001E-2</v>
      </c>
      <c r="I133" s="91">
        <f t="shared" si="21"/>
        <v>1199123.7</v>
      </c>
      <c r="J133" s="401"/>
      <c r="K133" s="343">
        <f t="shared" si="22"/>
        <v>40566.409999999916</v>
      </c>
      <c r="L133" s="344">
        <f t="shared" si="23"/>
        <v>3.501459129397038E-2</v>
      </c>
      <c r="M133" s="394"/>
      <c r="N133" s="394"/>
    </row>
    <row r="134" spans="1:15" x14ac:dyDescent="0.2">
      <c r="A134" s="37"/>
      <c r="B134" s="357" t="s">
        <v>128</v>
      </c>
      <c r="C134" s="37"/>
      <c r="D134" s="17">
        <f>SUM(D128:D133)</f>
        <v>97500425.645479575</v>
      </c>
      <c r="E134" s="78"/>
      <c r="F134" s="131">
        <f>SUM(F123:F133)</f>
        <v>4262158.49</v>
      </c>
      <c r="H134" s="78"/>
      <c r="I134" s="131">
        <f>SUM(I123:I133)</f>
        <v>4790056.76</v>
      </c>
      <c r="J134" s="401"/>
      <c r="K134" s="131">
        <f>SUM(K123:K133)</f>
        <v>527898.2699999999</v>
      </c>
      <c r="L134" s="444">
        <f>IFERROR(K134/F134, )</f>
        <v>0.12385702484752037</v>
      </c>
      <c r="M134" s="394"/>
      <c r="N134" s="394"/>
    </row>
    <row r="135" spans="1:15" x14ac:dyDescent="0.2">
      <c r="A135" s="37"/>
      <c r="B135" s="341"/>
      <c r="C135" s="350"/>
      <c r="D135" s="41"/>
      <c r="E135" s="78"/>
      <c r="F135" s="85"/>
      <c r="H135" s="92"/>
      <c r="I135" s="91"/>
      <c r="J135" s="401"/>
      <c r="K135" s="343"/>
      <c r="L135" s="346"/>
      <c r="M135" s="394"/>
      <c r="N135" s="394"/>
    </row>
    <row r="136" spans="1:15" x14ac:dyDescent="0.2">
      <c r="A136" s="37"/>
      <c r="B136" s="341" t="s">
        <v>252</v>
      </c>
      <c r="C136" s="37"/>
      <c r="D136" s="41"/>
      <c r="E136" s="317"/>
      <c r="F136" s="131">
        <f>F134</f>
        <v>4262158.49</v>
      </c>
      <c r="H136" s="92"/>
      <c r="I136" s="131">
        <f>I134</f>
        <v>4790056.76</v>
      </c>
      <c r="J136" s="401"/>
      <c r="K136" s="410">
        <f>K134</f>
        <v>527898.2699999999</v>
      </c>
      <c r="L136" s="444">
        <f>IFERROR(K136/F136, )</f>
        <v>0.12385702484752037</v>
      </c>
      <c r="M136" s="394"/>
      <c r="N136" s="394"/>
      <c r="O136" s="377"/>
    </row>
    <row r="137" spans="1:15" s="37" customFormat="1" x14ac:dyDescent="0.2">
      <c r="B137" s="403"/>
      <c r="C137" s="372"/>
      <c r="D137" s="82"/>
      <c r="E137" s="132"/>
      <c r="F137" s="81"/>
      <c r="G137" s="82"/>
      <c r="H137" s="126"/>
      <c r="I137" s="133"/>
      <c r="J137" s="437"/>
      <c r="K137" s="405"/>
      <c r="L137" s="374"/>
      <c r="M137" s="394"/>
      <c r="N137" s="394"/>
    </row>
    <row r="138" spans="1:15" s="37" customFormat="1" x14ac:dyDescent="0.2">
      <c r="D138" s="41"/>
      <c r="E138" s="78"/>
      <c r="F138" s="85"/>
      <c r="G138" s="41"/>
      <c r="H138" s="92"/>
      <c r="I138" s="91"/>
      <c r="J138" s="401"/>
      <c r="K138" s="343"/>
      <c r="L138" s="445"/>
      <c r="M138" s="394"/>
      <c r="N138" s="394"/>
    </row>
    <row r="139" spans="1:15" x14ac:dyDescent="0.2">
      <c r="A139" s="37"/>
      <c r="B139" s="87" t="s">
        <v>158</v>
      </c>
      <c r="C139" s="450"/>
      <c r="D139" s="398"/>
      <c r="E139" s="27"/>
      <c r="F139" s="438"/>
      <c r="G139" s="398"/>
      <c r="H139" s="430"/>
      <c r="I139" s="440"/>
      <c r="J139" s="439"/>
      <c r="K139" s="438"/>
      <c r="L139" s="451"/>
      <c r="M139" s="394"/>
      <c r="N139" s="394"/>
    </row>
    <row r="140" spans="1:15" x14ac:dyDescent="0.2">
      <c r="A140" s="37"/>
      <c r="B140" s="88"/>
      <c r="C140" s="47"/>
      <c r="D140" s="41"/>
      <c r="E140" s="78"/>
      <c r="F140" s="85"/>
      <c r="H140" s="92"/>
      <c r="I140" s="91"/>
      <c r="J140" s="127"/>
      <c r="K140" s="85"/>
      <c r="L140" s="90"/>
      <c r="M140" s="394"/>
      <c r="N140" s="394"/>
    </row>
    <row r="141" spans="1:15" x14ac:dyDescent="0.2">
      <c r="A141" s="37"/>
      <c r="B141" s="75" t="s">
        <v>92</v>
      </c>
      <c r="C141" s="76" t="s">
        <v>93</v>
      </c>
      <c r="D141" s="41">
        <f>D123+D104</f>
        <v>181</v>
      </c>
      <c r="E141" s="92"/>
      <c r="F141" s="85">
        <f>F123+F104</f>
        <v>147193.70000000001</v>
      </c>
      <c r="H141" s="113"/>
      <c r="I141" s="85">
        <f>I123+I104</f>
        <v>173561.35</v>
      </c>
      <c r="J141" s="127"/>
      <c r="K141" s="91">
        <f>I141-F141</f>
        <v>26367.649999999994</v>
      </c>
      <c r="L141" s="90">
        <f t="shared" ref="L141:L144" si="24">IFERROR(K141/F141, )</f>
        <v>0.17913572387948665</v>
      </c>
      <c r="M141" s="394"/>
      <c r="N141" s="394"/>
    </row>
    <row r="142" spans="1:15" x14ac:dyDescent="0.2">
      <c r="A142" s="37"/>
      <c r="B142" s="88" t="s">
        <v>100</v>
      </c>
      <c r="C142" s="47" t="s">
        <v>98</v>
      </c>
      <c r="D142" s="41">
        <f>D124+D105</f>
        <v>296082</v>
      </c>
      <c r="E142" s="92"/>
      <c r="F142" s="85">
        <f>F124+F105</f>
        <v>429318.9</v>
      </c>
      <c r="H142" s="113"/>
      <c r="I142" s="85">
        <f>I124+I105</f>
        <v>429318.9</v>
      </c>
      <c r="J142" s="127"/>
      <c r="K142" s="91">
        <f>I142-F142</f>
        <v>0</v>
      </c>
      <c r="L142" s="90">
        <f t="shared" si="24"/>
        <v>0</v>
      </c>
      <c r="M142" s="394"/>
      <c r="N142" s="394"/>
    </row>
    <row r="143" spans="1:15" x14ac:dyDescent="0.2">
      <c r="A143" s="37"/>
      <c r="B143" s="88" t="s">
        <v>97</v>
      </c>
      <c r="C143" s="47"/>
      <c r="D143" s="41"/>
      <c r="E143" s="92"/>
      <c r="F143" s="85">
        <f>F106</f>
        <v>183938.01</v>
      </c>
      <c r="H143" s="113"/>
      <c r="I143" s="85">
        <f>I106</f>
        <v>203357.33</v>
      </c>
      <c r="J143" s="127"/>
      <c r="K143" s="91">
        <f>I143-F143</f>
        <v>19419.319999999978</v>
      </c>
      <c r="L143" s="90">
        <f t="shared" si="24"/>
        <v>0.10557535117401769</v>
      </c>
      <c r="M143" s="394"/>
      <c r="N143" s="394"/>
    </row>
    <row r="144" spans="1:15" x14ac:dyDescent="0.2">
      <c r="A144" s="37"/>
      <c r="B144" s="88" t="s">
        <v>107</v>
      </c>
      <c r="C144" s="47"/>
      <c r="D144" s="41"/>
      <c r="E144" s="92"/>
      <c r="F144" s="91">
        <f>F125+F107</f>
        <v>70534.149999999994</v>
      </c>
      <c r="H144" s="92"/>
      <c r="I144" s="91">
        <f>I125+I107</f>
        <v>70534.149999999994</v>
      </c>
      <c r="J144" s="127"/>
      <c r="K144" s="91">
        <f>I144-F144</f>
        <v>0</v>
      </c>
      <c r="L144" s="90">
        <f t="shared" si="24"/>
        <v>0</v>
      </c>
      <c r="M144" s="394"/>
      <c r="N144" s="394"/>
    </row>
    <row r="145" spans="1:16" x14ac:dyDescent="0.2">
      <c r="A145" s="37"/>
      <c r="B145" s="88"/>
      <c r="C145" s="47"/>
      <c r="D145" s="41"/>
      <c r="E145" s="92"/>
      <c r="F145" s="91"/>
      <c r="H145" s="78"/>
      <c r="I145" s="140"/>
      <c r="J145" s="127"/>
      <c r="K145" s="91"/>
      <c r="L145" s="139"/>
      <c r="M145" s="394"/>
      <c r="N145" s="394"/>
    </row>
    <row r="146" spans="1:16" ht="12" customHeight="1" x14ac:dyDescent="0.2">
      <c r="A146" s="37"/>
      <c r="B146" s="88" t="s">
        <v>101</v>
      </c>
      <c r="C146" s="47"/>
      <c r="D146" s="41"/>
      <c r="E146" s="92"/>
      <c r="F146" s="85"/>
      <c r="H146" s="78"/>
      <c r="I146" s="85"/>
      <c r="J146" s="127"/>
      <c r="K146" s="91"/>
      <c r="L146" s="139"/>
      <c r="M146" s="394"/>
      <c r="N146" s="394"/>
    </row>
    <row r="147" spans="1:16" x14ac:dyDescent="0.2">
      <c r="A147" s="37"/>
      <c r="B147" s="88" t="s">
        <v>108</v>
      </c>
      <c r="C147" s="47" t="s">
        <v>95</v>
      </c>
      <c r="D147" s="41">
        <f t="shared" ref="D147:D152" si="25">D128+D110</f>
        <v>4510982.67</v>
      </c>
      <c r="E147" s="78"/>
      <c r="F147" s="85">
        <f t="shared" ref="F147:F152" si="26">F128+F110</f>
        <v>790910.59000000008</v>
      </c>
      <c r="H147" s="96"/>
      <c r="I147" s="85">
        <f t="shared" ref="I147:I152" si="27">I128+I110</f>
        <v>936209.35000000009</v>
      </c>
      <c r="J147" s="127"/>
      <c r="K147" s="91">
        <f t="shared" ref="K147:K152" si="28">I147-F147</f>
        <v>145298.76</v>
      </c>
      <c r="L147" s="90">
        <f t="shared" ref="L147:L152" si="29">IFERROR(K147/F147, )</f>
        <v>0.18371072765633342</v>
      </c>
      <c r="M147" s="394"/>
      <c r="N147" s="394"/>
    </row>
    <row r="148" spans="1:16" x14ac:dyDescent="0.2">
      <c r="A148" s="37"/>
      <c r="B148" s="88" t="s">
        <v>109</v>
      </c>
      <c r="C148" s="47" t="s">
        <v>95</v>
      </c>
      <c r="D148" s="41">
        <f t="shared" si="25"/>
        <v>4398016.1150000002</v>
      </c>
      <c r="E148" s="78"/>
      <c r="F148" s="85">
        <f t="shared" si="26"/>
        <v>465969.81</v>
      </c>
      <c r="H148" s="96"/>
      <c r="I148" s="85">
        <f t="shared" si="27"/>
        <v>551555.19999999995</v>
      </c>
      <c r="J148" s="127"/>
      <c r="K148" s="91">
        <f t="shared" si="28"/>
        <v>85585.389999999956</v>
      </c>
      <c r="L148" s="90">
        <f t="shared" si="29"/>
        <v>0.18367153442837844</v>
      </c>
      <c r="M148" s="394"/>
      <c r="N148" s="394"/>
    </row>
    <row r="149" spans="1:16" x14ac:dyDescent="0.2">
      <c r="A149" s="37"/>
      <c r="B149" s="88" t="s">
        <v>111</v>
      </c>
      <c r="C149" s="47" t="s">
        <v>95</v>
      </c>
      <c r="D149" s="41">
        <f t="shared" si="25"/>
        <v>8316890.0959999999</v>
      </c>
      <c r="E149" s="78"/>
      <c r="F149" s="85">
        <f t="shared" si="26"/>
        <v>560724.73</v>
      </c>
      <c r="H149" s="96"/>
      <c r="I149" s="85">
        <f t="shared" si="27"/>
        <v>663771</v>
      </c>
      <c r="J149" s="127"/>
      <c r="K149" s="91">
        <f t="shared" si="28"/>
        <v>103046.27000000002</v>
      </c>
      <c r="L149" s="90">
        <f t="shared" si="29"/>
        <v>0.18377336416034304</v>
      </c>
      <c r="M149" s="394"/>
      <c r="N149" s="394"/>
    </row>
    <row r="150" spans="1:16" x14ac:dyDescent="0.2">
      <c r="A150" s="37"/>
      <c r="B150" s="88" t="s">
        <v>15</v>
      </c>
      <c r="C150" s="47" t="s">
        <v>95</v>
      </c>
      <c r="D150" s="41">
        <f t="shared" si="25"/>
        <v>14508947.897999998</v>
      </c>
      <c r="E150" s="78"/>
      <c r="F150" s="85">
        <f t="shared" si="26"/>
        <v>627221.81000000006</v>
      </c>
      <c r="H150" s="96"/>
      <c r="I150" s="85">
        <f t="shared" si="27"/>
        <v>742422.86</v>
      </c>
      <c r="J150" s="127"/>
      <c r="K150" s="91">
        <f t="shared" si="28"/>
        <v>115201.04999999993</v>
      </c>
      <c r="L150" s="90">
        <f t="shared" si="29"/>
        <v>0.18366875667158308</v>
      </c>
      <c r="M150" s="394"/>
      <c r="N150" s="394"/>
    </row>
    <row r="151" spans="1:16" x14ac:dyDescent="0.2">
      <c r="A151" s="37"/>
      <c r="B151" s="88" t="s">
        <v>14</v>
      </c>
      <c r="C151" s="47" t="s">
        <v>95</v>
      </c>
      <c r="D151" s="41">
        <f t="shared" si="25"/>
        <v>29536644.353</v>
      </c>
      <c r="E151" s="78"/>
      <c r="F151" s="85">
        <f t="shared" si="26"/>
        <v>918885</v>
      </c>
      <c r="H151" s="96"/>
      <c r="I151" s="85">
        <f t="shared" si="27"/>
        <v>1087834.6099999999</v>
      </c>
      <c r="J151" s="127"/>
      <c r="K151" s="91">
        <f t="shared" si="28"/>
        <v>168949.60999999987</v>
      </c>
      <c r="L151" s="90">
        <f t="shared" si="29"/>
        <v>0.18386371526360737</v>
      </c>
      <c r="M151" s="394"/>
      <c r="N151" s="394"/>
    </row>
    <row r="152" spans="1:16" x14ac:dyDescent="0.2">
      <c r="A152" s="37"/>
      <c r="B152" s="88" t="s">
        <v>115</v>
      </c>
      <c r="C152" s="47" t="s">
        <v>95</v>
      </c>
      <c r="D152" s="41">
        <f t="shared" si="25"/>
        <v>58048400.275834784</v>
      </c>
      <c r="E152" s="78"/>
      <c r="F152" s="85">
        <f t="shared" si="26"/>
        <v>1392581.12</v>
      </c>
      <c r="H152" s="96"/>
      <c r="I152" s="85">
        <f t="shared" si="27"/>
        <v>1441341.78</v>
      </c>
      <c r="J152" s="127"/>
      <c r="K152" s="91">
        <f t="shared" si="28"/>
        <v>48760.659999999916</v>
      </c>
      <c r="L152" s="90">
        <f t="shared" si="29"/>
        <v>3.5014592184044485E-2</v>
      </c>
      <c r="M152" s="394"/>
      <c r="N152" s="394"/>
    </row>
    <row r="153" spans="1:16" x14ac:dyDescent="0.2">
      <c r="A153" s="37"/>
      <c r="B153" s="357" t="s">
        <v>128</v>
      </c>
      <c r="C153" s="47" t="s">
        <v>95</v>
      </c>
      <c r="D153" s="17">
        <f>SUM(D147:D152)</f>
        <v>119319881.40783478</v>
      </c>
      <c r="E153" s="78"/>
      <c r="F153" s="105">
        <f>SUM(F141:F152)</f>
        <v>5587277.8200000003</v>
      </c>
      <c r="H153" s="92"/>
      <c r="I153" s="105">
        <f>SUM(I141:I152)</f>
        <v>6299906.5300000003</v>
      </c>
      <c r="J153" s="127"/>
      <c r="K153" s="105">
        <f>SUM(K141:K152)</f>
        <v>712628.70999999973</v>
      </c>
      <c r="L153" s="125">
        <f>IFERROR(K153/F153, )</f>
        <v>0.12754488553425819</v>
      </c>
      <c r="M153" s="394"/>
      <c r="N153" s="394"/>
      <c r="P153" s="407"/>
    </row>
    <row r="154" spans="1:16" x14ac:dyDescent="0.2">
      <c r="A154" s="37"/>
      <c r="B154" s="75"/>
      <c r="C154" s="76"/>
      <c r="D154" s="41"/>
      <c r="E154" s="78"/>
      <c r="F154" s="85"/>
      <c r="H154" s="92"/>
      <c r="I154" s="91"/>
      <c r="J154" s="127"/>
      <c r="K154" s="85"/>
      <c r="L154" s="93"/>
      <c r="M154" s="394"/>
      <c r="N154" s="394"/>
    </row>
    <row r="155" spans="1:16" x14ac:dyDescent="0.2">
      <c r="A155" s="37"/>
      <c r="B155" s="75" t="s">
        <v>252</v>
      </c>
      <c r="C155" s="76"/>
      <c r="D155" s="85"/>
      <c r="E155" s="92"/>
      <c r="F155" s="105">
        <f>F153</f>
        <v>5587277.8200000003</v>
      </c>
      <c r="G155" s="47"/>
      <c r="H155" s="92"/>
      <c r="I155" s="105">
        <f>I153</f>
        <v>6299906.5300000003</v>
      </c>
      <c r="J155" s="92"/>
      <c r="K155" s="105">
        <f>K153</f>
        <v>712628.70999999973</v>
      </c>
      <c r="L155" s="125">
        <f>IFERROR(K155/F155, )</f>
        <v>0.12754488553425819</v>
      </c>
      <c r="M155" s="394"/>
      <c r="N155" s="394"/>
    </row>
    <row r="156" spans="1:16" x14ac:dyDescent="0.2">
      <c r="A156" s="37"/>
      <c r="B156" s="403"/>
      <c r="C156" s="372"/>
      <c r="D156" s="82"/>
      <c r="E156" s="373"/>
      <c r="F156" s="133"/>
      <c r="G156" s="82"/>
      <c r="H156" s="126"/>
      <c r="I156" s="133"/>
      <c r="J156" s="437"/>
      <c r="K156" s="405"/>
      <c r="L156" s="406"/>
      <c r="M156" s="394"/>
      <c r="N156" s="394"/>
    </row>
    <row r="157" spans="1:16" x14ac:dyDescent="0.2">
      <c r="A157" s="37"/>
      <c r="B157" s="37"/>
      <c r="C157" s="37"/>
      <c r="D157" s="41"/>
      <c r="E157" s="78"/>
      <c r="F157" s="85"/>
      <c r="H157" s="92"/>
      <c r="I157" s="91"/>
      <c r="J157" s="401"/>
      <c r="K157" s="343"/>
      <c r="L157" s="445"/>
      <c r="M157" s="394"/>
      <c r="N157" s="394"/>
    </row>
    <row r="158" spans="1:16" x14ac:dyDescent="0.2">
      <c r="B158" s="314" t="s">
        <v>159</v>
      </c>
      <c r="C158" s="37"/>
      <c r="D158" s="41"/>
      <c r="E158" s="423"/>
      <c r="F158" s="92"/>
      <c r="H158" s="78"/>
      <c r="I158" s="92"/>
      <c r="J158" s="317"/>
      <c r="K158" s="317"/>
      <c r="L158" s="407"/>
      <c r="M158" s="394"/>
      <c r="N158" s="394"/>
      <c r="O158" s="106"/>
    </row>
    <row r="159" spans="1:16" x14ac:dyDescent="0.2">
      <c r="C159" s="37"/>
      <c r="D159" s="100" t="s">
        <v>95</v>
      </c>
      <c r="E159" s="423"/>
      <c r="F159" s="110" t="s">
        <v>86</v>
      </c>
      <c r="G159" s="36"/>
      <c r="H159" s="44"/>
      <c r="I159" s="110" t="s">
        <v>26</v>
      </c>
      <c r="J159" s="377"/>
      <c r="K159" s="413" t="s">
        <v>73</v>
      </c>
      <c r="L159" s="407"/>
      <c r="M159" s="394"/>
      <c r="N159" s="394"/>
      <c r="O159" s="106"/>
    </row>
    <row r="160" spans="1:16" x14ac:dyDescent="0.2">
      <c r="B160" s="314" t="s">
        <v>252</v>
      </c>
      <c r="C160" s="37"/>
      <c r="D160" s="315"/>
      <c r="E160" s="423"/>
      <c r="F160" s="141"/>
      <c r="G160" s="141"/>
      <c r="H160" s="141"/>
      <c r="I160" s="141"/>
      <c r="J160" s="452"/>
      <c r="K160" s="452"/>
      <c r="L160" s="407"/>
      <c r="M160" s="394"/>
      <c r="N160" s="394"/>
      <c r="O160" s="106"/>
    </row>
    <row r="161" spans="2:15" x14ac:dyDescent="0.2">
      <c r="B161" s="45" t="s">
        <v>160</v>
      </c>
      <c r="C161" s="37"/>
      <c r="D161" s="315">
        <f>D52</f>
        <v>88879730.522699013</v>
      </c>
      <c r="E161" s="423"/>
      <c r="F161" s="141">
        <f>F21+F36</f>
        <v>8603644.5934943184</v>
      </c>
      <c r="G161" s="141"/>
      <c r="H161" s="141"/>
      <c r="I161" s="141">
        <f>I21+I36</f>
        <v>9611990.370000001</v>
      </c>
      <c r="J161" s="452"/>
      <c r="K161" s="452">
        <f>I161-F161</f>
        <v>1008345.7765056826</v>
      </c>
      <c r="L161" s="445">
        <f t="shared" ref="L161:L163" si="30">IFERROR(K161/F161, )</f>
        <v>0.11719984078237582</v>
      </c>
      <c r="M161" s="394"/>
      <c r="N161" s="394"/>
      <c r="O161" s="106"/>
    </row>
    <row r="162" spans="2:15" x14ac:dyDescent="0.2">
      <c r="B162" s="45" t="s">
        <v>161</v>
      </c>
      <c r="C162" s="37"/>
      <c r="D162" s="315">
        <f>D96</f>
        <v>7491654.8276905464</v>
      </c>
      <c r="E162" s="423"/>
      <c r="F162" s="141">
        <f>F67+F81</f>
        <v>1496082.9500000002</v>
      </c>
      <c r="G162" s="141"/>
      <c r="H162" s="141"/>
      <c r="I162" s="141">
        <f>I67+I81</f>
        <v>1560031.02</v>
      </c>
      <c r="J162" s="452"/>
      <c r="K162" s="452">
        <f>I162-F162</f>
        <v>63948.069999999832</v>
      </c>
      <c r="L162" s="445">
        <f t="shared" si="30"/>
        <v>4.2743666051404318E-2</v>
      </c>
      <c r="M162" s="394"/>
      <c r="N162" s="394"/>
      <c r="O162" s="106"/>
    </row>
    <row r="163" spans="2:15" x14ac:dyDescent="0.2">
      <c r="B163" s="45" t="s">
        <v>162</v>
      </c>
      <c r="C163" s="37"/>
      <c r="D163" s="315">
        <f>D153</f>
        <v>119319881.40783478</v>
      </c>
      <c r="E163" s="423"/>
      <c r="F163" s="141">
        <f>F116+F134</f>
        <v>5587277.8200000003</v>
      </c>
      <c r="G163" s="141"/>
      <c r="H163" s="141"/>
      <c r="I163" s="141">
        <f>I116+I134</f>
        <v>6299906.5299999993</v>
      </c>
      <c r="J163" s="452"/>
      <c r="K163" s="452">
        <f>I163-F163</f>
        <v>712628.70999999903</v>
      </c>
      <c r="L163" s="445">
        <f t="shared" si="30"/>
        <v>0.12754488553425808</v>
      </c>
      <c r="M163" s="394"/>
      <c r="N163" s="394"/>
      <c r="O163" s="106"/>
    </row>
    <row r="164" spans="2:15" x14ac:dyDescent="0.2">
      <c r="B164" s="45" t="s">
        <v>0</v>
      </c>
      <c r="C164" s="37"/>
      <c r="D164" s="17">
        <f>SUM(D161:D163)</f>
        <v>215691266.75822434</v>
      </c>
      <c r="E164" s="423"/>
      <c r="F164" s="297">
        <f>SUM(F161:F163)</f>
        <v>15687005.363494318</v>
      </c>
      <c r="G164" s="141"/>
      <c r="H164" s="141"/>
      <c r="I164" s="297">
        <f>SUM(I161:I163)</f>
        <v>17471927.920000002</v>
      </c>
      <c r="J164" s="452"/>
      <c r="K164" s="453">
        <f>SUM(K161:K163)</f>
        <v>1784922.5565056815</v>
      </c>
      <c r="L164" s="445">
        <f>IFERROR(K164/F164, )</f>
        <v>0.11378351158465376</v>
      </c>
      <c r="M164" s="394"/>
      <c r="N164" s="394"/>
      <c r="O164" s="106"/>
    </row>
    <row r="165" spans="2:15" x14ac:dyDescent="0.2">
      <c r="C165" s="37"/>
      <c r="D165" s="315"/>
      <c r="E165" s="423"/>
      <c r="F165" s="141"/>
      <c r="G165" s="141"/>
      <c r="H165" s="141"/>
      <c r="I165" s="141"/>
      <c r="J165" s="452"/>
      <c r="K165" s="452"/>
      <c r="L165" s="407"/>
      <c r="M165" s="394"/>
      <c r="N165" s="394"/>
      <c r="O165" s="106"/>
    </row>
    <row r="166" spans="2:15" x14ac:dyDescent="0.2">
      <c r="B166" s="314" t="s">
        <v>163</v>
      </c>
      <c r="E166" s="417"/>
      <c r="F166" s="143"/>
      <c r="G166" s="142"/>
      <c r="H166" s="143"/>
      <c r="I166" s="143"/>
      <c r="J166" s="454"/>
      <c r="K166" s="454"/>
      <c r="L166" s="375"/>
      <c r="O166" s="377"/>
    </row>
    <row r="167" spans="2:15" x14ac:dyDescent="0.2">
      <c r="B167" s="316" t="s">
        <v>0</v>
      </c>
      <c r="D167" s="417">
        <f>'Exh JDT-5 (JDT-RES_RD)'!D13+'Exh JDT-5 (JDT-RES_RD)'!D21+'Exh JDT-5 (JDT-RES_RD)'!D30+'Exh JDT-5 (JDT-C&amp;I-RD)'!D32+'Exh JDT-5 (JDT-C&amp;I-RD)'!D82+'Exh JDT-5 (JDT-INTRPL-RD)'!D52+'Exh JDT-5 (JDT-INTRPL-RD)'!D96+'Exh JDT-5 (JDT-INTRPL-RD)'!D153</f>
        <v>1140752508.5224547</v>
      </c>
      <c r="E167" s="41"/>
      <c r="F167" s="143">
        <f>'Exh JDT-5 (JDT-RES_RD)'!F16+'Exh JDT-5 (JDT-RES_RD)'!F24+'Exh JDT-5 (JDT-RES_RD)'!F32+'Exh JDT-5 (JDT-C&amp;I-RD)'!F36+'Exh JDT-5 (JDT-C&amp;I-RD)'!F86+'Exh JDT-5 (JDT-INTRPL-RD)'!F54+'Exh JDT-5 (JDT-INTRPL-RD)'!F98+'Exh JDT-5 (JDT-INTRPL-RD)'!F155</f>
        <v>518938321.8820585</v>
      </c>
      <c r="G167" s="141"/>
      <c r="H167" s="143"/>
      <c r="I167" s="298">
        <f>'Exh JDT-5 (JDT-RES_RD)'!I16+'Exh JDT-5 (JDT-RES_RD)'!I24+'Exh JDT-5 (JDT-RES_RD)'!I32+'Exh JDT-5 (JDT-C&amp;I-RD)'!I36+'Exh JDT-5 (JDT-C&amp;I-RD)'!I86+'Exh JDT-5 (JDT-INTRPL-RD)'!I54+'Exh JDT-5 (JDT-INTRPL-RD)'!I98+'Exh JDT-5 (JDT-INTRPL-RD)'!I155</f>
        <v>565497397.25807917</v>
      </c>
      <c r="J167" s="454"/>
      <c r="K167" s="454">
        <f>I167-F167</f>
        <v>46559075.37602067</v>
      </c>
      <c r="L167" s="375">
        <f t="shared" ref="L167:L168" si="31">IFERROR(K167/F167, )</f>
        <v>8.971986344574176E-2</v>
      </c>
      <c r="O167" s="377"/>
    </row>
    <row r="168" spans="2:15" x14ac:dyDescent="0.2">
      <c r="B168" s="316" t="s">
        <v>164</v>
      </c>
      <c r="D168" s="36">
        <v>32154478.538398605</v>
      </c>
      <c r="E168" s="41"/>
      <c r="F168" s="143">
        <v>1679324.4523564125</v>
      </c>
      <c r="G168" s="141"/>
      <c r="H168" s="143"/>
      <c r="I168" s="299">
        <v>1699064.4523564125</v>
      </c>
      <c r="J168" s="454"/>
      <c r="K168" s="455">
        <f>I168-F168</f>
        <v>19740</v>
      </c>
      <c r="L168" s="375">
        <f t="shared" si="31"/>
        <v>1.1754726713054773E-2</v>
      </c>
      <c r="O168" s="377"/>
    </row>
    <row r="169" spans="2:15" x14ac:dyDescent="0.2">
      <c r="B169" s="316" t="s">
        <v>165</v>
      </c>
      <c r="D169" s="17">
        <f>SUM(D167:D168)</f>
        <v>1172906987.0608532</v>
      </c>
      <c r="E169" s="41"/>
      <c r="F169" s="297">
        <f>SUM(F167:F168)</f>
        <v>520617646.3344149</v>
      </c>
      <c r="G169" s="141"/>
      <c r="H169" s="143"/>
      <c r="I169" s="297">
        <f>SUM(I167:I168)</f>
        <v>567196461.71043563</v>
      </c>
      <c r="J169" s="454"/>
      <c r="K169" s="453">
        <f>SUM(K167:K168)</f>
        <v>46578815.37602067</v>
      </c>
      <c r="L169" s="375">
        <f>IFERROR(K169/F169, )</f>
        <v>8.9468376079786416E-2</v>
      </c>
      <c r="O169" s="377"/>
    </row>
    <row r="170" spans="2:15" x14ac:dyDescent="0.2">
      <c r="B170" s="144"/>
      <c r="C170" s="44"/>
      <c r="E170" s="41"/>
      <c r="F170" s="456"/>
      <c r="G170" s="141"/>
      <c r="H170" s="143"/>
      <c r="I170" s="457"/>
      <c r="J170" s="454"/>
      <c r="K170" s="457"/>
      <c r="L170" s="375"/>
    </row>
    <row r="171" spans="2:15" x14ac:dyDescent="0.2">
      <c r="B171" s="45" t="s">
        <v>133</v>
      </c>
      <c r="E171" s="41"/>
      <c r="F171" s="452"/>
      <c r="G171" s="141"/>
      <c r="H171" s="143"/>
      <c r="I171" s="452"/>
      <c r="J171" s="454"/>
      <c r="K171" s="452"/>
      <c r="L171" s="375"/>
    </row>
    <row r="172" spans="2:15" ht="13.5" thickBot="1" x14ac:dyDescent="0.25">
      <c r="F172" s="452"/>
      <c r="G172" s="141"/>
      <c r="H172" s="143"/>
      <c r="I172" s="452"/>
      <c r="J172" s="454"/>
      <c r="K172" s="452"/>
      <c r="L172" s="375"/>
    </row>
    <row r="173" spans="2:15" x14ac:dyDescent="0.2">
      <c r="B173" s="459" t="s">
        <v>13</v>
      </c>
      <c r="C173" s="460" t="s">
        <v>254</v>
      </c>
      <c r="D173" s="461">
        <v>15675792.294814982</v>
      </c>
      <c r="E173" s="460" t="s">
        <v>255</v>
      </c>
      <c r="F173" s="462">
        <f>D173-F164</f>
        <v>-11213.068679336458</v>
      </c>
      <c r="G173" s="141"/>
      <c r="H173" s="143" t="s">
        <v>13</v>
      </c>
      <c r="I173" s="454">
        <v>567193801.86914253</v>
      </c>
      <c r="J173" s="454"/>
      <c r="K173" s="454">
        <v>44570424.507699192</v>
      </c>
      <c r="L173" s="375"/>
    </row>
    <row r="174" spans="2:15" ht="13.5" thickBot="1" x14ac:dyDescent="0.25">
      <c r="B174" s="463" t="s">
        <v>13</v>
      </c>
      <c r="C174" s="464" t="s">
        <v>254</v>
      </c>
      <c r="D174" s="465">
        <v>522623377.36144328</v>
      </c>
      <c r="E174" s="464" t="s">
        <v>255</v>
      </c>
      <c r="F174" s="466">
        <f>D174-F169</f>
        <v>2005731.0270283818</v>
      </c>
      <c r="H174" s="144" t="s">
        <v>255</v>
      </c>
      <c r="I174" s="377">
        <f>I173-I169</f>
        <v>-2659.8412930965424</v>
      </c>
      <c r="K174" s="377">
        <f>K173-K169</f>
        <v>-2008390.8683214784</v>
      </c>
      <c r="L174" s="375"/>
    </row>
    <row r="175" spans="2:15" x14ac:dyDescent="0.2">
      <c r="L175" s="375"/>
    </row>
    <row r="176" spans="2:15" x14ac:dyDescent="0.2">
      <c r="B176" s="383"/>
      <c r="D176" s="458"/>
      <c r="L176" s="375"/>
    </row>
    <row r="177" spans="12:12" x14ac:dyDescent="0.2">
      <c r="L177" s="375"/>
    </row>
  </sheetData>
  <mergeCells count="1">
    <mergeCell ref="K7:L7"/>
  </mergeCells>
  <printOptions horizontalCentered="1"/>
  <pageMargins left="0.5" right="0.5" top="1" bottom="1" header="0.75" footer="0.5"/>
  <pageSetup scale="60" fitToHeight="2" orientation="landscape" blackAndWhite="1" r:id="rId1"/>
  <headerFooter alignWithMargins="0">
    <oddFooter>&amp;R&amp;A
 Page &amp;P of &amp;N</oddFooter>
  </headerFooter>
  <rowBreaks count="3" manualBreakCount="3">
    <brk id="56" max="16383" man="1"/>
    <brk id="101" max="16383" man="1"/>
    <brk id="153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79"/>
  <sheetViews>
    <sheetView zoomScale="90" zoomScaleNormal="90" zoomScaleSheetLayoutView="90" workbookViewId="0">
      <pane xSplit="2" ySplit="9" topLeftCell="C178" activePane="bottomRight" state="frozen"/>
      <selection activeCell="G42" sqref="G42"/>
      <selection pane="topRight" activeCell="G42" sqref="G42"/>
      <selection pane="bottomLeft" activeCell="G42" sqref="G42"/>
      <selection pane="bottomRight" activeCell="G42" sqref="G42"/>
    </sheetView>
  </sheetViews>
  <sheetFormatPr defaultColWidth="9.140625" defaultRowHeight="12.75" x14ac:dyDescent="0.2"/>
  <cols>
    <col min="1" max="1" width="2.85546875" style="44" customWidth="1"/>
    <col min="2" max="2" width="38.42578125" style="63" customWidth="1"/>
    <col min="3" max="3" width="12.28515625" style="552" customWidth="1"/>
    <col min="4" max="4" width="12.28515625" style="44" customWidth="1"/>
    <col min="5" max="5" width="15.85546875" style="44" bestFit="1" customWidth="1"/>
    <col min="6" max="6" width="14.5703125" style="469" bestFit="1" customWidth="1"/>
    <col min="7" max="7" width="14.5703125" style="144" bestFit="1" customWidth="1"/>
    <col min="8" max="8" width="13.28515625" style="144" bestFit="1" customWidth="1"/>
    <col min="9" max="9" width="14.5703125" style="144" bestFit="1" customWidth="1"/>
    <col min="10" max="10" width="14.5703125" style="144" customWidth="1"/>
    <col min="11" max="11" width="2.85546875" style="92" customWidth="1"/>
    <col min="12" max="12" width="19.140625" style="44" bestFit="1" customWidth="1"/>
    <col min="13" max="13" width="14.5703125" style="469" bestFit="1" customWidth="1"/>
    <col min="14" max="14" width="14.5703125" style="144" bestFit="1" customWidth="1"/>
    <col min="15" max="15" width="14" style="144" bestFit="1" customWidth="1"/>
    <col min="16" max="16" width="14.5703125" style="144" bestFit="1" customWidth="1"/>
    <col min="17" max="17" width="14.5703125" style="144" customWidth="1"/>
    <col min="18" max="18" width="2.85546875" style="92" customWidth="1"/>
    <col min="19" max="19" width="15.85546875" style="44" bestFit="1" customWidth="1"/>
    <col min="20" max="20" width="14.5703125" style="469" bestFit="1" customWidth="1"/>
    <col min="21" max="21" width="14.5703125" style="144" bestFit="1" customWidth="1"/>
    <col min="22" max="22" width="14" style="144" bestFit="1" customWidth="1"/>
    <col min="23" max="23" width="14.5703125" style="144" bestFit="1" customWidth="1"/>
    <col min="24" max="16384" width="9.140625" style="44"/>
  </cols>
  <sheetData>
    <row r="1" spans="2:23" ht="12.95" customHeight="1" x14ac:dyDescent="0.2">
      <c r="B1" s="309" t="s">
        <v>12</v>
      </c>
      <c r="C1" s="468"/>
      <c r="D1" s="61"/>
      <c r="G1" s="122"/>
      <c r="H1" s="122"/>
      <c r="I1" s="122"/>
      <c r="J1" s="122"/>
      <c r="K1" s="293"/>
      <c r="N1" s="122"/>
      <c r="O1" s="122"/>
      <c r="P1" s="122"/>
      <c r="Q1" s="122"/>
      <c r="R1" s="293"/>
      <c r="U1" s="122"/>
      <c r="V1" s="122"/>
      <c r="W1" s="122"/>
    </row>
    <row r="2" spans="2:23" x14ac:dyDescent="0.2">
      <c r="B2" s="311" t="s">
        <v>312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</row>
    <row r="3" spans="2:23" x14ac:dyDescent="0.2">
      <c r="B3" s="311" t="s">
        <v>313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</row>
    <row r="4" spans="2:23" x14ac:dyDescent="0.2">
      <c r="B4" s="150" t="s">
        <v>256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</row>
    <row r="5" spans="2:23" x14ac:dyDescent="0.2">
      <c r="B5" s="150" t="str">
        <f>'Exh JDT-5 (JDT-RES_RD)'!B5</f>
        <v>Rate Spread and Schedule 141R and 141N Allocation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</row>
    <row r="7" spans="2:23" x14ac:dyDescent="0.2">
      <c r="B7" s="470"/>
      <c r="C7" s="471"/>
      <c r="D7" s="472"/>
      <c r="E7" s="671" t="s">
        <v>257</v>
      </c>
      <c r="F7" s="671"/>
      <c r="G7" s="671"/>
      <c r="H7" s="671"/>
      <c r="I7" s="671"/>
      <c r="J7" s="473"/>
      <c r="K7" s="474"/>
      <c r="L7" s="671" t="s">
        <v>258</v>
      </c>
      <c r="M7" s="671"/>
      <c r="N7" s="671"/>
      <c r="O7" s="671"/>
      <c r="P7" s="671"/>
      <c r="Q7" s="473"/>
      <c r="R7" s="474"/>
      <c r="S7" s="671" t="s">
        <v>259</v>
      </c>
      <c r="T7" s="671"/>
      <c r="U7" s="671"/>
      <c r="V7" s="671"/>
      <c r="W7" s="672"/>
    </row>
    <row r="8" spans="2:23" ht="25.5" x14ac:dyDescent="0.2">
      <c r="B8" s="475" t="s">
        <v>88</v>
      </c>
      <c r="C8" s="476" t="s">
        <v>209</v>
      </c>
      <c r="D8" s="477" t="s">
        <v>117</v>
      </c>
      <c r="E8" s="478" t="s">
        <v>260</v>
      </c>
      <c r="F8" s="479" t="s">
        <v>261</v>
      </c>
      <c r="G8" s="480" t="s">
        <v>262</v>
      </c>
      <c r="H8" s="481" t="s">
        <v>263</v>
      </c>
      <c r="I8" s="481" t="s">
        <v>264</v>
      </c>
      <c r="J8" s="482" t="s">
        <v>265</v>
      </c>
      <c r="K8" s="481"/>
      <c r="L8" s="478" t="s">
        <v>260</v>
      </c>
      <c r="M8" s="479" t="s">
        <v>261</v>
      </c>
      <c r="N8" s="480" t="s">
        <v>262</v>
      </c>
      <c r="O8" s="481" t="s">
        <v>263</v>
      </c>
      <c r="P8" s="481" t="s">
        <v>264</v>
      </c>
      <c r="Q8" s="482" t="s">
        <v>265</v>
      </c>
      <c r="R8" s="481"/>
      <c r="S8" s="478" t="s">
        <v>260</v>
      </c>
      <c r="T8" s="479" t="s">
        <v>261</v>
      </c>
      <c r="U8" s="480" t="s">
        <v>262</v>
      </c>
      <c r="V8" s="481" t="s">
        <v>263</v>
      </c>
      <c r="W8" s="483" t="s">
        <v>264</v>
      </c>
    </row>
    <row r="9" spans="2:23" x14ac:dyDescent="0.2">
      <c r="B9" s="294"/>
      <c r="C9" s="484"/>
      <c r="D9" s="306"/>
      <c r="E9" s="485"/>
      <c r="F9" s="486"/>
      <c r="G9" s="109"/>
      <c r="H9" s="109"/>
      <c r="I9" s="109"/>
      <c r="J9" s="109"/>
      <c r="K9" s="109"/>
      <c r="L9" s="485"/>
      <c r="M9" s="486"/>
      <c r="N9" s="109"/>
      <c r="O9" s="109"/>
      <c r="P9" s="109"/>
      <c r="Q9" s="109"/>
      <c r="R9" s="109"/>
      <c r="S9" s="485"/>
      <c r="T9" s="486"/>
      <c r="U9" s="109"/>
      <c r="V9" s="109"/>
      <c r="W9" s="487"/>
    </row>
    <row r="10" spans="2:23" x14ac:dyDescent="0.2">
      <c r="B10" s="488" t="s">
        <v>266</v>
      </c>
      <c r="C10" s="489"/>
      <c r="D10" s="74"/>
      <c r="E10" s="17">
        <f>E17+E25+E33</f>
        <v>636378193</v>
      </c>
      <c r="F10" s="490"/>
      <c r="G10" s="105"/>
      <c r="H10" s="105">
        <v>-1079184.181982181</v>
      </c>
      <c r="I10" s="105">
        <v>30961477.392113581</v>
      </c>
      <c r="J10" s="491">
        <v>2074672.7347817947</v>
      </c>
      <c r="K10" s="492"/>
      <c r="L10" s="17">
        <f>L17+L25+L33</f>
        <v>639473381</v>
      </c>
      <c r="M10" s="490"/>
      <c r="N10" s="492"/>
      <c r="O10" s="105">
        <v>-19762751.087706525</v>
      </c>
      <c r="P10" s="105">
        <v>63168588.452581286</v>
      </c>
      <c r="Q10" s="491">
        <v>2016093.3139364917</v>
      </c>
      <c r="R10" s="492"/>
      <c r="S10" s="17"/>
      <c r="T10" s="490"/>
      <c r="U10" s="493"/>
      <c r="V10" s="105"/>
      <c r="W10" s="494"/>
    </row>
    <row r="11" spans="2:23" s="47" customFormat="1" x14ac:dyDescent="0.2">
      <c r="B11" s="88"/>
      <c r="C11" s="495"/>
      <c r="F11" s="495"/>
      <c r="G11" s="127" t="s">
        <v>267</v>
      </c>
      <c r="H11" s="78">
        <f>ROUND(H10/E10, 5)</f>
        <v>-1.6999999999999999E-3</v>
      </c>
      <c r="I11" s="78">
        <f>ROUND(I10/E10, 5)</f>
        <v>4.8649999999999999E-2</v>
      </c>
      <c r="J11" s="496">
        <f>ROUND(J10/E10, 5)</f>
        <v>3.2599999999999999E-3</v>
      </c>
      <c r="K11" s="92"/>
      <c r="M11" s="495"/>
      <c r="N11" s="92"/>
      <c r="O11" s="78">
        <f>ROUND(O10/L10, 5)</f>
        <v>-3.09E-2</v>
      </c>
      <c r="P11" s="78">
        <f>ROUND(P10/L10, 5)</f>
        <v>9.8780000000000007E-2</v>
      </c>
      <c r="Q11" s="496">
        <f>ROUND(Q10/L10, 5)</f>
        <v>3.15E-3</v>
      </c>
      <c r="R11" s="92"/>
      <c r="T11" s="495"/>
      <c r="U11" s="92"/>
      <c r="V11" s="78"/>
      <c r="W11" s="497"/>
    </row>
    <row r="12" spans="2:23" s="47" customFormat="1" x14ac:dyDescent="0.2">
      <c r="B12" s="79"/>
      <c r="C12" s="498"/>
      <c r="D12" s="80"/>
      <c r="E12" s="499" t="s">
        <v>252</v>
      </c>
      <c r="F12" s="500">
        <f>F18+F26+F34</f>
        <v>381408517.88003999</v>
      </c>
      <c r="G12" s="81">
        <f>G18+G26+G34</f>
        <v>414358362.31292999</v>
      </c>
      <c r="H12" s="501"/>
      <c r="I12" s="501"/>
      <c r="J12" s="501"/>
      <c r="K12" s="126"/>
      <c r="L12" s="499" t="s">
        <v>252</v>
      </c>
      <c r="M12" s="500">
        <f>M18+M26+M34</f>
        <v>384032148.01235998</v>
      </c>
      <c r="N12" s="81">
        <f>N18+N26+N34</f>
        <v>417207632.91536999</v>
      </c>
      <c r="O12" s="501"/>
      <c r="P12" s="501"/>
      <c r="Q12" s="501"/>
      <c r="R12" s="126"/>
      <c r="S12" s="499"/>
      <c r="T12" s="500"/>
      <c r="U12" s="81"/>
      <c r="V12" s="501"/>
      <c r="W12" s="502"/>
    </row>
    <row r="13" spans="2:23" x14ac:dyDescent="0.2">
      <c r="B13" s="88"/>
      <c r="C13" s="495"/>
      <c r="D13" s="47"/>
      <c r="E13" s="47"/>
      <c r="F13" s="495"/>
      <c r="G13" s="92"/>
      <c r="H13" s="503"/>
      <c r="I13" s="503"/>
      <c r="J13" s="503"/>
      <c r="L13" s="47"/>
      <c r="M13" s="495"/>
      <c r="N13" s="92"/>
      <c r="O13" s="503"/>
      <c r="P13" s="503"/>
      <c r="Q13" s="503"/>
      <c r="S13" s="47"/>
      <c r="T13" s="495"/>
      <c r="U13" s="92"/>
      <c r="V13" s="503"/>
      <c r="W13" s="504"/>
    </row>
    <row r="14" spans="2:23" x14ac:dyDescent="0.2">
      <c r="B14" s="505" t="s">
        <v>124</v>
      </c>
      <c r="C14" s="506"/>
      <c r="D14" s="74"/>
      <c r="E14" s="74"/>
      <c r="F14" s="506"/>
      <c r="G14" s="105"/>
      <c r="H14" s="105"/>
      <c r="I14" s="105"/>
      <c r="J14" s="105"/>
      <c r="K14" s="105"/>
      <c r="L14" s="74"/>
      <c r="M14" s="506"/>
      <c r="N14" s="105"/>
      <c r="O14" s="105"/>
      <c r="P14" s="105"/>
      <c r="Q14" s="105"/>
      <c r="R14" s="105"/>
      <c r="S14" s="74"/>
      <c r="T14" s="506"/>
      <c r="U14" s="105"/>
      <c r="V14" s="105"/>
      <c r="W14" s="494"/>
    </row>
    <row r="15" spans="2:23" x14ac:dyDescent="0.2">
      <c r="B15" s="88"/>
      <c r="C15" s="495"/>
      <c r="D15" s="47"/>
      <c r="E15" s="47"/>
      <c r="F15" s="495"/>
      <c r="G15" s="85"/>
      <c r="H15" s="85"/>
      <c r="I15" s="85"/>
      <c r="J15" s="85"/>
      <c r="K15" s="85"/>
      <c r="L15" s="47"/>
      <c r="M15" s="495"/>
      <c r="N15" s="85"/>
      <c r="O15" s="85"/>
      <c r="P15" s="85"/>
      <c r="Q15" s="85"/>
      <c r="R15" s="85"/>
      <c r="S15" s="47"/>
      <c r="T15" s="495"/>
      <c r="U15" s="85"/>
      <c r="V15" s="85"/>
      <c r="W15" s="507"/>
    </row>
    <row r="16" spans="2:23" x14ac:dyDescent="0.2">
      <c r="B16" s="75" t="s">
        <v>92</v>
      </c>
      <c r="C16" s="508">
        <f>'Exh JDT-5 (JDT-RES_RD)'!$E$12</f>
        <v>11.52</v>
      </c>
      <c r="D16" s="92">
        <f>'Exh JDT-5 (JDT-RES_RD)'!$H$12</f>
        <v>12.5</v>
      </c>
      <c r="E16" s="41">
        <v>9926845</v>
      </c>
      <c r="F16" s="509">
        <f>SUM(+E16*C16)</f>
        <v>114357254.39999999</v>
      </c>
      <c r="G16" s="85">
        <f>SUM(+E16*D16)</f>
        <v>124085562.5</v>
      </c>
      <c r="H16" s="85"/>
      <c r="I16" s="85"/>
      <c r="J16" s="85"/>
      <c r="K16" s="85"/>
      <c r="L16" s="41">
        <v>10041842</v>
      </c>
      <c r="M16" s="509">
        <f>SUM(+L16*C16)</f>
        <v>115682019.83999999</v>
      </c>
      <c r="N16" s="85">
        <f>SUM(+L16*D16)</f>
        <v>125523025</v>
      </c>
      <c r="O16" s="85"/>
      <c r="P16" s="85"/>
      <c r="Q16" s="85"/>
      <c r="R16" s="85"/>
      <c r="S16" s="41"/>
      <c r="T16" s="509"/>
      <c r="U16" s="85"/>
      <c r="V16" s="85"/>
      <c r="W16" s="507"/>
    </row>
    <row r="17" spans="2:25" x14ac:dyDescent="0.2">
      <c r="B17" s="88" t="s">
        <v>94</v>
      </c>
      <c r="C17" s="510">
        <f>'Exh JDT-5 (JDT-RES_RD)'!$E$13</f>
        <v>0.41964000000000001</v>
      </c>
      <c r="D17" s="78">
        <f>'Exh JDT-5 (JDT-RES_RD)'!$H$13</f>
        <v>0.45612999999999998</v>
      </c>
      <c r="E17" s="41">
        <v>636369361</v>
      </c>
      <c r="F17" s="509">
        <f>SUM(+E17*C17)</f>
        <v>267046038.65004</v>
      </c>
      <c r="G17" s="85">
        <f>SUM(+E17*D17)</f>
        <v>290267156.63292998</v>
      </c>
      <c r="H17" s="85"/>
      <c r="I17" s="85"/>
      <c r="J17" s="85"/>
      <c r="K17" s="85"/>
      <c r="L17" s="41">
        <v>639464549</v>
      </c>
      <c r="M17" s="509">
        <f>SUM(+L17*C17)</f>
        <v>268344903.34236002</v>
      </c>
      <c r="N17" s="85">
        <f>SUM(+L17*D17)</f>
        <v>291678964.73536998</v>
      </c>
      <c r="O17" s="85"/>
      <c r="P17" s="85"/>
      <c r="Q17" s="85"/>
      <c r="R17" s="85"/>
      <c r="S17" s="41"/>
      <c r="T17" s="509"/>
      <c r="U17" s="85"/>
      <c r="V17" s="85"/>
      <c r="W17" s="507"/>
    </row>
    <row r="18" spans="2:25" x14ac:dyDescent="0.2">
      <c r="B18" s="94" t="s">
        <v>268</v>
      </c>
      <c r="C18" s="495"/>
      <c r="D18" s="47"/>
      <c r="E18" s="41"/>
      <c r="F18" s="511">
        <f>SUM(F16:F17)</f>
        <v>381403293.05004001</v>
      </c>
      <c r="G18" s="105">
        <f>SUM(G16:G17)</f>
        <v>414352719.13292998</v>
      </c>
      <c r="K18" s="85"/>
      <c r="L18" s="41"/>
      <c r="M18" s="511">
        <f>SUM(M16:M17)</f>
        <v>384026923.18235999</v>
      </c>
      <c r="N18" s="105">
        <f>SUM(N16:N17)</f>
        <v>417201989.73536998</v>
      </c>
      <c r="R18" s="85"/>
      <c r="S18" s="41"/>
      <c r="T18" s="511"/>
      <c r="U18" s="105"/>
      <c r="W18" s="507"/>
      <c r="Y18" s="84"/>
    </row>
    <row r="19" spans="2:25" x14ac:dyDescent="0.2">
      <c r="B19" s="88" t="s">
        <v>269</v>
      </c>
      <c r="C19" s="495"/>
      <c r="D19" s="47"/>
      <c r="E19" s="47"/>
      <c r="F19" s="495"/>
      <c r="G19" s="85"/>
      <c r="H19" s="81">
        <f>H11*E17</f>
        <v>-1081827.9136999999</v>
      </c>
      <c r="I19" s="84">
        <f>I11*E17</f>
        <v>30959369.41265</v>
      </c>
      <c r="J19" s="512">
        <f>J11*E17</f>
        <v>2074564.11686</v>
      </c>
      <c r="K19" s="85"/>
      <c r="L19" s="47"/>
      <c r="M19" s="495"/>
      <c r="N19" s="85"/>
      <c r="O19" s="81">
        <f>O11*L17</f>
        <v>-19759454.564100001</v>
      </c>
      <c r="P19" s="84">
        <f>P11*L17</f>
        <v>63166308.150220007</v>
      </c>
      <c r="Q19" s="512">
        <f>Q11*L17</f>
        <v>2014313.32935</v>
      </c>
      <c r="R19" s="85"/>
      <c r="S19" s="47"/>
      <c r="T19" s="495"/>
      <c r="U19" s="85"/>
      <c r="V19" s="81"/>
      <c r="W19" s="507"/>
    </row>
    <row r="20" spans="2:25" x14ac:dyDescent="0.2">
      <c r="B20" s="94" t="str">
        <f>"Total "&amp;B14</f>
        <v>Total Schedule 23</v>
      </c>
      <c r="C20" s="495"/>
      <c r="D20" s="47"/>
      <c r="E20" s="47"/>
      <c r="F20" s="495"/>
      <c r="G20" s="44"/>
      <c r="H20" s="85"/>
      <c r="I20" s="513">
        <f>G18+H19+I19</f>
        <v>444230260.63187999</v>
      </c>
      <c r="J20" s="95"/>
      <c r="K20" s="85"/>
      <c r="L20" s="47"/>
      <c r="M20" s="495"/>
      <c r="N20" s="85"/>
      <c r="O20" s="85"/>
      <c r="P20" s="513">
        <f>N18+O19+P19</f>
        <v>460608843.32148993</v>
      </c>
      <c r="Q20" s="95"/>
      <c r="R20" s="85"/>
      <c r="S20" s="47"/>
      <c r="T20" s="495"/>
      <c r="U20" s="85"/>
      <c r="V20" s="85"/>
      <c r="W20" s="514"/>
    </row>
    <row r="21" spans="2:25" x14ac:dyDescent="0.2">
      <c r="B21" s="79"/>
      <c r="C21" s="515"/>
      <c r="D21" s="516"/>
      <c r="E21" s="80"/>
      <c r="F21" s="498"/>
      <c r="G21" s="81"/>
      <c r="H21" s="81"/>
      <c r="I21" s="81"/>
      <c r="J21" s="81"/>
      <c r="K21" s="81"/>
      <c r="L21" s="80"/>
      <c r="M21" s="498"/>
      <c r="N21" s="81"/>
      <c r="O21" s="81"/>
      <c r="P21" s="81"/>
      <c r="Q21" s="81"/>
      <c r="R21" s="81"/>
      <c r="S21" s="80"/>
      <c r="T21" s="498"/>
      <c r="U21" s="81"/>
      <c r="V21" s="81"/>
      <c r="W21" s="517"/>
    </row>
    <row r="22" spans="2:25" x14ac:dyDescent="0.2">
      <c r="B22" s="87" t="s">
        <v>127</v>
      </c>
      <c r="C22" s="518"/>
      <c r="D22" s="274"/>
      <c r="E22" s="274"/>
      <c r="F22" s="519"/>
      <c r="G22" s="274"/>
      <c r="H22" s="274"/>
      <c r="I22" s="274"/>
      <c r="J22" s="274"/>
      <c r="K22" s="274"/>
      <c r="L22" s="274"/>
      <c r="M22" s="519"/>
      <c r="N22" s="274"/>
      <c r="O22" s="274"/>
      <c r="P22" s="274"/>
      <c r="Q22" s="274"/>
      <c r="R22" s="274"/>
      <c r="S22" s="274"/>
      <c r="T22" s="519"/>
      <c r="U22" s="274"/>
      <c r="V22" s="274"/>
      <c r="W22" s="520"/>
    </row>
    <row r="23" spans="2:25" x14ac:dyDescent="0.2">
      <c r="B23" s="88"/>
      <c r="C23" s="495"/>
      <c r="D23" s="47"/>
      <c r="E23" s="47"/>
      <c r="F23" s="495"/>
      <c r="G23" s="85"/>
      <c r="H23" s="85"/>
      <c r="I23" s="85"/>
      <c r="J23" s="85"/>
      <c r="K23" s="85"/>
      <c r="L23" s="47"/>
      <c r="M23" s="495"/>
      <c r="N23" s="85"/>
      <c r="O23" s="85"/>
      <c r="P23" s="85"/>
      <c r="Q23" s="85"/>
      <c r="R23" s="85"/>
      <c r="S23" s="47"/>
      <c r="T23" s="495"/>
      <c r="U23" s="85"/>
      <c r="V23" s="85"/>
      <c r="W23" s="507"/>
    </row>
    <row r="24" spans="2:25" x14ac:dyDescent="0.2">
      <c r="B24" s="75" t="s">
        <v>92</v>
      </c>
      <c r="C24" s="508">
        <f>'Exh JDT-5 (JDT-RES_RD)'!E20</f>
        <v>11.52</v>
      </c>
      <c r="D24" s="92">
        <f>D16</f>
        <v>12.5</v>
      </c>
      <c r="E24" s="41">
        <v>0</v>
      </c>
      <c r="F24" s="509">
        <f>SUM(+E24*C24)</f>
        <v>0</v>
      </c>
      <c r="G24" s="85">
        <f>SUM(+E24*D24)</f>
        <v>0</v>
      </c>
      <c r="H24" s="85"/>
      <c r="I24" s="85"/>
      <c r="J24" s="85"/>
      <c r="K24" s="85"/>
      <c r="L24" s="41">
        <v>0</v>
      </c>
      <c r="M24" s="509">
        <f>SUM(+L24*C24)</f>
        <v>0</v>
      </c>
      <c r="N24" s="85">
        <f>SUM(+L24*D24)</f>
        <v>0</v>
      </c>
      <c r="O24" s="85"/>
      <c r="P24" s="85"/>
      <c r="Q24" s="85"/>
      <c r="R24" s="85"/>
      <c r="S24" s="41"/>
      <c r="T24" s="509"/>
      <c r="U24" s="85"/>
      <c r="V24" s="85"/>
      <c r="W24" s="507"/>
    </row>
    <row r="25" spans="2:25" x14ac:dyDescent="0.2">
      <c r="B25" s="88" t="s">
        <v>94</v>
      </c>
      <c r="C25" s="510">
        <f>'Exh JDT-5 (JDT-RES_RD)'!E21</f>
        <v>0.41964000000000001</v>
      </c>
      <c r="D25" s="78">
        <f>D17</f>
        <v>0.45612999999999998</v>
      </c>
      <c r="E25" s="41">
        <v>0</v>
      </c>
      <c r="F25" s="509">
        <f>SUM(+E25*C25)</f>
        <v>0</v>
      </c>
      <c r="G25" s="85">
        <f>SUM(+E25*D25)</f>
        <v>0</v>
      </c>
      <c r="H25" s="85"/>
      <c r="I25" s="85"/>
      <c r="J25" s="85"/>
      <c r="K25" s="85"/>
      <c r="L25" s="41">
        <v>0</v>
      </c>
      <c r="M25" s="509">
        <f>SUM(+L25*C25)</f>
        <v>0</v>
      </c>
      <c r="N25" s="85">
        <f>SUM(+L25*D25)</f>
        <v>0</v>
      </c>
      <c r="O25" s="85"/>
      <c r="P25" s="85"/>
      <c r="Q25" s="85"/>
      <c r="R25" s="85"/>
      <c r="S25" s="41"/>
      <c r="T25" s="509"/>
      <c r="U25" s="85"/>
      <c r="V25" s="85"/>
      <c r="W25" s="507"/>
    </row>
    <row r="26" spans="2:25" x14ac:dyDescent="0.2">
      <c r="B26" s="94" t="s">
        <v>268</v>
      </c>
      <c r="C26" s="521"/>
      <c r="D26" s="47"/>
      <c r="E26" s="47"/>
      <c r="F26" s="511">
        <f>SUM(F24:F25)</f>
        <v>0</v>
      </c>
      <c r="G26" s="105">
        <f>SUM(G24:G25)</f>
        <v>0</v>
      </c>
      <c r="H26" s="85"/>
      <c r="I26" s="85"/>
      <c r="J26" s="85"/>
      <c r="K26" s="85"/>
      <c r="L26" s="47"/>
      <c r="M26" s="511">
        <f>SUM(M24:M25)</f>
        <v>0</v>
      </c>
      <c r="N26" s="105">
        <f>SUM(N24:N25)</f>
        <v>0</v>
      </c>
      <c r="O26" s="85"/>
      <c r="P26" s="85"/>
      <c r="Q26" s="85"/>
      <c r="R26" s="85"/>
      <c r="S26" s="47"/>
      <c r="T26" s="511"/>
      <c r="U26" s="105"/>
      <c r="V26" s="85"/>
      <c r="W26" s="507"/>
    </row>
    <row r="27" spans="2:25" x14ac:dyDescent="0.2">
      <c r="B27" s="88" t="s">
        <v>269</v>
      </c>
      <c r="C27" s="495"/>
      <c r="D27" s="47"/>
      <c r="E27" s="47"/>
      <c r="F27" s="495"/>
      <c r="G27" s="85"/>
      <c r="H27" s="81">
        <f>H$11*E25</f>
        <v>0</v>
      </c>
      <c r="I27" s="84">
        <f>I$11*E25</f>
        <v>0</v>
      </c>
      <c r="J27" s="522">
        <f>J$11*E25</f>
        <v>0</v>
      </c>
      <c r="K27" s="85"/>
      <c r="L27" s="47"/>
      <c r="M27" s="495"/>
      <c r="N27" s="85"/>
      <c r="O27" s="81">
        <f>O$11*L25</f>
        <v>0</v>
      </c>
      <c r="P27" s="84">
        <f>P$11*L25</f>
        <v>0</v>
      </c>
      <c r="Q27" s="522">
        <f>Q$11*L25</f>
        <v>0</v>
      </c>
      <c r="R27" s="85"/>
      <c r="S27" s="47"/>
      <c r="T27" s="495"/>
      <c r="U27" s="85"/>
      <c r="V27" s="81"/>
      <c r="W27" s="507"/>
    </row>
    <row r="28" spans="2:25" x14ac:dyDescent="0.2">
      <c r="B28" s="94" t="str">
        <f>"Total "&amp;B22</f>
        <v>Total Schedule 53</v>
      </c>
      <c r="C28" s="521"/>
      <c r="D28" s="47"/>
      <c r="E28" s="47"/>
      <c r="F28" s="495"/>
      <c r="G28" s="85"/>
      <c r="H28" s="85"/>
      <c r="I28" s="513">
        <f>G26+H27+I27</f>
        <v>0</v>
      </c>
      <c r="J28" s="95"/>
      <c r="K28" s="85"/>
      <c r="L28" s="47"/>
      <c r="M28" s="495"/>
      <c r="N28" s="85"/>
      <c r="O28" s="85"/>
      <c r="P28" s="513">
        <f>N26+O27+P27</f>
        <v>0</v>
      </c>
      <c r="Q28" s="95"/>
      <c r="R28" s="85"/>
      <c r="S28" s="47"/>
      <c r="T28" s="495"/>
      <c r="U28" s="85"/>
      <c r="V28" s="85"/>
      <c r="W28" s="514"/>
    </row>
    <row r="29" spans="2:25" x14ac:dyDescent="0.2">
      <c r="B29" s="79"/>
      <c r="C29" s="498"/>
      <c r="D29" s="80"/>
      <c r="E29" s="80"/>
      <c r="F29" s="498"/>
      <c r="G29" s="81"/>
      <c r="H29" s="81"/>
      <c r="I29" s="81"/>
      <c r="J29" s="81"/>
      <c r="K29" s="81"/>
      <c r="L29" s="80"/>
      <c r="M29" s="498"/>
      <c r="N29" s="81"/>
      <c r="O29" s="81"/>
      <c r="P29" s="81"/>
      <c r="Q29" s="81"/>
      <c r="R29" s="81"/>
      <c r="S29" s="80"/>
      <c r="T29" s="498"/>
      <c r="U29" s="81"/>
      <c r="V29" s="81"/>
      <c r="W29" s="517"/>
    </row>
    <row r="30" spans="2:25" x14ac:dyDescent="0.2">
      <c r="B30" s="87" t="s">
        <v>129</v>
      </c>
      <c r="C30" s="518"/>
      <c r="D30" s="274"/>
      <c r="E30" s="274"/>
      <c r="F30" s="519"/>
      <c r="G30" s="274"/>
      <c r="H30" s="274"/>
      <c r="I30" s="274"/>
      <c r="J30" s="274"/>
      <c r="K30" s="274"/>
      <c r="L30" s="274"/>
      <c r="M30" s="519"/>
      <c r="N30" s="274"/>
      <c r="O30" s="274"/>
      <c r="P30" s="274"/>
      <c r="Q30" s="274"/>
      <c r="R30" s="274"/>
      <c r="S30" s="274"/>
      <c r="T30" s="519"/>
      <c r="U30" s="274"/>
      <c r="V30" s="274"/>
      <c r="W30" s="520"/>
    </row>
    <row r="31" spans="2:25" x14ac:dyDescent="0.2">
      <c r="B31" s="94"/>
      <c r="C31" s="521"/>
      <c r="D31" s="47"/>
      <c r="E31" s="47"/>
      <c r="F31" s="495"/>
      <c r="G31" s="85"/>
      <c r="H31" s="85"/>
      <c r="I31" s="85"/>
      <c r="J31" s="85"/>
      <c r="K31" s="85"/>
      <c r="L31" s="47"/>
      <c r="M31" s="495"/>
      <c r="N31" s="85"/>
      <c r="O31" s="85"/>
      <c r="P31" s="85"/>
      <c r="Q31" s="85"/>
      <c r="R31" s="85"/>
      <c r="S31" s="47"/>
      <c r="T31" s="495"/>
      <c r="U31" s="85"/>
      <c r="V31" s="85"/>
      <c r="W31" s="507"/>
    </row>
    <row r="32" spans="2:25" x14ac:dyDescent="0.2">
      <c r="B32" s="88" t="s">
        <v>130</v>
      </c>
      <c r="C32" s="508">
        <f>'Exh JDT-5 (JDT-RES_RD)'!E28</f>
        <v>11.24</v>
      </c>
      <c r="D32" s="92">
        <f>'Exh JDT-5 (JDT-RES_RD)'!$H$28</f>
        <v>12.14</v>
      </c>
      <c r="E32" s="41">
        <v>464.84210526315798</v>
      </c>
      <c r="F32" s="509">
        <f>ROUND(E32*C32,2)</f>
        <v>5224.83</v>
      </c>
      <c r="G32" s="85">
        <f>ROUND(E32*D32,2)</f>
        <v>5643.18</v>
      </c>
      <c r="H32" s="85"/>
      <c r="I32" s="85"/>
      <c r="J32" s="85"/>
      <c r="K32" s="85"/>
      <c r="L32" s="41">
        <v>464.84210526315798</v>
      </c>
      <c r="M32" s="509">
        <f>ROUND(L32*C32,2)</f>
        <v>5224.83</v>
      </c>
      <c r="N32" s="85">
        <f>ROUND(L32*D32,2)</f>
        <v>5643.18</v>
      </c>
      <c r="O32" s="85"/>
      <c r="P32" s="85"/>
      <c r="Q32" s="85"/>
      <c r="R32" s="85"/>
      <c r="S32" s="41"/>
      <c r="T32" s="509"/>
      <c r="U32" s="85"/>
      <c r="V32" s="85"/>
      <c r="W32" s="507"/>
    </row>
    <row r="33" spans="2:23" x14ac:dyDescent="0.2">
      <c r="B33" s="75" t="s">
        <v>131</v>
      </c>
      <c r="C33" s="523"/>
      <c r="D33" s="47"/>
      <c r="E33" s="41">
        <v>8832</v>
      </c>
      <c r="F33" s="524"/>
      <c r="G33" s="85"/>
      <c r="H33" s="85"/>
      <c r="I33" s="85"/>
      <c r="J33" s="85"/>
      <c r="K33" s="85"/>
      <c r="L33" s="41">
        <v>8832</v>
      </c>
      <c r="M33" s="524"/>
      <c r="N33" s="85"/>
      <c r="O33" s="85"/>
      <c r="P33" s="85"/>
      <c r="Q33" s="85"/>
      <c r="R33" s="85"/>
      <c r="S33" s="41"/>
      <c r="T33" s="524"/>
      <c r="U33" s="85"/>
      <c r="V33" s="85"/>
      <c r="W33" s="507"/>
    </row>
    <row r="34" spans="2:23" x14ac:dyDescent="0.2">
      <c r="B34" s="94" t="s">
        <v>268</v>
      </c>
      <c r="C34" s="521"/>
      <c r="D34" s="47"/>
      <c r="E34" s="47"/>
      <c r="F34" s="511">
        <f>SUM(F32:F33)</f>
        <v>5224.83</v>
      </c>
      <c r="G34" s="105">
        <f>SUM(G32:G33)</f>
        <v>5643.18</v>
      </c>
      <c r="H34" s="85"/>
      <c r="I34" s="85"/>
      <c r="J34" s="85"/>
      <c r="K34" s="85"/>
      <c r="L34" s="47"/>
      <c r="M34" s="511">
        <f>SUM(M32:M33)</f>
        <v>5224.83</v>
      </c>
      <c r="N34" s="105">
        <f>SUM(N32:N33)</f>
        <v>5643.18</v>
      </c>
      <c r="O34" s="85"/>
      <c r="P34" s="85"/>
      <c r="Q34" s="85"/>
      <c r="R34" s="85"/>
      <c r="S34" s="47"/>
      <c r="T34" s="511"/>
      <c r="U34" s="105"/>
      <c r="V34" s="85"/>
      <c r="W34" s="507"/>
    </row>
    <row r="35" spans="2:23" x14ac:dyDescent="0.2">
      <c r="B35" s="88" t="s">
        <v>269</v>
      </c>
      <c r="C35" s="495"/>
      <c r="D35" s="47"/>
      <c r="E35" s="47"/>
      <c r="F35" s="495"/>
      <c r="G35" s="85"/>
      <c r="H35" s="81">
        <f>H$11*E33</f>
        <v>-15.014399999999998</v>
      </c>
      <c r="I35" s="84">
        <f>I$11*E33</f>
        <v>429.67680000000001</v>
      </c>
      <c r="J35" s="512">
        <f>J$11*E33</f>
        <v>28.79232</v>
      </c>
      <c r="K35" s="85"/>
      <c r="L35" s="47"/>
      <c r="M35" s="495"/>
      <c r="N35" s="85"/>
      <c r="O35" s="81">
        <f>O$11*L33</f>
        <v>-272.90879999999999</v>
      </c>
      <c r="P35" s="84">
        <f>P$11*L33</f>
        <v>872.42496000000006</v>
      </c>
      <c r="Q35" s="512">
        <f>Q$11*L33</f>
        <v>27.820799999999998</v>
      </c>
      <c r="R35" s="85"/>
      <c r="S35" s="47"/>
      <c r="T35" s="495"/>
      <c r="U35" s="85"/>
      <c r="V35" s="81"/>
      <c r="W35" s="507"/>
    </row>
    <row r="36" spans="2:23" x14ac:dyDescent="0.2">
      <c r="B36" s="94" t="str">
        <f>"Total "&amp;B30</f>
        <v>Total Schedule 16</v>
      </c>
      <c r="C36" s="521"/>
      <c r="D36" s="47"/>
      <c r="E36" s="47"/>
      <c r="F36" s="495"/>
      <c r="G36" s="85"/>
      <c r="H36" s="85"/>
      <c r="I36" s="513">
        <f>G34+H35+I35</f>
        <v>6057.8424000000005</v>
      </c>
      <c r="J36" s="95"/>
      <c r="K36" s="85"/>
      <c r="L36" s="47"/>
      <c r="M36" s="495"/>
      <c r="N36" s="85"/>
      <c r="O36" s="85"/>
      <c r="P36" s="513">
        <f>N34+O35+P35</f>
        <v>6242.6961600000004</v>
      </c>
      <c r="Q36" s="95"/>
      <c r="R36" s="85"/>
      <c r="S36" s="47"/>
      <c r="T36" s="495"/>
      <c r="U36" s="85"/>
      <c r="V36" s="85"/>
      <c r="W36" s="514"/>
    </row>
    <row r="37" spans="2:23" x14ac:dyDescent="0.2">
      <c r="B37" s="295"/>
      <c r="C37" s="525"/>
      <c r="D37" s="80"/>
      <c r="E37" s="80"/>
      <c r="F37" s="498"/>
      <c r="G37" s="126"/>
      <c r="H37" s="126"/>
      <c r="I37" s="126"/>
      <c r="J37" s="126"/>
      <c r="K37" s="126"/>
      <c r="L37" s="80"/>
      <c r="M37" s="498"/>
      <c r="N37" s="126"/>
      <c r="O37" s="126"/>
      <c r="P37" s="126"/>
      <c r="Q37" s="126"/>
      <c r="R37" s="126"/>
      <c r="S37" s="80"/>
      <c r="T37" s="498"/>
      <c r="U37" s="126"/>
      <c r="V37" s="126"/>
      <c r="W37" s="502"/>
    </row>
    <row r="38" spans="2:23" x14ac:dyDescent="0.2">
      <c r="B38" s="44"/>
      <c r="C38" s="469"/>
      <c r="G38" s="44"/>
      <c r="H38" s="44"/>
      <c r="I38" s="44"/>
      <c r="J38" s="44"/>
      <c r="K38" s="44"/>
      <c r="N38" s="44"/>
      <c r="O38" s="44"/>
      <c r="P38" s="44"/>
      <c r="Q38" s="44"/>
      <c r="R38" s="44"/>
      <c r="U38" s="44"/>
      <c r="V38" s="44"/>
      <c r="W38" s="44"/>
    </row>
    <row r="39" spans="2:23" x14ac:dyDescent="0.2">
      <c r="B39" s="488" t="s">
        <v>270</v>
      </c>
      <c r="C39" s="489"/>
      <c r="D39" s="74"/>
      <c r="E39" s="17">
        <f>E47+E55</f>
        <v>243226645</v>
      </c>
      <c r="F39" s="490"/>
      <c r="G39" s="105"/>
      <c r="H39" s="105">
        <v>-380730.32599845406</v>
      </c>
      <c r="I39" s="105">
        <v>10923041.291470494</v>
      </c>
      <c r="J39" s="491">
        <v>730982.95631700102</v>
      </c>
      <c r="K39" s="492"/>
      <c r="L39" s="17">
        <f>L47+L55</f>
        <v>245970110</v>
      </c>
      <c r="M39" s="490"/>
      <c r="N39" s="492"/>
      <c r="O39" s="105">
        <v>-6972191.3922317354</v>
      </c>
      <c r="P39" s="105">
        <v>22285535.38492335</v>
      </c>
      <c r="Q39" s="491">
        <v>710343.28746178711</v>
      </c>
      <c r="R39" s="492"/>
      <c r="S39" s="17"/>
      <c r="T39" s="490"/>
      <c r="U39" s="493"/>
      <c r="V39" s="105"/>
      <c r="W39" s="494"/>
    </row>
    <row r="40" spans="2:23" x14ac:dyDescent="0.2">
      <c r="B40" s="88"/>
      <c r="C40" s="495"/>
      <c r="D40" s="47"/>
      <c r="E40" s="47"/>
      <c r="F40" s="495"/>
      <c r="G40" s="127" t="s">
        <v>267</v>
      </c>
      <c r="H40" s="78">
        <f>ROUND(H39/E39, 5)</f>
        <v>-1.57E-3</v>
      </c>
      <c r="I40" s="78">
        <f>ROUND(I39/E39, 5)</f>
        <v>4.4909999999999999E-2</v>
      </c>
      <c r="J40" s="496">
        <f>ROUND(J39/E47, 5)</f>
        <v>3.0100000000000001E-3</v>
      </c>
      <c r="L40" s="47"/>
      <c r="M40" s="495"/>
      <c r="N40" s="92"/>
      <c r="O40" s="78">
        <f>ROUND(O39/L39, 5)</f>
        <v>-2.835E-2</v>
      </c>
      <c r="P40" s="78">
        <f>ROUND(P39/L39, 5)</f>
        <v>9.06E-2</v>
      </c>
      <c r="Q40" s="496">
        <f>ROUND(Q39/L47, 5)</f>
        <v>2.8900000000000002E-3</v>
      </c>
      <c r="S40" s="47"/>
      <c r="T40" s="495"/>
      <c r="U40" s="92"/>
      <c r="V40" s="78"/>
      <c r="W40" s="497"/>
    </row>
    <row r="41" spans="2:23" x14ac:dyDescent="0.2">
      <c r="B41" s="79"/>
      <c r="C41" s="498"/>
      <c r="D41" s="80"/>
      <c r="E41" s="499" t="s">
        <v>252</v>
      </c>
      <c r="F41" s="500">
        <f>F48+F58</f>
        <v>119685870.05628002</v>
      </c>
      <c r="G41" s="81">
        <f>G48+G58</f>
        <v>131574707.34621</v>
      </c>
      <c r="H41" s="501"/>
      <c r="I41" s="501"/>
      <c r="J41" s="501"/>
      <c r="K41" s="126"/>
      <c r="L41" s="499" t="s">
        <v>252</v>
      </c>
      <c r="M41" s="500">
        <f>M48+M58</f>
        <v>120892478.12313001</v>
      </c>
      <c r="N41" s="81">
        <f>N48+N58</f>
        <v>132894031.59946001</v>
      </c>
      <c r="O41" s="501"/>
      <c r="P41" s="501"/>
      <c r="Q41" s="501"/>
      <c r="R41" s="126"/>
      <c r="S41" s="499"/>
      <c r="T41" s="500"/>
      <c r="U41" s="81"/>
      <c r="V41" s="501"/>
      <c r="W41" s="517"/>
    </row>
    <row r="42" spans="2:23" x14ac:dyDescent="0.2">
      <c r="B42" s="526"/>
      <c r="C42" s="527"/>
      <c r="D42" s="528"/>
      <c r="E42" s="274"/>
      <c r="F42" s="519"/>
      <c r="G42" s="274"/>
      <c r="H42" s="274"/>
      <c r="I42" s="274"/>
      <c r="J42" s="274"/>
      <c r="K42" s="274"/>
      <c r="L42" s="274"/>
      <c r="M42" s="519"/>
      <c r="N42" s="274"/>
      <c r="O42" s="274"/>
      <c r="P42" s="274"/>
      <c r="Q42" s="274"/>
      <c r="R42" s="274"/>
      <c r="S42" s="274"/>
      <c r="T42" s="519"/>
      <c r="U42" s="274"/>
      <c r="V42" s="274"/>
      <c r="W42" s="520"/>
    </row>
    <row r="43" spans="2:23" x14ac:dyDescent="0.2">
      <c r="B43" s="87" t="s">
        <v>135</v>
      </c>
      <c r="C43" s="518"/>
      <c r="D43" s="274"/>
      <c r="E43" s="274"/>
      <c r="F43" s="519"/>
      <c r="G43" s="274"/>
      <c r="H43" s="274"/>
      <c r="I43" s="274"/>
      <c r="J43" s="274"/>
      <c r="K43" s="274"/>
      <c r="L43" s="274"/>
      <c r="M43" s="519"/>
      <c r="N43" s="274"/>
      <c r="O43" s="274"/>
      <c r="P43" s="274"/>
      <c r="Q43" s="274"/>
      <c r="R43" s="274"/>
      <c r="S43" s="274"/>
      <c r="T43" s="519"/>
      <c r="U43" s="274"/>
      <c r="V43" s="274"/>
      <c r="W43" s="520"/>
    </row>
    <row r="44" spans="2:23" x14ac:dyDescent="0.2">
      <c r="B44" s="88"/>
      <c r="C44" s="495"/>
      <c r="D44" s="47"/>
      <c r="E44" s="47"/>
      <c r="F44" s="495"/>
      <c r="G44" s="47"/>
      <c r="H44" s="47"/>
      <c r="I44" s="47"/>
      <c r="J44" s="47"/>
      <c r="K44" s="47"/>
      <c r="L44" s="47"/>
      <c r="M44" s="495"/>
      <c r="N44" s="47"/>
      <c r="O44" s="47"/>
      <c r="P44" s="47"/>
      <c r="Q44" s="47"/>
      <c r="R44" s="47"/>
      <c r="S44" s="47"/>
      <c r="T44" s="495"/>
      <c r="U44" s="47"/>
      <c r="V44" s="47"/>
      <c r="W44" s="529"/>
    </row>
    <row r="45" spans="2:23" x14ac:dyDescent="0.2">
      <c r="B45" s="75" t="s">
        <v>92</v>
      </c>
      <c r="C45" s="508">
        <f>'Exh JDT-5 (JDT-C&amp;I-RD)'!E12</f>
        <v>33.840000000000003</v>
      </c>
      <c r="D45" s="92">
        <f>'Exh JDT-5 (JDT-C&amp;I-RD)'!$H$12</f>
        <v>38.89</v>
      </c>
      <c r="E45" s="41">
        <v>709925</v>
      </c>
      <c r="F45" s="509">
        <f>SUM(+E45*C45)</f>
        <v>24023862.000000004</v>
      </c>
      <c r="G45" s="85">
        <f>SUM(+E45*D45)</f>
        <v>27608983.25</v>
      </c>
      <c r="H45" s="85"/>
      <c r="I45" s="85"/>
      <c r="J45" s="85"/>
      <c r="K45" s="47"/>
      <c r="L45" s="41">
        <v>713698</v>
      </c>
      <c r="M45" s="509">
        <f>SUM(+L45*C45)</f>
        <v>24151540.320000004</v>
      </c>
      <c r="N45" s="85">
        <f>SUM(+L45*D45)</f>
        <v>27755715.219999999</v>
      </c>
      <c r="O45" s="85"/>
      <c r="P45" s="85"/>
      <c r="Q45" s="85"/>
      <c r="R45" s="85"/>
      <c r="S45" s="41"/>
      <c r="T45" s="509"/>
      <c r="U45" s="85"/>
      <c r="V45" s="85"/>
      <c r="W45" s="507"/>
    </row>
    <row r="46" spans="2:23" x14ac:dyDescent="0.2">
      <c r="B46" s="88" t="s">
        <v>94</v>
      </c>
      <c r="C46" s="510">
        <f>'Exh JDT-5 (JDT-C&amp;I-RD)'!E13</f>
        <v>0.37956000000000001</v>
      </c>
      <c r="D46" s="78">
        <f>'Exh JDT-5 (JDT-C&amp;I-RD)'!$H$13</f>
        <v>0.41249000000000002</v>
      </c>
      <c r="E46" s="41">
        <v>243192248</v>
      </c>
      <c r="F46" s="509">
        <f t="shared" ref="F46:F47" si="0">SUM(+E46*C46)</f>
        <v>92306049.650880009</v>
      </c>
      <c r="G46" s="85">
        <f>SUM(+E46*D46)</f>
        <v>100314370.37752001</v>
      </c>
      <c r="H46" s="85"/>
      <c r="I46" s="85"/>
      <c r="J46" s="85"/>
      <c r="K46" s="47"/>
      <c r="L46" s="41">
        <v>245936243</v>
      </c>
      <c r="M46" s="509">
        <f t="shared" ref="M46:M47" si="1">SUM(+L46*C46)</f>
        <v>93347560.393079996</v>
      </c>
      <c r="N46" s="85">
        <f>SUM(+L46*D46)</f>
        <v>101446240.87507001</v>
      </c>
      <c r="O46" s="85"/>
      <c r="P46" s="85"/>
      <c r="Q46" s="85"/>
      <c r="R46" s="85"/>
      <c r="S46" s="41"/>
      <c r="T46" s="509"/>
      <c r="U46" s="85"/>
      <c r="V46" s="85"/>
      <c r="W46" s="507"/>
    </row>
    <row r="47" spans="2:23" x14ac:dyDescent="0.2">
      <c r="B47" s="88" t="s">
        <v>97</v>
      </c>
      <c r="C47" s="510">
        <f>'Exh JDT-5 (JDT-C&amp;I-RD)'!E14</f>
        <v>1.371E-2</v>
      </c>
      <c r="D47" s="78">
        <f>'Exh JDT-5 (JDT-C&amp;I-RD)'!$H$14</f>
        <v>1.4919999999999999E-2</v>
      </c>
      <c r="E47" s="41">
        <f>E46</f>
        <v>243192248</v>
      </c>
      <c r="F47" s="500">
        <f t="shared" si="0"/>
        <v>3334165.7200799999</v>
      </c>
      <c r="G47" s="81">
        <f>SUM(+E47*D47)</f>
        <v>3628428.3401599997</v>
      </c>
      <c r="H47" s="44"/>
      <c r="I47" s="85"/>
      <c r="J47" s="85"/>
      <c r="K47" s="47"/>
      <c r="L47" s="41">
        <f>L46</f>
        <v>245936243</v>
      </c>
      <c r="M47" s="509">
        <f t="shared" si="1"/>
        <v>3371785.8915300001</v>
      </c>
      <c r="N47" s="81">
        <f>SUM(+L47*D47)</f>
        <v>3669368.7455599997</v>
      </c>
      <c r="O47" s="85"/>
      <c r="P47" s="85"/>
      <c r="Q47" s="85"/>
      <c r="R47" s="85"/>
      <c r="S47" s="41"/>
      <c r="T47" s="500"/>
      <c r="U47" s="81"/>
      <c r="V47" s="85"/>
      <c r="W47" s="507"/>
    </row>
    <row r="48" spans="2:23" x14ac:dyDescent="0.2">
      <c r="B48" s="94" t="s">
        <v>268</v>
      </c>
      <c r="C48" s="521"/>
      <c r="D48" s="47"/>
      <c r="E48" s="47"/>
      <c r="F48" s="509">
        <f>SUM(F45:F47)</f>
        <v>119664077.37096001</v>
      </c>
      <c r="G48" s="85">
        <f>SUM(G45:G47)</f>
        <v>131551781.96768001</v>
      </c>
      <c r="H48" s="85"/>
      <c r="I48" s="85"/>
      <c r="J48" s="85"/>
      <c r="K48" s="47"/>
      <c r="L48" s="47"/>
      <c r="M48" s="511">
        <f>SUM(M45:M47)</f>
        <v>120870886.60461001</v>
      </c>
      <c r="N48" s="105">
        <f>SUM(N45:N47)</f>
        <v>132871324.84063001</v>
      </c>
      <c r="O48" s="85"/>
      <c r="P48" s="85"/>
      <c r="Q48" s="85"/>
      <c r="R48" s="85"/>
      <c r="S48" s="47"/>
      <c r="T48" s="511"/>
      <c r="U48" s="105"/>
      <c r="V48" s="85"/>
      <c r="W48" s="507"/>
    </row>
    <row r="49" spans="2:23" x14ac:dyDescent="0.2">
      <c r="B49" s="88" t="s">
        <v>269</v>
      </c>
      <c r="C49" s="495"/>
      <c r="D49" s="47"/>
      <c r="E49" s="47"/>
      <c r="F49" s="495"/>
      <c r="G49" s="85"/>
      <c r="H49" s="81">
        <f>H$40*E47</f>
        <v>-381811.82935999997</v>
      </c>
      <c r="I49" s="81">
        <f>I$40*E47</f>
        <v>10921763.85768</v>
      </c>
      <c r="J49" s="512">
        <f>J$40*E47</f>
        <v>732008.66648000001</v>
      </c>
      <c r="K49" s="47"/>
      <c r="L49" s="47"/>
      <c r="M49" s="495"/>
      <c r="N49" s="47"/>
      <c r="O49" s="81">
        <f>O$40*L47</f>
        <v>-6972292.48905</v>
      </c>
      <c r="P49" s="81">
        <f>P$40*L47</f>
        <v>22281823.615800001</v>
      </c>
      <c r="Q49" s="512">
        <f>Q$40*L47</f>
        <v>710755.74227000005</v>
      </c>
      <c r="R49" s="47"/>
      <c r="S49" s="47"/>
      <c r="T49" s="495"/>
      <c r="U49" s="47"/>
      <c r="V49" s="81"/>
      <c r="W49" s="517"/>
    </row>
    <row r="50" spans="2:23" x14ac:dyDescent="0.2">
      <c r="B50" s="94" t="str">
        <f>"Total "&amp;B43</f>
        <v>Total Schedule 31 - Sales</v>
      </c>
      <c r="C50" s="521"/>
      <c r="D50" s="47"/>
      <c r="E50" s="47"/>
      <c r="F50" s="495"/>
      <c r="G50" s="85"/>
      <c r="H50" s="85"/>
      <c r="I50" s="513">
        <f>G48+H49+I49</f>
        <v>142091733.99600002</v>
      </c>
      <c r="J50" s="95"/>
      <c r="K50" s="47"/>
      <c r="L50" s="47"/>
      <c r="M50" s="495"/>
      <c r="N50" s="47"/>
      <c r="O50" s="85"/>
      <c r="P50" s="513">
        <f>N48+O49+P49</f>
        <v>148180855.96738002</v>
      </c>
      <c r="Q50" s="95"/>
      <c r="R50" s="85"/>
      <c r="S50" s="47"/>
      <c r="T50" s="495"/>
      <c r="U50" s="47"/>
      <c r="V50" s="85"/>
      <c r="W50" s="529"/>
    </row>
    <row r="51" spans="2:23" x14ac:dyDescent="0.2">
      <c r="B51" s="79"/>
      <c r="C51" s="498"/>
      <c r="D51" s="80"/>
      <c r="E51" s="80"/>
      <c r="F51" s="498"/>
      <c r="G51" s="80"/>
      <c r="H51" s="80"/>
      <c r="I51" s="80"/>
      <c r="J51" s="80"/>
      <c r="K51" s="80"/>
      <c r="L51" s="80"/>
      <c r="M51" s="498"/>
      <c r="N51" s="80"/>
      <c r="O51" s="80"/>
      <c r="P51" s="80"/>
      <c r="Q51" s="80"/>
      <c r="R51" s="80"/>
      <c r="S51" s="80"/>
      <c r="T51" s="498"/>
      <c r="U51" s="80"/>
      <c r="V51" s="80"/>
      <c r="W51" s="530"/>
    </row>
    <row r="52" spans="2:23" x14ac:dyDescent="0.2">
      <c r="B52" s="87" t="s">
        <v>137</v>
      </c>
      <c r="C52" s="518"/>
      <c r="D52" s="274"/>
      <c r="E52" s="274"/>
      <c r="F52" s="519"/>
      <c r="G52" s="274"/>
      <c r="H52" s="274"/>
      <c r="I52" s="274"/>
      <c r="J52" s="274"/>
      <c r="K52" s="274"/>
      <c r="L52" s="274"/>
      <c r="M52" s="519"/>
      <c r="N52" s="274"/>
      <c r="O52" s="274"/>
      <c r="P52" s="274"/>
      <c r="Q52" s="274"/>
      <c r="R52" s="274"/>
      <c r="S52" s="274"/>
      <c r="T52" s="519"/>
      <c r="U52" s="274"/>
      <c r="V52" s="274"/>
      <c r="W52" s="520"/>
    </row>
    <row r="53" spans="2:23" x14ac:dyDescent="0.2">
      <c r="B53" s="88"/>
      <c r="C53" s="495"/>
      <c r="D53" s="47"/>
      <c r="E53" s="47"/>
      <c r="F53" s="495"/>
      <c r="G53" s="47"/>
      <c r="H53" s="47"/>
      <c r="I53" s="47"/>
      <c r="J53" s="47"/>
      <c r="K53" s="47"/>
      <c r="L53" s="47"/>
      <c r="M53" s="495"/>
      <c r="N53" s="47"/>
      <c r="O53" s="47"/>
      <c r="P53" s="47"/>
      <c r="Q53" s="47"/>
      <c r="R53" s="47"/>
      <c r="S53" s="47"/>
      <c r="T53" s="495"/>
      <c r="U53" s="47"/>
      <c r="V53" s="47"/>
      <c r="W53" s="529"/>
    </row>
    <row r="54" spans="2:23" x14ac:dyDescent="0.2">
      <c r="B54" s="75" t="s">
        <v>92</v>
      </c>
      <c r="C54" s="508">
        <f>'Exh JDT-5 (JDT-C&amp;I-RD)'!E22</f>
        <v>364.04</v>
      </c>
      <c r="D54" s="92">
        <f>'Exh JDT-5 (JDT-C&amp;I-RD)'!$H$22</f>
        <v>364.04</v>
      </c>
      <c r="E54" s="41">
        <v>24</v>
      </c>
      <c r="F54" s="509">
        <f t="shared" ref="F54:F55" si="2">SUM(+E54*C54)</f>
        <v>8736.9600000000009</v>
      </c>
      <c r="G54" s="85">
        <f>SUM(+E54*D54)</f>
        <v>8736.9600000000009</v>
      </c>
      <c r="H54" s="85"/>
      <c r="I54" s="85"/>
      <c r="J54" s="85"/>
      <c r="K54" s="47"/>
      <c r="L54" s="41">
        <v>24</v>
      </c>
      <c r="M54" s="509">
        <f t="shared" ref="M54:M55" si="3">SUM(+L54*C54)</f>
        <v>8736.9600000000009</v>
      </c>
      <c r="N54" s="85">
        <f>SUM(+L54*D54)</f>
        <v>8736.9600000000009</v>
      </c>
      <c r="O54" s="85"/>
      <c r="P54" s="85"/>
      <c r="Q54" s="85"/>
      <c r="R54" s="85"/>
      <c r="S54" s="41"/>
      <c r="T54" s="509"/>
      <c r="U54" s="85"/>
      <c r="V54" s="85"/>
      <c r="W54" s="507"/>
    </row>
    <row r="55" spans="2:23" x14ac:dyDescent="0.2">
      <c r="B55" s="88" t="s">
        <v>94</v>
      </c>
      <c r="C55" s="510">
        <f>'Exh JDT-5 (JDT-C&amp;I-RD)'!E23</f>
        <v>0.37956000000000001</v>
      </c>
      <c r="D55" s="78">
        <f>'Exh JDT-5 (JDT-C&amp;I-RD)'!$H$23</f>
        <v>0.41249000000000002</v>
      </c>
      <c r="E55" s="41">
        <v>34397</v>
      </c>
      <c r="F55" s="509">
        <f t="shared" si="2"/>
        <v>13055.72532</v>
      </c>
      <c r="G55" s="85">
        <f>SUM(+E55*D55)</f>
        <v>14188.418530000001</v>
      </c>
      <c r="H55" s="85"/>
      <c r="I55" s="85"/>
      <c r="J55" s="85"/>
      <c r="K55" s="47"/>
      <c r="L55" s="41">
        <v>33867</v>
      </c>
      <c r="M55" s="509">
        <f t="shared" si="3"/>
        <v>12854.55852</v>
      </c>
      <c r="N55" s="85">
        <f>SUM(+L55*D55)</f>
        <v>13969.798830000002</v>
      </c>
      <c r="O55" s="85"/>
      <c r="P55" s="85"/>
      <c r="Q55" s="85"/>
      <c r="R55" s="85"/>
      <c r="S55" s="41"/>
      <c r="T55" s="509"/>
      <c r="U55" s="85"/>
      <c r="V55" s="85"/>
      <c r="W55" s="507"/>
    </row>
    <row r="56" spans="2:23" x14ac:dyDescent="0.2">
      <c r="B56" s="75" t="s">
        <v>128</v>
      </c>
      <c r="C56" s="523"/>
      <c r="D56" s="47"/>
      <c r="E56" s="47"/>
      <c r="F56" s="509">
        <f>SUM(F54:F55)</f>
        <v>21792.685320000001</v>
      </c>
      <c r="G56" s="85">
        <f>SUM(G54:G55)</f>
        <v>22925.378530000002</v>
      </c>
      <c r="H56" s="85"/>
      <c r="I56" s="85"/>
      <c r="J56" s="85"/>
      <c r="K56" s="47"/>
      <c r="L56" s="47"/>
      <c r="M56" s="511">
        <f>SUM(M54:M55)</f>
        <v>21591.518520000001</v>
      </c>
      <c r="N56" s="105">
        <f>SUM(N54:N55)</f>
        <v>22706.758830000002</v>
      </c>
      <c r="O56" s="85"/>
      <c r="P56" s="85"/>
      <c r="Q56" s="85"/>
      <c r="R56" s="85"/>
      <c r="S56" s="47"/>
      <c r="T56" s="511"/>
      <c r="U56" s="105"/>
      <c r="V56" s="85"/>
      <c r="W56" s="507"/>
    </row>
    <row r="57" spans="2:23" x14ac:dyDescent="0.2">
      <c r="B57" s="88"/>
      <c r="C57" s="495"/>
      <c r="D57" s="47"/>
      <c r="E57" s="47"/>
      <c r="F57" s="495"/>
      <c r="G57" s="47"/>
      <c r="H57" s="47"/>
      <c r="I57" s="47"/>
      <c r="J57" s="47"/>
      <c r="K57" s="47"/>
      <c r="L57" s="47"/>
      <c r="M57" s="495"/>
      <c r="N57" s="47"/>
      <c r="O57" s="47"/>
      <c r="P57" s="47"/>
      <c r="Q57" s="47"/>
      <c r="R57" s="47"/>
      <c r="S57" s="47"/>
      <c r="T57" s="495"/>
      <c r="U57" s="47"/>
      <c r="V57" s="47"/>
      <c r="W57" s="529"/>
    </row>
    <row r="58" spans="2:23" x14ac:dyDescent="0.2">
      <c r="B58" s="94" t="s">
        <v>268</v>
      </c>
      <c r="C58" s="521"/>
      <c r="D58" s="47"/>
      <c r="E58" s="47"/>
      <c r="F58" s="511">
        <f>F56</f>
        <v>21792.685320000001</v>
      </c>
      <c r="G58" s="105">
        <f>G56</f>
        <v>22925.378530000002</v>
      </c>
      <c r="H58" s="85"/>
      <c r="I58" s="85"/>
      <c r="J58" s="85"/>
      <c r="K58" s="47"/>
      <c r="L58" s="47"/>
      <c r="M58" s="511">
        <f>M56</f>
        <v>21591.518520000001</v>
      </c>
      <c r="N58" s="105">
        <f>N56</f>
        <v>22706.758830000002</v>
      </c>
      <c r="O58" s="44"/>
      <c r="P58" s="44"/>
      <c r="Q58" s="85"/>
      <c r="R58" s="47"/>
      <c r="S58" s="47"/>
      <c r="T58" s="511"/>
      <c r="U58" s="105"/>
      <c r="V58" s="44"/>
      <c r="W58" s="507"/>
    </row>
    <row r="59" spans="2:23" x14ac:dyDescent="0.2">
      <c r="B59" s="88" t="s">
        <v>269</v>
      </c>
      <c r="C59" s="495"/>
      <c r="D59" s="47"/>
      <c r="E59" s="47"/>
      <c r="F59" s="495"/>
      <c r="G59" s="85"/>
      <c r="H59" s="81">
        <f>H$40*E55</f>
        <v>-54.00329</v>
      </c>
      <c r="I59" s="81">
        <f>I$40*E55</f>
        <v>1544.76927</v>
      </c>
      <c r="J59" s="85"/>
      <c r="K59" s="78"/>
      <c r="L59" s="78"/>
      <c r="M59" s="510"/>
      <c r="N59" s="78"/>
      <c r="O59" s="81">
        <f>O$40*L55</f>
        <v>-960.12945000000002</v>
      </c>
      <c r="P59" s="81">
        <f>P$40*L55</f>
        <v>3068.3501999999999</v>
      </c>
      <c r="Q59" s="85"/>
      <c r="R59" s="78"/>
      <c r="S59" s="78"/>
      <c r="T59" s="510"/>
      <c r="U59" s="78"/>
      <c r="V59" s="81"/>
      <c r="W59" s="517"/>
    </row>
    <row r="60" spans="2:23" x14ac:dyDescent="0.2">
      <c r="B60" s="94" t="str">
        <f>"Total "&amp;B52</f>
        <v>Total Schedule 31 - Transportation</v>
      </c>
      <c r="C60" s="521"/>
      <c r="D60" s="47"/>
      <c r="E60" s="47"/>
      <c r="F60" s="495"/>
      <c r="G60" s="85"/>
      <c r="H60" s="85"/>
      <c r="I60" s="95">
        <f>G58+H59+I59</f>
        <v>24416.144510000002</v>
      </c>
      <c r="J60" s="95"/>
      <c r="K60" s="47"/>
      <c r="L60" s="47"/>
      <c r="M60" s="495"/>
      <c r="N60" s="85"/>
      <c r="O60" s="85"/>
      <c r="P60" s="513">
        <f>N58+O59+P59</f>
        <v>24814.979580000003</v>
      </c>
      <c r="Q60" s="95"/>
      <c r="R60" s="47"/>
      <c r="S60" s="47"/>
      <c r="T60" s="495"/>
      <c r="U60" s="85"/>
      <c r="V60" s="85"/>
      <c r="W60" s="531"/>
    </row>
    <row r="61" spans="2:23" x14ac:dyDescent="0.2">
      <c r="B61" s="79"/>
      <c r="C61" s="498"/>
      <c r="D61" s="109"/>
      <c r="E61" s="80"/>
      <c r="F61" s="498"/>
      <c r="G61" s="80"/>
      <c r="H61" s="80"/>
      <c r="I61" s="80"/>
      <c r="J61" s="80"/>
      <c r="K61" s="80"/>
      <c r="L61" s="80"/>
      <c r="M61" s="498"/>
      <c r="N61" s="80"/>
      <c r="O61" s="80"/>
      <c r="P61" s="80"/>
      <c r="Q61" s="80"/>
      <c r="R61" s="80"/>
      <c r="S61" s="80"/>
      <c r="T61" s="498"/>
      <c r="U61" s="80"/>
      <c r="V61" s="80"/>
      <c r="W61" s="530"/>
    </row>
    <row r="62" spans="2:23" x14ac:dyDescent="0.2">
      <c r="B62" s="44"/>
      <c r="C62" s="469"/>
      <c r="G62" s="44"/>
      <c r="H62" s="44"/>
      <c r="I62" s="44"/>
      <c r="J62" s="44"/>
      <c r="K62" s="44"/>
      <c r="N62" s="44"/>
      <c r="O62" s="44"/>
      <c r="P62" s="44"/>
      <c r="Q62" s="44"/>
      <c r="R62" s="44"/>
      <c r="U62" s="44"/>
      <c r="V62" s="44"/>
      <c r="W62" s="44"/>
    </row>
    <row r="63" spans="2:23" x14ac:dyDescent="0.2">
      <c r="B63" s="488" t="s">
        <v>271</v>
      </c>
      <c r="C63" s="489"/>
      <c r="D63" s="74"/>
      <c r="E63" s="17">
        <f>E77+E93</f>
        <v>92387406</v>
      </c>
      <c r="F63" s="490"/>
      <c r="G63" s="105"/>
      <c r="H63" s="105">
        <v>-69130.626791916744</v>
      </c>
      <c r="I63" s="105">
        <v>1983337.389720852</v>
      </c>
      <c r="J63" s="491">
        <v>151679.99799864666</v>
      </c>
      <c r="K63" s="492"/>
      <c r="L63" s="17">
        <f>L77+L93</f>
        <v>93400775</v>
      </c>
      <c r="M63" s="490"/>
      <c r="N63" s="492"/>
      <c r="O63" s="105">
        <v>-1265966.8225644403</v>
      </c>
      <c r="P63" s="105">
        <v>4046467.865445124</v>
      </c>
      <c r="Q63" s="491">
        <v>147397.23749979044</v>
      </c>
      <c r="R63" s="492"/>
      <c r="S63" s="17"/>
      <c r="T63" s="490"/>
      <c r="U63" s="493"/>
      <c r="V63" s="105"/>
      <c r="W63" s="494"/>
    </row>
    <row r="64" spans="2:23" x14ac:dyDescent="0.2">
      <c r="B64" s="88"/>
      <c r="C64" s="495"/>
      <c r="D64" s="47"/>
      <c r="E64" s="47"/>
      <c r="F64" s="495"/>
      <c r="G64" s="127" t="s">
        <v>267</v>
      </c>
      <c r="H64" s="78">
        <f>ROUND(H63/E63, 5)</f>
        <v>-7.5000000000000002E-4</v>
      </c>
      <c r="I64" s="78">
        <f>ROUND(I63/E63, 5)</f>
        <v>2.147E-2</v>
      </c>
      <c r="J64" s="496">
        <f>ROUND(J63/E77, 5)</f>
        <v>2.2699999999999999E-3</v>
      </c>
      <c r="L64" s="47"/>
      <c r="M64" s="495"/>
      <c r="N64" s="92"/>
      <c r="O64" s="78">
        <f>ROUND(O63/L63, 5)</f>
        <v>-1.355E-2</v>
      </c>
      <c r="P64" s="78">
        <f>ROUND(P63/L63, 5)</f>
        <v>4.3319999999999997E-2</v>
      </c>
      <c r="Q64" s="496">
        <f>ROUND(Q63/L77, 5)</f>
        <v>2.2000000000000001E-3</v>
      </c>
      <c r="S64" s="47"/>
      <c r="T64" s="495"/>
      <c r="U64" s="92"/>
      <c r="V64" s="78"/>
      <c r="W64" s="497"/>
    </row>
    <row r="65" spans="2:23" x14ac:dyDescent="0.2">
      <c r="B65" s="79"/>
      <c r="C65" s="498"/>
      <c r="D65" s="80"/>
      <c r="E65" s="499" t="s">
        <v>252</v>
      </c>
      <c r="F65" s="500">
        <f>F79+F96</f>
        <v>21705020.029999997</v>
      </c>
      <c r="G65" s="81">
        <f>G79+G96</f>
        <v>23329049.833149999</v>
      </c>
      <c r="H65" s="501"/>
      <c r="I65" s="501"/>
      <c r="J65" s="501"/>
      <c r="K65" s="126"/>
      <c r="L65" s="499" t="s">
        <v>252</v>
      </c>
      <c r="M65" s="500">
        <f>M79+M96</f>
        <v>21813071.000000004</v>
      </c>
      <c r="N65" s="81">
        <f>N79+N96</f>
        <v>23444839.643789999</v>
      </c>
      <c r="O65" s="501"/>
      <c r="P65" s="501"/>
      <c r="Q65" s="501"/>
      <c r="R65" s="126"/>
      <c r="S65" s="499"/>
      <c r="T65" s="500"/>
      <c r="U65" s="81"/>
      <c r="V65" s="501"/>
      <c r="W65" s="517"/>
    </row>
    <row r="66" spans="2:23" x14ac:dyDescent="0.2">
      <c r="B66" s="526"/>
      <c r="C66" s="527"/>
      <c r="D66" s="528"/>
      <c r="E66" s="274"/>
      <c r="F66" s="519"/>
      <c r="G66" s="274"/>
      <c r="H66" s="274"/>
      <c r="I66" s="274"/>
      <c r="J66" s="274"/>
      <c r="K66" s="274"/>
      <c r="L66" s="274"/>
      <c r="M66" s="519"/>
      <c r="N66" s="274"/>
      <c r="O66" s="274"/>
      <c r="P66" s="274"/>
      <c r="Q66" s="274"/>
      <c r="R66" s="274"/>
      <c r="S66" s="274"/>
      <c r="T66" s="519"/>
      <c r="U66" s="274"/>
      <c r="V66" s="274"/>
      <c r="W66" s="520"/>
    </row>
    <row r="67" spans="2:23" x14ac:dyDescent="0.2">
      <c r="B67" s="87" t="s">
        <v>139</v>
      </c>
      <c r="C67" s="518"/>
      <c r="D67" s="274"/>
      <c r="E67" s="274"/>
      <c r="F67" s="519"/>
      <c r="G67" s="274"/>
      <c r="H67" s="274"/>
      <c r="I67" s="274"/>
      <c r="J67" s="274"/>
      <c r="K67" s="274"/>
      <c r="L67" s="274"/>
      <c r="M67" s="519"/>
      <c r="N67" s="274"/>
      <c r="O67" s="274"/>
      <c r="P67" s="274"/>
      <c r="Q67" s="274"/>
      <c r="R67" s="274"/>
      <c r="S67" s="274"/>
      <c r="T67" s="519"/>
      <c r="U67" s="274"/>
      <c r="V67" s="274"/>
      <c r="W67" s="520"/>
    </row>
    <row r="68" spans="2:23" x14ac:dyDescent="0.2">
      <c r="B68" s="88"/>
      <c r="C68" s="495"/>
      <c r="D68" s="47"/>
      <c r="E68" s="47"/>
      <c r="F68" s="495"/>
      <c r="G68" s="47"/>
      <c r="H68" s="47"/>
      <c r="I68" s="47"/>
      <c r="J68" s="47"/>
      <c r="K68" s="47"/>
      <c r="L68" s="47"/>
      <c r="M68" s="495"/>
      <c r="N68" s="47"/>
      <c r="O68" s="47"/>
      <c r="P68" s="47"/>
      <c r="Q68" s="47"/>
      <c r="R68" s="47"/>
      <c r="S68" s="47"/>
      <c r="T68" s="495"/>
      <c r="U68" s="47"/>
      <c r="V68" s="47"/>
      <c r="W68" s="529"/>
    </row>
    <row r="69" spans="2:23" x14ac:dyDescent="0.2">
      <c r="B69" s="75" t="s">
        <v>92</v>
      </c>
      <c r="C69" s="508">
        <f>'Exh JDT-5 (JDT-C&amp;I-RD)'!E41</f>
        <v>113.4</v>
      </c>
      <c r="D69" s="92">
        <f>'Exh JDT-5 (JDT-C&amp;I-RD)'!$H$41</f>
        <v>130.33000000000001</v>
      </c>
      <c r="E69" s="41">
        <v>15609</v>
      </c>
      <c r="F69" s="509">
        <f>SUM(+E69*C69)</f>
        <v>1770060.6</v>
      </c>
      <c r="G69" s="85">
        <f>SUM(+E69*D69)</f>
        <v>2034320.9700000002</v>
      </c>
      <c r="H69" s="85"/>
      <c r="I69" s="85"/>
      <c r="J69" s="85"/>
      <c r="K69" s="47"/>
      <c r="L69" s="41">
        <v>15603</v>
      </c>
      <c r="M69" s="509">
        <f>SUM(+L69*C69)</f>
        <v>1769380.2000000002</v>
      </c>
      <c r="N69" s="85">
        <f>SUM(+L69*D69)</f>
        <v>2033538.9900000002</v>
      </c>
      <c r="O69" s="85"/>
      <c r="P69" s="85"/>
      <c r="Q69" s="85"/>
      <c r="R69" s="47"/>
      <c r="S69" s="41"/>
      <c r="T69" s="509"/>
      <c r="U69" s="85"/>
      <c r="V69" s="85"/>
      <c r="W69" s="507"/>
    </row>
    <row r="70" spans="2:23" x14ac:dyDescent="0.2">
      <c r="B70" s="88" t="s">
        <v>99</v>
      </c>
      <c r="C70" s="508">
        <f>'Exh JDT-5 (JDT-C&amp;I-RD)'!E42</f>
        <v>123.82</v>
      </c>
      <c r="D70" s="92">
        <f>'Exh JDT-5 (JDT-C&amp;I-RD)'!$H$42</f>
        <v>126.28</v>
      </c>
      <c r="E70" s="41">
        <f>E69</f>
        <v>15609</v>
      </c>
      <c r="F70" s="509">
        <f t="shared" ref="F70:F71" si="4">SUM(+E70*C70)</f>
        <v>1932706.38</v>
      </c>
      <c r="G70" s="85">
        <f>SUM(+E70*D70)</f>
        <v>1971104.52</v>
      </c>
      <c r="H70" s="85"/>
      <c r="I70" s="85"/>
      <c r="J70" s="85"/>
      <c r="K70" s="47"/>
      <c r="L70" s="41">
        <f>L69</f>
        <v>15603</v>
      </c>
      <c r="M70" s="509">
        <f>SUM(+L70*C70)</f>
        <v>1931963.46</v>
      </c>
      <c r="N70" s="85">
        <f>SUM(+L70*D70)</f>
        <v>1970346.84</v>
      </c>
      <c r="O70" s="85"/>
      <c r="P70" s="85"/>
      <c r="Q70" s="85"/>
      <c r="R70" s="47"/>
      <c r="S70" s="41"/>
      <c r="T70" s="509"/>
      <c r="U70" s="85"/>
      <c r="V70" s="85"/>
      <c r="W70" s="507"/>
    </row>
    <row r="71" spans="2:23" x14ac:dyDescent="0.2">
      <c r="B71" s="88" t="s">
        <v>100</v>
      </c>
      <c r="C71" s="508">
        <f>'Exh JDT-5 (JDT-C&amp;I-RD)'!E43</f>
        <v>1.25</v>
      </c>
      <c r="D71" s="92">
        <f>'Exh JDT-5 (JDT-C&amp;I-RD)'!$H$43</f>
        <v>1.37</v>
      </c>
      <c r="E71" s="41">
        <v>4682844</v>
      </c>
      <c r="F71" s="500">
        <f t="shared" si="4"/>
        <v>5853555</v>
      </c>
      <c r="G71" s="81">
        <f>SUM(+E71*D71)</f>
        <v>6415496.2800000003</v>
      </c>
      <c r="H71" s="85"/>
      <c r="I71" s="85"/>
      <c r="J71" s="85"/>
      <c r="K71" s="47"/>
      <c r="L71" s="41">
        <v>4682844</v>
      </c>
      <c r="M71" s="500">
        <f>SUM(+L71*C71)</f>
        <v>5853555</v>
      </c>
      <c r="N71" s="81">
        <f>SUM(+L71*D71)</f>
        <v>6415496.2800000003</v>
      </c>
      <c r="O71" s="85"/>
      <c r="P71" s="85"/>
      <c r="Q71" s="85"/>
      <c r="R71" s="47"/>
      <c r="S71" s="41"/>
      <c r="T71" s="500"/>
      <c r="U71" s="81"/>
      <c r="V71" s="85"/>
      <c r="W71" s="507"/>
    </row>
    <row r="72" spans="2:23" x14ac:dyDescent="0.2">
      <c r="B72" s="88"/>
      <c r="C72" s="495"/>
      <c r="D72" s="92"/>
      <c r="E72" s="47"/>
      <c r="F72" s="495"/>
      <c r="G72" s="47"/>
      <c r="H72" s="47"/>
      <c r="I72" s="47"/>
      <c r="J72" s="47"/>
      <c r="K72" s="47"/>
      <c r="L72" s="47"/>
      <c r="M72" s="495"/>
      <c r="N72" s="47"/>
      <c r="O72" s="47"/>
      <c r="P72" s="47"/>
      <c r="Q72" s="47"/>
      <c r="R72" s="47"/>
      <c r="S72" s="47"/>
      <c r="T72" s="495"/>
      <c r="U72" s="47"/>
      <c r="V72" s="47"/>
      <c r="W72" s="507"/>
    </row>
    <row r="73" spans="2:23" x14ac:dyDescent="0.2">
      <c r="B73" s="88" t="s">
        <v>101</v>
      </c>
      <c r="C73" s="495"/>
      <c r="D73" s="92"/>
      <c r="E73" s="47"/>
      <c r="F73" s="495"/>
      <c r="G73" s="47"/>
      <c r="H73" s="47"/>
      <c r="I73" s="47"/>
      <c r="J73" s="47"/>
      <c r="K73" s="47"/>
      <c r="L73" s="47"/>
      <c r="M73" s="495"/>
      <c r="N73" s="47"/>
      <c r="O73" s="47"/>
      <c r="P73" s="47"/>
      <c r="Q73" s="47"/>
      <c r="R73" s="47"/>
      <c r="S73" s="47"/>
      <c r="T73" s="495"/>
      <c r="U73" s="47"/>
      <c r="V73" s="47"/>
      <c r="W73" s="507"/>
    </row>
    <row r="74" spans="2:23" x14ac:dyDescent="0.2">
      <c r="B74" s="88" t="s">
        <v>102</v>
      </c>
      <c r="C74" s="510">
        <f>'Exh JDT-5 (JDT-C&amp;I-RD)'!E46</f>
        <v>0.13758000000000001</v>
      </c>
      <c r="D74" s="78">
        <f>'Exh JDT-5 (JDT-C&amp;I-RD)'!$H$46</f>
        <v>0.14030999999999999</v>
      </c>
      <c r="E74" s="41">
        <v>13187913.90979786</v>
      </c>
      <c r="F74" s="509" t="s">
        <v>103</v>
      </c>
      <c r="G74" s="85" t="s">
        <v>103</v>
      </c>
      <c r="H74" s="85"/>
      <c r="I74" s="85"/>
      <c r="J74" s="85"/>
      <c r="K74" s="47"/>
      <c r="L74" s="41">
        <v>13204762.568891775</v>
      </c>
      <c r="M74" s="509" t="s">
        <v>103</v>
      </c>
      <c r="N74" s="85" t="s">
        <v>103</v>
      </c>
      <c r="O74" s="85"/>
      <c r="P74" s="85"/>
      <c r="Q74" s="85"/>
      <c r="R74" s="47"/>
      <c r="S74" s="41"/>
      <c r="T74" s="509"/>
      <c r="U74" s="85"/>
      <c r="V74" s="85"/>
      <c r="W74" s="507"/>
    </row>
    <row r="75" spans="2:23" x14ac:dyDescent="0.2">
      <c r="B75" s="88" t="s">
        <v>104</v>
      </c>
      <c r="C75" s="510">
        <f>'Exh JDT-5 (JDT-C&amp;I-RD)'!E47</f>
        <v>0.13758000000000001</v>
      </c>
      <c r="D75" s="78">
        <f>'Exh JDT-5 (JDT-C&amp;I-RD)'!$H$47</f>
        <v>0.14030999999999999</v>
      </c>
      <c r="E75" s="41">
        <v>29570821.950464178</v>
      </c>
      <c r="F75" s="509">
        <f>ROUND(E75*C75,2)</f>
        <v>4068353.68</v>
      </c>
      <c r="G75" s="85">
        <f>ROUND(E75*D75,2)</f>
        <v>4149082.03</v>
      </c>
      <c r="H75" s="85"/>
      <c r="I75" s="85"/>
      <c r="J75" s="85"/>
      <c r="K75" s="47"/>
      <c r="L75" s="41">
        <v>29590375.242762744</v>
      </c>
      <c r="M75" s="509">
        <f>ROUND(L75*C75,2)</f>
        <v>4071043.83</v>
      </c>
      <c r="N75" s="85">
        <f>ROUND(L75*D75,2)</f>
        <v>4151825.55</v>
      </c>
      <c r="O75" s="85"/>
      <c r="P75" s="85"/>
      <c r="Q75" s="85"/>
      <c r="R75" s="47"/>
      <c r="S75" s="41"/>
      <c r="T75" s="509"/>
      <c r="U75" s="85"/>
      <c r="V75" s="85"/>
      <c r="W75" s="507"/>
    </row>
    <row r="76" spans="2:23" x14ac:dyDescent="0.2">
      <c r="B76" s="88" t="s">
        <v>105</v>
      </c>
      <c r="C76" s="510">
        <f>'Exh JDT-5 (JDT-C&amp;I-RD)'!E48</f>
        <v>0.11074000000000001</v>
      </c>
      <c r="D76" s="78">
        <f>'Exh JDT-5 (JDT-C&amp;I-RD)'!$H$48</f>
        <v>0.12131</v>
      </c>
      <c r="E76" s="41">
        <v>24164149.139737964</v>
      </c>
      <c r="F76" s="509">
        <f>ROUND(E76*C76,2)</f>
        <v>2675937.88</v>
      </c>
      <c r="G76" s="85">
        <f>ROUND(E76*D76,2)</f>
        <v>2931352.93</v>
      </c>
      <c r="H76" s="85"/>
      <c r="I76" s="85"/>
      <c r="J76" s="85"/>
      <c r="K76" s="47"/>
      <c r="L76" s="41">
        <v>24095403.188345484</v>
      </c>
      <c r="M76" s="509">
        <f>ROUND(L76*C76,2)</f>
        <v>2668324.9500000002</v>
      </c>
      <c r="N76" s="85">
        <f>ROUND(L76*D76,2)</f>
        <v>2923013.36</v>
      </c>
      <c r="O76" s="85"/>
      <c r="P76" s="85"/>
      <c r="Q76" s="85"/>
      <c r="R76" s="47"/>
      <c r="S76" s="41"/>
      <c r="T76" s="509"/>
      <c r="U76" s="85"/>
      <c r="V76" s="85"/>
      <c r="W76" s="507"/>
    </row>
    <row r="77" spans="2:23" x14ac:dyDescent="0.2">
      <c r="B77" s="75" t="s">
        <v>106</v>
      </c>
      <c r="C77" s="524"/>
      <c r="D77" s="41"/>
      <c r="E77" s="17">
        <f>SUM(E74:E76)</f>
        <v>66922885</v>
      </c>
      <c r="F77" s="524"/>
      <c r="G77" s="47"/>
      <c r="H77" s="47"/>
      <c r="I77" s="47"/>
      <c r="J77" s="47"/>
      <c r="K77" s="47"/>
      <c r="L77" s="17">
        <f>SUM(L74:L76)</f>
        <v>66890541.000000007</v>
      </c>
      <c r="M77" s="495"/>
      <c r="N77" s="47"/>
      <c r="O77" s="47"/>
      <c r="P77" s="47"/>
      <c r="Q77" s="47"/>
      <c r="R77" s="47"/>
      <c r="S77" s="17"/>
      <c r="T77" s="524"/>
      <c r="U77" s="47"/>
      <c r="V77" s="47"/>
      <c r="W77" s="507"/>
    </row>
    <row r="78" spans="2:23" x14ac:dyDescent="0.2">
      <c r="B78" s="75" t="s">
        <v>97</v>
      </c>
      <c r="C78" s="510">
        <f>'Exh JDT-5 (JDT-C&amp;I-RD)'!E50</f>
        <v>1.005E-2</v>
      </c>
      <c r="D78" s="78">
        <f>'Exh JDT-5 (JDT-C&amp;I-RD)'!$H$50</f>
        <v>1.119E-2</v>
      </c>
      <c r="E78" s="41">
        <f>E77</f>
        <v>66922885</v>
      </c>
      <c r="F78" s="500">
        <f>ROUND(E78*C78,2)</f>
        <v>672574.99</v>
      </c>
      <c r="G78" s="133">
        <f>E78*D78</f>
        <v>748867.08314999996</v>
      </c>
      <c r="H78" s="91"/>
      <c r="I78" s="91"/>
      <c r="J78" s="91"/>
      <c r="K78" s="47"/>
      <c r="L78" s="41">
        <f>L77</f>
        <v>66890541.000000007</v>
      </c>
      <c r="M78" s="500">
        <f>ROUND(L78*C78,2)</f>
        <v>672249.94</v>
      </c>
      <c r="N78" s="133">
        <f>L78*D78</f>
        <v>748505.15379000013</v>
      </c>
      <c r="O78" s="91"/>
      <c r="P78" s="91"/>
      <c r="Q78" s="91"/>
      <c r="R78" s="47"/>
      <c r="S78" s="41"/>
      <c r="T78" s="500"/>
      <c r="U78" s="133"/>
      <c r="V78" s="91"/>
      <c r="W78" s="507"/>
    </row>
    <row r="79" spans="2:23" x14ac:dyDescent="0.2">
      <c r="B79" s="94" t="s">
        <v>268</v>
      </c>
      <c r="C79" s="521"/>
      <c r="D79" s="41"/>
      <c r="E79" s="47"/>
      <c r="F79" s="532">
        <f>SUM(F69:F78)</f>
        <v>16973188.529999997</v>
      </c>
      <c r="G79" s="131">
        <f>SUM(G69:G78)</f>
        <v>18250223.81315</v>
      </c>
      <c r="H79" s="91"/>
      <c r="I79" s="91"/>
      <c r="J79" s="91"/>
      <c r="K79" s="47"/>
      <c r="L79" s="47"/>
      <c r="M79" s="532">
        <f>SUM(M69:M78)</f>
        <v>16966517.380000003</v>
      </c>
      <c r="N79" s="131">
        <f>SUM(N69:N78)</f>
        <v>18242726.17379</v>
      </c>
      <c r="O79" s="91"/>
      <c r="P79" s="91"/>
      <c r="Q79" s="91"/>
      <c r="R79" s="47"/>
      <c r="S79" s="47"/>
      <c r="T79" s="532"/>
      <c r="U79" s="131"/>
      <c r="V79" s="91"/>
      <c r="W79" s="507"/>
    </row>
    <row r="80" spans="2:23" x14ac:dyDescent="0.2">
      <c r="B80" s="88" t="s">
        <v>269</v>
      </c>
      <c r="C80" s="495"/>
      <c r="D80" s="47"/>
      <c r="E80" s="47"/>
      <c r="F80" s="495"/>
      <c r="G80" s="85"/>
      <c r="H80" s="81">
        <f>H$64*E78</f>
        <v>-50192.16375</v>
      </c>
      <c r="I80" s="81">
        <f>I$64*E78</f>
        <v>1436834.3409499999</v>
      </c>
      <c r="J80" s="512">
        <f>J$64*E78</f>
        <v>151914.94894999999</v>
      </c>
      <c r="K80" s="47"/>
      <c r="L80" s="47"/>
      <c r="M80" s="495"/>
      <c r="N80" s="85"/>
      <c r="O80" s="81">
        <f>O$64*L78</f>
        <v>-906366.83055000007</v>
      </c>
      <c r="P80" s="81">
        <f>P$64*L78</f>
        <v>2897698.23612</v>
      </c>
      <c r="Q80" s="512">
        <f>Q$64*L78</f>
        <v>147159.19020000001</v>
      </c>
      <c r="R80" s="47"/>
      <c r="S80" s="47"/>
      <c r="T80" s="495"/>
      <c r="U80" s="85"/>
      <c r="V80" s="81"/>
      <c r="W80" s="517"/>
    </row>
    <row r="81" spans="2:23" x14ac:dyDescent="0.2">
      <c r="B81" s="94" t="str">
        <f>"Total "&amp;B67</f>
        <v>Total Schedule 41 - Sales</v>
      </c>
      <c r="C81" s="521"/>
      <c r="D81" s="47"/>
      <c r="E81" s="47"/>
      <c r="F81" s="495"/>
      <c r="G81" s="85"/>
      <c r="H81" s="85"/>
      <c r="I81" s="513">
        <f>G79+H80+I80</f>
        <v>19636865.990350001</v>
      </c>
      <c r="J81" s="95"/>
      <c r="K81" s="47"/>
      <c r="L81" s="47"/>
      <c r="M81" s="495"/>
      <c r="N81" s="85"/>
      <c r="O81" s="85"/>
      <c r="P81" s="513">
        <f>N79+O80+P80</f>
        <v>20234057.579360001</v>
      </c>
      <c r="Q81" s="95"/>
      <c r="R81" s="47"/>
      <c r="S81" s="47"/>
      <c r="T81" s="495"/>
      <c r="U81" s="85"/>
      <c r="V81" s="85"/>
      <c r="W81" s="531"/>
    </row>
    <row r="82" spans="2:23" x14ac:dyDescent="0.2">
      <c r="B82" s="79"/>
      <c r="C82" s="498"/>
      <c r="D82" s="80"/>
      <c r="E82" s="80"/>
      <c r="F82" s="498"/>
      <c r="G82" s="80"/>
      <c r="H82" s="80"/>
      <c r="I82" s="80"/>
      <c r="J82" s="80"/>
      <c r="K82" s="80"/>
      <c r="L82" s="80"/>
      <c r="M82" s="498"/>
      <c r="N82" s="80"/>
      <c r="O82" s="80"/>
      <c r="P82" s="80"/>
      <c r="Q82" s="80"/>
      <c r="R82" s="80"/>
      <c r="S82" s="80"/>
      <c r="T82" s="498"/>
      <c r="U82" s="80"/>
      <c r="V82" s="80"/>
      <c r="W82" s="530"/>
    </row>
    <row r="83" spans="2:23" x14ac:dyDescent="0.2">
      <c r="B83" s="87" t="s">
        <v>141</v>
      </c>
      <c r="C83" s="518"/>
      <c r="D83" s="274"/>
      <c r="E83" s="274"/>
      <c r="F83" s="519"/>
      <c r="G83" s="274"/>
      <c r="H83" s="274"/>
      <c r="I83" s="274"/>
      <c r="J83" s="274"/>
      <c r="K83" s="274"/>
      <c r="L83" s="274"/>
      <c r="M83" s="519"/>
      <c r="N83" s="274"/>
      <c r="O83" s="274"/>
      <c r="P83" s="274"/>
      <c r="Q83" s="274"/>
      <c r="R83" s="274"/>
      <c r="S83" s="274"/>
      <c r="T83" s="519"/>
      <c r="U83" s="274"/>
      <c r="V83" s="274"/>
      <c r="W83" s="520"/>
    </row>
    <row r="84" spans="2:23" x14ac:dyDescent="0.2">
      <c r="B84" s="88"/>
      <c r="C84" s="495"/>
      <c r="D84" s="47"/>
      <c r="E84" s="47"/>
      <c r="F84" s="495"/>
      <c r="G84" s="47"/>
      <c r="H84" s="47"/>
      <c r="I84" s="47"/>
      <c r="J84" s="47"/>
      <c r="K84" s="47"/>
      <c r="L84" s="47"/>
      <c r="M84" s="495"/>
      <c r="N84" s="47"/>
      <c r="O84" s="47"/>
      <c r="P84" s="47"/>
      <c r="Q84" s="47"/>
      <c r="R84" s="47"/>
      <c r="S84" s="47"/>
      <c r="T84" s="495"/>
      <c r="U84" s="47"/>
      <c r="V84" s="47"/>
      <c r="W84" s="529"/>
    </row>
    <row r="85" spans="2:23" x14ac:dyDescent="0.2">
      <c r="B85" s="75" t="s">
        <v>92</v>
      </c>
      <c r="C85" s="508">
        <f>'Exh JDT-5 (JDT-C&amp;I-RD)'!E58</f>
        <v>422.79</v>
      </c>
      <c r="D85" s="92">
        <f>'Exh JDT-5 (JDT-C&amp;I-RD)'!$H$58</f>
        <v>422.79</v>
      </c>
      <c r="E85" s="41">
        <v>1032</v>
      </c>
      <c r="F85" s="509">
        <f>SUM(+E85*C85)</f>
        <v>436319.28</v>
      </c>
      <c r="G85" s="85">
        <f>SUM(+E85*D85)</f>
        <v>436319.28</v>
      </c>
      <c r="H85" s="85"/>
      <c r="I85" s="85"/>
      <c r="J85" s="85"/>
      <c r="K85" s="47"/>
      <c r="L85" s="41">
        <v>1032</v>
      </c>
      <c r="M85" s="509">
        <f>SUM(+L85*C85)</f>
        <v>436319.28</v>
      </c>
      <c r="N85" s="85">
        <f>SUM(+L85*D85)</f>
        <v>436319.28</v>
      </c>
      <c r="O85" s="85"/>
      <c r="P85" s="85"/>
      <c r="Q85" s="85"/>
      <c r="R85" s="47"/>
      <c r="S85" s="41"/>
      <c r="T85" s="509"/>
      <c r="U85" s="85"/>
      <c r="V85" s="85"/>
      <c r="W85" s="507"/>
    </row>
    <row r="86" spans="2:23" x14ac:dyDescent="0.2">
      <c r="B86" s="88" t="s">
        <v>99</v>
      </c>
      <c r="C86" s="508">
        <f>'Exh JDT-5 (JDT-C&amp;I-RD)'!E59</f>
        <v>123.82</v>
      </c>
      <c r="D86" s="92">
        <f>'Exh JDT-5 (JDT-C&amp;I-RD)'!$H$59</f>
        <v>126.28</v>
      </c>
      <c r="E86" s="41">
        <f>E85</f>
        <v>1032</v>
      </c>
      <c r="F86" s="509">
        <f t="shared" ref="F86:F87" si="5">SUM(+E86*C86)</f>
        <v>127782.23999999999</v>
      </c>
      <c r="G86" s="85">
        <f>SUM(+E86*D86)</f>
        <v>130320.96000000001</v>
      </c>
      <c r="H86" s="85"/>
      <c r="I86" s="85"/>
      <c r="J86" s="85"/>
      <c r="K86" s="47"/>
      <c r="L86" s="41">
        <f>L85</f>
        <v>1032</v>
      </c>
      <c r="M86" s="509">
        <f>SUM(+L86*C86)</f>
        <v>127782.23999999999</v>
      </c>
      <c r="N86" s="85">
        <f>SUM(+L86*D86)</f>
        <v>130320.96000000001</v>
      </c>
      <c r="O86" s="85"/>
      <c r="P86" s="85"/>
      <c r="Q86" s="85"/>
      <c r="R86" s="47"/>
      <c r="S86" s="41"/>
      <c r="T86" s="509"/>
      <c r="U86" s="85"/>
      <c r="V86" s="85"/>
      <c r="W86" s="507"/>
    </row>
    <row r="87" spans="2:23" x14ac:dyDescent="0.2">
      <c r="B87" s="88" t="s">
        <v>100</v>
      </c>
      <c r="C87" s="508">
        <f>'Exh JDT-5 (JDT-C&amp;I-RD)'!E60</f>
        <v>1.25</v>
      </c>
      <c r="D87" s="92">
        <f>'Exh JDT-5 (JDT-C&amp;I-RD)'!$H$60</f>
        <v>1.37</v>
      </c>
      <c r="E87" s="41">
        <v>1092876</v>
      </c>
      <c r="F87" s="500">
        <f t="shared" si="5"/>
        <v>1366095</v>
      </c>
      <c r="G87" s="81">
        <f>SUM(+E87*D87)</f>
        <v>1497240.12</v>
      </c>
      <c r="H87" s="85"/>
      <c r="I87" s="85"/>
      <c r="J87" s="85"/>
      <c r="K87" s="47"/>
      <c r="L87" s="41">
        <v>1092876</v>
      </c>
      <c r="M87" s="509">
        <f>SUM(+L87*C87)</f>
        <v>1366095</v>
      </c>
      <c r="N87" s="81">
        <f>SUM(+L87*D87)</f>
        <v>1497240.12</v>
      </c>
      <c r="O87" s="85"/>
      <c r="P87" s="85"/>
      <c r="Q87" s="85"/>
      <c r="R87" s="47"/>
      <c r="S87" s="41"/>
      <c r="T87" s="509"/>
      <c r="U87" s="81"/>
      <c r="V87" s="85"/>
      <c r="W87" s="507"/>
    </row>
    <row r="88" spans="2:23" x14ac:dyDescent="0.2">
      <c r="B88" s="88"/>
      <c r="C88" s="508"/>
      <c r="D88" s="92"/>
      <c r="E88" s="47"/>
      <c r="F88" s="495"/>
      <c r="G88" s="47"/>
      <c r="H88" s="47"/>
      <c r="I88" s="47"/>
      <c r="J88" s="47"/>
      <c r="K88" s="47"/>
      <c r="L88" s="47"/>
      <c r="M88" s="495"/>
      <c r="N88" s="47"/>
      <c r="O88" s="47"/>
      <c r="P88" s="47"/>
      <c r="Q88" s="47"/>
      <c r="R88" s="47"/>
      <c r="S88" s="47"/>
      <c r="T88" s="495"/>
      <c r="U88" s="47"/>
      <c r="V88" s="47"/>
      <c r="W88" s="507"/>
    </row>
    <row r="89" spans="2:23" x14ac:dyDescent="0.2">
      <c r="B89" s="88" t="s">
        <v>101</v>
      </c>
      <c r="C89" s="508"/>
      <c r="D89" s="92"/>
      <c r="E89" s="47"/>
      <c r="F89" s="495"/>
      <c r="G89" s="47"/>
      <c r="H89" s="47"/>
      <c r="I89" s="47"/>
      <c r="J89" s="47"/>
      <c r="K89" s="47"/>
      <c r="L89" s="47"/>
      <c r="M89" s="495"/>
      <c r="N89" s="47"/>
      <c r="O89" s="47"/>
      <c r="P89" s="47"/>
      <c r="Q89" s="47"/>
      <c r="R89" s="47"/>
      <c r="S89" s="47"/>
      <c r="T89" s="495"/>
      <c r="U89" s="47"/>
      <c r="V89" s="47"/>
      <c r="W89" s="507"/>
    </row>
    <row r="90" spans="2:23" x14ac:dyDescent="0.2">
      <c r="B90" s="88" t="s">
        <v>102</v>
      </c>
      <c r="C90" s="510">
        <f>'Exh JDT-5 (JDT-C&amp;I-RD)'!E63</f>
        <v>0.13758000000000001</v>
      </c>
      <c r="D90" s="78">
        <f>'Exh JDT-5 (JDT-C&amp;I-RD)'!$H$63</f>
        <v>0.14030999999999999</v>
      </c>
      <c r="E90" s="41">
        <v>1425917.3695433964</v>
      </c>
      <c r="F90" s="509" t="s">
        <v>103</v>
      </c>
      <c r="G90" s="85" t="s">
        <v>103</v>
      </c>
      <c r="H90" s="85"/>
      <c r="I90" s="85"/>
      <c r="J90" s="85"/>
      <c r="K90" s="47"/>
      <c r="L90" s="41">
        <v>1491237.6656937972</v>
      </c>
      <c r="M90" s="509" t="s">
        <v>103</v>
      </c>
      <c r="N90" s="85" t="s">
        <v>103</v>
      </c>
      <c r="O90" s="85"/>
      <c r="P90" s="85"/>
      <c r="Q90" s="85"/>
      <c r="R90" s="47"/>
      <c r="S90" s="41"/>
      <c r="T90" s="509"/>
      <c r="U90" s="85"/>
      <c r="V90" s="85"/>
      <c r="W90" s="507"/>
    </row>
    <row r="91" spans="2:23" x14ac:dyDescent="0.2">
      <c r="B91" s="88" t="s">
        <v>104</v>
      </c>
      <c r="C91" s="510">
        <f>'Exh JDT-5 (JDT-C&amp;I-RD)'!E64</f>
        <v>0.13758000000000001</v>
      </c>
      <c r="D91" s="78">
        <f>'Exh JDT-5 (JDT-C&amp;I-RD)'!$H$64</f>
        <v>0.14030999999999999</v>
      </c>
      <c r="E91" s="41">
        <v>5201192.5123006459</v>
      </c>
      <c r="F91" s="509">
        <f>ROUND(E91*C91,2)</f>
        <v>715580.07</v>
      </c>
      <c r="G91" s="85">
        <f>ROUND(E91*D91,2)</f>
        <v>729779.32</v>
      </c>
      <c r="H91" s="85"/>
      <c r="I91" s="85"/>
      <c r="J91" s="85"/>
      <c r="K91" s="47"/>
      <c r="L91" s="41">
        <v>5430456.225439975</v>
      </c>
      <c r="M91" s="509">
        <f>ROUND(L91*C91,2)</f>
        <v>747122.17</v>
      </c>
      <c r="N91" s="85">
        <f>ROUND(L91*D91,2)</f>
        <v>761947.31</v>
      </c>
      <c r="O91" s="85"/>
      <c r="P91" s="85"/>
      <c r="Q91" s="85"/>
      <c r="R91" s="47"/>
      <c r="S91" s="41"/>
      <c r="T91" s="509"/>
      <c r="U91" s="85"/>
      <c r="V91" s="85"/>
      <c r="W91" s="507"/>
    </row>
    <row r="92" spans="2:23" x14ac:dyDescent="0.2">
      <c r="B92" s="88" t="s">
        <v>105</v>
      </c>
      <c r="C92" s="510">
        <f>'Exh JDT-5 (JDT-C&amp;I-RD)'!E65</f>
        <v>0.11074000000000001</v>
      </c>
      <c r="D92" s="78">
        <f>'Exh JDT-5 (JDT-C&amp;I-RD)'!$H$65</f>
        <v>0.12131</v>
      </c>
      <c r="E92" s="41">
        <v>18837411.118155956</v>
      </c>
      <c r="F92" s="509">
        <f>ROUND(E92*C92,2)</f>
        <v>2086054.91</v>
      </c>
      <c r="G92" s="85">
        <f>ROUND(E92*D92,2)</f>
        <v>2285166.34</v>
      </c>
      <c r="H92" s="85"/>
      <c r="I92" s="85"/>
      <c r="J92" s="85"/>
      <c r="K92" s="47"/>
      <c r="L92" s="41">
        <v>19588540.108866226</v>
      </c>
      <c r="M92" s="509">
        <f>ROUND(L92*C92,2)</f>
        <v>2169234.9300000002</v>
      </c>
      <c r="N92" s="85">
        <f>ROUND(L92*D92,2)</f>
        <v>2376285.7999999998</v>
      </c>
      <c r="O92" s="85"/>
      <c r="P92" s="85"/>
      <c r="Q92" s="85"/>
      <c r="R92" s="47"/>
      <c r="S92" s="41"/>
      <c r="T92" s="509"/>
      <c r="U92" s="85"/>
      <c r="V92" s="85"/>
      <c r="W92" s="507"/>
    </row>
    <row r="93" spans="2:23" x14ac:dyDescent="0.2">
      <c r="B93" s="75" t="s">
        <v>106</v>
      </c>
      <c r="C93" s="524"/>
      <c r="D93" s="41"/>
      <c r="E93" s="17">
        <f>SUM(E90:E92)</f>
        <v>25464521</v>
      </c>
      <c r="F93" s="524"/>
      <c r="G93" s="47"/>
      <c r="H93" s="47"/>
      <c r="I93" s="47"/>
      <c r="J93" s="47"/>
      <c r="K93" s="47"/>
      <c r="L93" s="17">
        <f>SUM(L90:L92)</f>
        <v>26510234</v>
      </c>
      <c r="M93" s="495"/>
      <c r="N93" s="47"/>
      <c r="O93" s="47"/>
      <c r="P93" s="47"/>
      <c r="Q93" s="47"/>
      <c r="R93" s="47"/>
      <c r="S93" s="17"/>
      <c r="T93" s="495"/>
      <c r="U93" s="47"/>
      <c r="V93" s="47"/>
      <c r="W93" s="507"/>
    </row>
    <row r="94" spans="2:23" x14ac:dyDescent="0.2">
      <c r="B94" s="75" t="s">
        <v>128</v>
      </c>
      <c r="C94" s="523"/>
      <c r="D94" s="41"/>
      <c r="E94" s="47"/>
      <c r="F94" s="532">
        <f>SUM(F85:F93)</f>
        <v>4731831.5</v>
      </c>
      <c r="G94" s="131">
        <f>SUM(G85:G93)</f>
        <v>5078826.0199999996</v>
      </c>
      <c r="H94" s="91"/>
      <c r="I94" s="91"/>
      <c r="J94" s="91"/>
      <c r="K94" s="47"/>
      <c r="L94" s="47"/>
      <c r="M94" s="532">
        <f>SUM(M85:M93)</f>
        <v>4846553.62</v>
      </c>
      <c r="N94" s="131">
        <f>SUM(N85:N93)</f>
        <v>5202113.47</v>
      </c>
      <c r="O94" s="91"/>
      <c r="P94" s="91"/>
      <c r="Q94" s="91"/>
      <c r="R94" s="47"/>
      <c r="S94" s="47"/>
      <c r="T94" s="532"/>
      <c r="U94" s="131"/>
      <c r="V94" s="91"/>
      <c r="W94" s="507"/>
    </row>
    <row r="95" spans="2:23" x14ac:dyDescent="0.2">
      <c r="B95" s="75"/>
      <c r="C95" s="523"/>
      <c r="D95" s="41"/>
      <c r="E95" s="47"/>
      <c r="F95" s="495"/>
      <c r="G95" s="47"/>
      <c r="H95" s="47"/>
      <c r="I95" s="47"/>
      <c r="J95" s="47"/>
      <c r="K95" s="47"/>
      <c r="L95" s="47"/>
      <c r="M95" s="495"/>
      <c r="N95" s="47"/>
      <c r="O95" s="47"/>
      <c r="P95" s="47"/>
      <c r="Q95" s="47"/>
      <c r="R95" s="47"/>
      <c r="S95" s="47"/>
      <c r="T95" s="495"/>
      <c r="U95" s="47"/>
      <c r="V95" s="47"/>
      <c r="W95" s="507"/>
    </row>
    <row r="96" spans="2:23" x14ac:dyDescent="0.2">
      <c r="B96" s="94" t="s">
        <v>268</v>
      </c>
      <c r="C96" s="521"/>
      <c r="D96" s="78"/>
      <c r="E96" s="47"/>
      <c r="F96" s="532">
        <f>F94</f>
        <v>4731831.5</v>
      </c>
      <c r="G96" s="131">
        <f>G94</f>
        <v>5078826.0199999996</v>
      </c>
      <c r="H96" s="91"/>
      <c r="I96" s="91"/>
      <c r="J96" s="91"/>
      <c r="K96" s="47"/>
      <c r="L96" s="47"/>
      <c r="M96" s="532">
        <f>M94</f>
        <v>4846553.62</v>
      </c>
      <c r="N96" s="131">
        <f>N94</f>
        <v>5202113.47</v>
      </c>
      <c r="O96" s="91"/>
      <c r="P96" s="91"/>
      <c r="Q96" s="91"/>
      <c r="R96" s="47"/>
      <c r="S96" s="47"/>
      <c r="T96" s="532"/>
      <c r="U96" s="131"/>
      <c r="V96" s="91"/>
      <c r="W96" s="507"/>
    </row>
    <row r="97" spans="2:23" x14ac:dyDescent="0.2">
      <c r="B97" s="88" t="s">
        <v>269</v>
      </c>
      <c r="C97" s="495"/>
      <c r="D97" s="47"/>
      <c r="E97" s="47"/>
      <c r="F97" s="495"/>
      <c r="G97" s="85"/>
      <c r="H97" s="81">
        <f>H$64*E93</f>
        <v>-19098.390749999999</v>
      </c>
      <c r="I97" s="81">
        <f>I$64*E93</f>
        <v>546723.26587</v>
      </c>
      <c r="J97" s="85"/>
      <c r="K97" s="47"/>
      <c r="L97" s="47"/>
      <c r="M97" s="495"/>
      <c r="N97" s="85"/>
      <c r="O97" s="81">
        <f>O$64*L93</f>
        <v>-359213.67070000002</v>
      </c>
      <c r="P97" s="81">
        <f>P$64*L93</f>
        <v>1148423.3368799998</v>
      </c>
      <c r="Q97" s="85"/>
      <c r="R97" s="47"/>
      <c r="S97" s="47"/>
      <c r="T97" s="495"/>
      <c r="U97" s="85"/>
      <c r="V97" s="81"/>
      <c r="W97" s="517"/>
    </row>
    <row r="98" spans="2:23" x14ac:dyDescent="0.2">
      <c r="B98" s="94" t="str">
        <f>"Total "&amp;B83</f>
        <v>Total Schedule 41 - Transportation</v>
      </c>
      <c r="C98" s="521"/>
      <c r="D98" s="47"/>
      <c r="E98" s="47"/>
      <c r="F98" s="495"/>
      <c r="G98" s="85"/>
      <c r="H98" s="85"/>
      <c r="I98" s="513">
        <f>G96+H97+I97</f>
        <v>5606450.8951199995</v>
      </c>
      <c r="J98" s="95"/>
      <c r="K98" s="47"/>
      <c r="L98" s="47"/>
      <c r="M98" s="495"/>
      <c r="N98" s="85"/>
      <c r="O98" s="85"/>
      <c r="P98" s="513">
        <f>N96+O97+P97</f>
        <v>5991323.1361800004</v>
      </c>
      <c r="Q98" s="95"/>
      <c r="R98" s="47"/>
      <c r="S98" s="47"/>
      <c r="T98" s="495"/>
      <c r="U98" s="85"/>
      <c r="V98" s="85"/>
      <c r="W98" s="531"/>
    </row>
    <row r="99" spans="2:23" x14ac:dyDescent="0.2">
      <c r="B99" s="79"/>
      <c r="C99" s="498"/>
      <c r="D99" s="80"/>
      <c r="E99" s="80"/>
      <c r="F99" s="498"/>
      <c r="G99" s="80"/>
      <c r="H99" s="80"/>
      <c r="I99" s="80"/>
      <c r="J99" s="80"/>
      <c r="K99" s="80"/>
      <c r="L99" s="80"/>
      <c r="M99" s="498"/>
      <c r="N99" s="80"/>
      <c r="O99" s="80"/>
      <c r="P99" s="80"/>
      <c r="Q99" s="80"/>
      <c r="R99" s="80"/>
      <c r="S99" s="80"/>
      <c r="T99" s="498"/>
      <c r="U99" s="80"/>
      <c r="V99" s="80"/>
      <c r="W99" s="530"/>
    </row>
    <row r="101" spans="2:23" x14ac:dyDescent="0.2">
      <c r="B101" s="488" t="s">
        <v>272</v>
      </c>
      <c r="C101" s="489"/>
      <c r="D101" s="74"/>
      <c r="E101" s="17">
        <f>E109+E131</f>
        <v>73912158</v>
      </c>
      <c r="F101" s="490"/>
      <c r="G101" s="105"/>
      <c r="H101" s="105">
        <v>-32891.078822412936</v>
      </c>
      <c r="I101" s="105">
        <v>943635.39640833845</v>
      </c>
      <c r="J101" s="491">
        <v>20472.643272653775</v>
      </c>
      <c r="K101" s="492"/>
      <c r="L101" s="17">
        <f>L109+L131</f>
        <v>73034304</v>
      </c>
      <c r="M101" s="490"/>
      <c r="N101" s="492"/>
      <c r="O101" s="105">
        <v>-602323.69471869734</v>
      </c>
      <c r="P101" s="105">
        <v>1925234.8733264885</v>
      </c>
      <c r="Q101" s="491">
        <v>19894.587964952108</v>
      </c>
      <c r="R101" s="492"/>
      <c r="S101" s="17"/>
      <c r="T101" s="490"/>
      <c r="U101" s="493"/>
      <c r="V101" s="105"/>
      <c r="W101" s="494"/>
    </row>
    <row r="102" spans="2:23" x14ac:dyDescent="0.2">
      <c r="B102" s="88"/>
      <c r="C102" s="495"/>
      <c r="D102" s="47"/>
      <c r="E102" s="47"/>
      <c r="F102" s="495"/>
      <c r="G102" s="127" t="s">
        <v>267</v>
      </c>
      <c r="H102" s="78">
        <f>ROUND(H101/E101, 5)</f>
        <v>-4.4999999999999999E-4</v>
      </c>
      <c r="I102" s="78">
        <f>ROUND(I101/E101, 5)</f>
        <v>1.277E-2</v>
      </c>
      <c r="J102" s="496">
        <f>ROUND(J101/E116, 5)</f>
        <v>1.8400000000000001E-3</v>
      </c>
      <c r="L102" s="47"/>
      <c r="M102" s="495"/>
      <c r="N102" s="92"/>
      <c r="O102" s="78">
        <f>ROUND(O101/L101, 5)</f>
        <v>-8.2500000000000004E-3</v>
      </c>
      <c r="P102" s="78">
        <f>ROUND(P101/L101, 5)</f>
        <v>2.6360000000000001E-2</v>
      </c>
      <c r="Q102" s="496">
        <f>ROUND(Q101/L116, 5)</f>
        <v>1.8500000000000001E-3</v>
      </c>
      <c r="S102" s="47"/>
      <c r="T102" s="495"/>
      <c r="U102" s="92"/>
      <c r="V102" s="78"/>
      <c r="W102" s="497"/>
    </row>
    <row r="103" spans="2:23" x14ac:dyDescent="0.2">
      <c r="B103" s="79"/>
      <c r="C103" s="498"/>
      <c r="D103" s="80"/>
      <c r="E103" s="499" t="s">
        <v>252</v>
      </c>
      <c r="F103" s="500">
        <f>F116+F133</f>
        <v>7448585.0592142921</v>
      </c>
      <c r="G103" s="81">
        <f>G116+G133</f>
        <v>8308183.4203100381</v>
      </c>
      <c r="H103" s="501"/>
      <c r="I103" s="501"/>
      <c r="J103" s="501"/>
      <c r="K103" s="126"/>
      <c r="L103" s="499" t="s">
        <v>252</v>
      </c>
      <c r="M103" s="500">
        <f>M116+M133</f>
        <v>7380545.0838783914</v>
      </c>
      <c r="N103" s="81">
        <f>N116+N133</f>
        <v>8231195.1450351439</v>
      </c>
      <c r="O103" s="501"/>
      <c r="P103" s="501"/>
      <c r="Q103" s="501"/>
      <c r="R103" s="126"/>
      <c r="S103" s="499"/>
      <c r="T103" s="500"/>
      <c r="U103" s="81"/>
      <c r="V103" s="501"/>
      <c r="W103" s="517"/>
    </row>
    <row r="104" spans="2:23" x14ac:dyDescent="0.2">
      <c r="B104" s="526"/>
      <c r="C104" s="527"/>
      <c r="D104" s="528"/>
      <c r="E104" s="274"/>
      <c r="F104" s="519"/>
      <c r="G104" s="274"/>
      <c r="H104" s="274"/>
      <c r="I104" s="274"/>
      <c r="J104" s="274"/>
      <c r="K104" s="274"/>
      <c r="L104" s="274"/>
      <c r="M104" s="519"/>
      <c r="N104" s="274"/>
      <c r="O104" s="274"/>
      <c r="P104" s="274"/>
      <c r="Q104" s="274"/>
      <c r="R104" s="274"/>
      <c r="S104" s="274"/>
      <c r="T104" s="519"/>
      <c r="U104" s="274"/>
      <c r="V104" s="274"/>
      <c r="W104" s="520"/>
    </row>
    <row r="105" spans="2:23" x14ac:dyDescent="0.2">
      <c r="B105" s="87" t="s">
        <v>147</v>
      </c>
      <c r="C105" s="518"/>
      <c r="D105" s="533"/>
      <c r="E105" s="274"/>
      <c r="F105" s="519"/>
      <c r="G105" s="274"/>
      <c r="H105" s="274"/>
      <c r="I105" s="274"/>
      <c r="J105" s="274"/>
      <c r="K105" s="274"/>
      <c r="L105" s="274"/>
      <c r="M105" s="519"/>
      <c r="N105" s="274"/>
      <c r="O105" s="274"/>
      <c r="P105" s="274"/>
      <c r="Q105" s="274"/>
      <c r="R105" s="274"/>
      <c r="S105" s="274"/>
      <c r="T105" s="519"/>
      <c r="U105" s="274"/>
      <c r="V105" s="274"/>
      <c r="W105" s="520"/>
    </row>
    <row r="106" spans="2:23" x14ac:dyDescent="0.2">
      <c r="B106" s="88"/>
      <c r="C106" s="495"/>
      <c r="D106" s="78"/>
      <c r="E106" s="47"/>
      <c r="F106" s="495"/>
      <c r="G106" s="47"/>
      <c r="H106" s="47"/>
      <c r="I106" s="47"/>
      <c r="J106" s="47"/>
      <c r="K106" s="47"/>
      <c r="L106" s="47"/>
      <c r="M106" s="495"/>
      <c r="N106" s="47"/>
      <c r="O106" s="47"/>
      <c r="P106" s="47"/>
      <c r="Q106" s="47"/>
      <c r="R106" s="47"/>
      <c r="S106" s="47"/>
      <c r="T106" s="495"/>
      <c r="U106" s="47"/>
      <c r="V106" s="47"/>
      <c r="W106" s="529"/>
    </row>
    <row r="107" spans="2:23" x14ac:dyDescent="0.2">
      <c r="B107" s="75" t="s">
        <v>92</v>
      </c>
      <c r="C107" s="508">
        <f>'Exh JDT-5 (JDT-INTRPL-RD)'!E12</f>
        <v>595.08000000000004</v>
      </c>
      <c r="D107" s="92">
        <f>'Exh JDT-5 (JDT-INTRPL-RD)'!$H$12</f>
        <v>701.68</v>
      </c>
      <c r="E107" s="41">
        <v>396</v>
      </c>
      <c r="F107" s="509">
        <f>SUM(+E107*C107)</f>
        <v>235651.68000000002</v>
      </c>
      <c r="G107" s="85">
        <f>SUM(+E107*D107)</f>
        <v>277865.27999999997</v>
      </c>
      <c r="H107" s="85"/>
      <c r="I107" s="85"/>
      <c r="J107" s="85"/>
      <c r="K107" s="47"/>
      <c r="L107" s="41">
        <v>396</v>
      </c>
      <c r="M107" s="509">
        <f>SUM(+L107*C107)</f>
        <v>235651.68000000002</v>
      </c>
      <c r="N107" s="85">
        <f>SUM(+L107*D107)</f>
        <v>277865.27999999997</v>
      </c>
      <c r="O107" s="85"/>
      <c r="P107" s="85"/>
      <c r="Q107" s="85"/>
      <c r="R107" s="47"/>
      <c r="S107" s="85"/>
      <c r="T107" s="509"/>
      <c r="U107" s="85"/>
      <c r="V107" s="85"/>
      <c r="W107" s="507"/>
    </row>
    <row r="108" spans="2:23" x14ac:dyDescent="0.2">
      <c r="B108" s="88" t="s">
        <v>100</v>
      </c>
      <c r="C108" s="508">
        <f>'Exh JDT-5 (JDT-INTRPL-RD)'!E13</f>
        <v>1.3</v>
      </c>
      <c r="D108" s="92">
        <f>'Exh JDT-5 (JDT-INTRPL-RD)'!$H$13</f>
        <v>1.44</v>
      </c>
      <c r="E108" s="41">
        <v>94536</v>
      </c>
      <c r="F108" s="509">
        <f t="shared" ref="F108:F109" si="6">SUM(+E108*C108)</f>
        <v>122896.8</v>
      </c>
      <c r="G108" s="85">
        <f>SUM(+E108*D108)</f>
        <v>136131.84</v>
      </c>
      <c r="H108" s="85"/>
      <c r="I108" s="85"/>
      <c r="J108" s="85"/>
      <c r="K108" s="47"/>
      <c r="L108" s="41">
        <v>94536</v>
      </c>
      <c r="M108" s="509">
        <f t="shared" ref="M108:M109" si="7">SUM(+L108*C108)</f>
        <v>122896.8</v>
      </c>
      <c r="N108" s="85">
        <f>SUM(+L108*D108)</f>
        <v>136131.84</v>
      </c>
      <c r="O108" s="85"/>
      <c r="P108" s="85"/>
      <c r="Q108" s="85"/>
      <c r="R108" s="47"/>
      <c r="S108" s="85"/>
      <c r="T108" s="509"/>
      <c r="U108" s="85"/>
      <c r="V108" s="85"/>
      <c r="W108" s="507"/>
    </row>
    <row r="109" spans="2:23" x14ac:dyDescent="0.2">
      <c r="B109" s="88" t="s">
        <v>97</v>
      </c>
      <c r="C109" s="510">
        <f>'Exh JDT-5 (JDT-INTRPL-RD)'!E14</f>
        <v>7.0499999999999998E-3</v>
      </c>
      <c r="D109" s="78">
        <f>'Exh JDT-5 (JDT-INTRPL-RD)'!$H$14</f>
        <v>7.7999999999999996E-3</v>
      </c>
      <c r="E109" s="41">
        <f>E116</f>
        <v>11124640</v>
      </c>
      <c r="F109" s="509">
        <f t="shared" si="6"/>
        <v>78428.712</v>
      </c>
      <c r="G109" s="85">
        <f>SUM(+E109*D109)</f>
        <v>86772.191999999995</v>
      </c>
      <c r="H109" s="85"/>
      <c r="I109" s="85"/>
      <c r="J109" s="85"/>
      <c r="K109" s="47"/>
      <c r="L109" s="41">
        <f>L116</f>
        <v>10745378</v>
      </c>
      <c r="M109" s="509">
        <f t="shared" si="7"/>
        <v>75754.914900000003</v>
      </c>
      <c r="N109" s="85">
        <f>SUM(+L109*D109)</f>
        <v>83813.948399999994</v>
      </c>
      <c r="O109" s="85"/>
      <c r="P109" s="85"/>
      <c r="Q109" s="85"/>
      <c r="R109" s="47"/>
      <c r="S109" s="85"/>
      <c r="T109" s="509"/>
      <c r="U109" s="85"/>
      <c r="V109" s="85"/>
      <c r="W109" s="507"/>
    </row>
    <row r="110" spans="2:23" x14ac:dyDescent="0.2">
      <c r="B110" s="88" t="s">
        <v>107</v>
      </c>
      <c r="C110" s="510"/>
      <c r="D110" s="78"/>
      <c r="E110" s="41"/>
      <c r="F110" s="524">
        <f>'Exh JDT-5 (JDT-INTRPL-RD)'!F15</f>
        <v>9677.49</v>
      </c>
      <c r="G110" s="85">
        <v>9677.49</v>
      </c>
      <c r="H110" s="85"/>
      <c r="I110" s="85"/>
      <c r="J110" s="85"/>
      <c r="K110" s="47"/>
      <c r="L110" s="41"/>
      <c r="M110" s="524">
        <f>F110</f>
        <v>9677.49</v>
      </c>
      <c r="N110" s="85">
        <v>9677.49</v>
      </c>
      <c r="O110" s="85"/>
      <c r="P110" s="85"/>
      <c r="Q110" s="85"/>
      <c r="R110" s="47"/>
      <c r="S110" s="85"/>
      <c r="T110" s="509"/>
      <c r="U110" s="85"/>
      <c r="V110" s="85"/>
      <c r="W110" s="507"/>
    </row>
    <row r="111" spans="2:23" x14ac:dyDescent="0.2">
      <c r="B111" s="88"/>
      <c r="C111" s="510"/>
      <c r="D111" s="78"/>
      <c r="E111" s="47"/>
      <c r="F111" s="495"/>
      <c r="G111" s="47"/>
      <c r="H111" s="47"/>
      <c r="I111" s="47"/>
      <c r="J111" s="47"/>
      <c r="K111" s="47"/>
      <c r="L111" s="47"/>
      <c r="M111" s="495"/>
      <c r="N111" s="47"/>
      <c r="O111" s="47"/>
      <c r="P111" s="47"/>
      <c r="Q111" s="47"/>
      <c r="R111" s="47"/>
      <c r="S111" s="47"/>
      <c r="T111" s="495"/>
      <c r="U111" s="47"/>
      <c r="V111" s="47"/>
      <c r="W111" s="529"/>
    </row>
    <row r="112" spans="2:23" x14ac:dyDescent="0.2">
      <c r="B112" s="88" t="s">
        <v>101</v>
      </c>
      <c r="C112" s="510"/>
      <c r="D112" s="78"/>
      <c r="E112" s="47"/>
      <c r="F112" s="495"/>
      <c r="G112" s="47"/>
      <c r="H112" s="47"/>
      <c r="I112" s="47"/>
      <c r="J112" s="47"/>
      <c r="K112" s="47"/>
      <c r="L112" s="47"/>
      <c r="M112" s="495"/>
      <c r="N112" s="47"/>
      <c r="O112" s="47"/>
      <c r="P112" s="47"/>
      <c r="Q112" s="47"/>
      <c r="R112" s="47"/>
      <c r="S112" s="47"/>
      <c r="T112" s="495"/>
      <c r="U112" s="47"/>
      <c r="V112" s="47"/>
      <c r="W112" s="529"/>
    </row>
    <row r="113" spans="2:23" x14ac:dyDescent="0.2">
      <c r="B113" s="88" t="s">
        <v>108</v>
      </c>
      <c r="C113" s="510">
        <f>'Exh JDT-5 (JDT-INTRPL-RD)'!E18</f>
        <v>0.1084</v>
      </c>
      <c r="D113" s="78">
        <f>'Exh JDT-5 (JDT-INTRPL-RD)'!$H$18</f>
        <v>0.12488</v>
      </c>
      <c r="E113" s="41">
        <v>4674926.706264955</v>
      </c>
      <c r="F113" s="524">
        <f>SUM(+E113*C113)</f>
        <v>506762.0549591211</v>
      </c>
      <c r="G113" s="85">
        <f>SUM(+E113*D113)</f>
        <v>583804.8470783676</v>
      </c>
      <c r="H113" s="85"/>
      <c r="I113" s="85"/>
      <c r="J113" s="85"/>
      <c r="K113" s="47"/>
      <c r="L113" s="41">
        <v>4513873.5650214646</v>
      </c>
      <c r="M113" s="509">
        <f t="shared" ref="M113:M115" si="8">SUM(+L113*C113)</f>
        <v>489303.89444832673</v>
      </c>
      <c r="N113" s="85">
        <f>SUM(+L113*D113)</f>
        <v>563692.53079988051</v>
      </c>
      <c r="O113" s="85"/>
      <c r="P113" s="85"/>
      <c r="Q113" s="85"/>
      <c r="R113" s="47"/>
      <c r="S113" s="85"/>
      <c r="T113" s="509"/>
      <c r="U113" s="85"/>
      <c r="V113" s="85"/>
      <c r="W113" s="507"/>
    </row>
    <row r="114" spans="2:23" x14ac:dyDescent="0.2">
      <c r="B114" s="88" t="s">
        <v>109</v>
      </c>
      <c r="C114" s="510">
        <f>'Exh JDT-5 (JDT-INTRPL-RD)'!E19</f>
        <v>5.3650000000000003E-2</v>
      </c>
      <c r="D114" s="78">
        <f>'Exh JDT-5 (JDT-INTRPL-RD)'!$H$19</f>
        <v>5.9339999999999997E-2</v>
      </c>
      <c r="E114" s="41">
        <v>2569738.4472592678</v>
      </c>
      <c r="F114" s="524">
        <f t="shared" ref="F114:F115" si="9">SUM(+E114*C114)</f>
        <v>137866.46769545972</v>
      </c>
      <c r="G114" s="85">
        <f>SUM(+E114*D114)</f>
        <v>152488.27946036495</v>
      </c>
      <c r="H114" s="85"/>
      <c r="I114" s="85"/>
      <c r="J114" s="85"/>
      <c r="K114" s="47"/>
      <c r="L114" s="41">
        <v>2478939.5524124894</v>
      </c>
      <c r="M114" s="509">
        <f t="shared" si="8"/>
        <v>132995.10698693007</v>
      </c>
      <c r="N114" s="85">
        <f>SUM(+L114*D114)</f>
        <v>147100.2730401571</v>
      </c>
      <c r="O114" s="85"/>
      <c r="P114" s="85"/>
      <c r="Q114" s="85"/>
      <c r="R114" s="47"/>
      <c r="S114" s="85"/>
      <c r="T114" s="509"/>
      <c r="U114" s="85"/>
      <c r="V114" s="85"/>
      <c r="W114" s="507"/>
    </row>
    <row r="115" spans="2:23" x14ac:dyDescent="0.2">
      <c r="B115" s="88" t="s">
        <v>110</v>
      </c>
      <c r="C115" s="510">
        <f>'Exh JDT-5 (JDT-INTRPL-RD)'!E20</f>
        <v>5.1319999999999998E-2</v>
      </c>
      <c r="D115" s="78">
        <f>'Exh JDT-5 (JDT-INTRPL-RD)'!$H$20</f>
        <v>5.6770000000000001E-2</v>
      </c>
      <c r="E115" s="41">
        <v>3879974.8464757777</v>
      </c>
      <c r="F115" s="524">
        <f t="shared" si="9"/>
        <v>199120.3091211369</v>
      </c>
      <c r="G115" s="85">
        <f>SUM(+E115*D115)</f>
        <v>220266.17203442991</v>
      </c>
      <c r="H115" s="85"/>
      <c r="I115" s="85"/>
      <c r="J115" s="85"/>
      <c r="K115" s="47"/>
      <c r="L115" s="41">
        <v>3752564.882566046</v>
      </c>
      <c r="M115" s="509">
        <f t="shared" si="8"/>
        <v>192581.62977328946</v>
      </c>
      <c r="N115" s="85">
        <f>SUM(+L115*D115)</f>
        <v>213033.10838327443</v>
      </c>
      <c r="O115" s="85"/>
      <c r="P115" s="85"/>
      <c r="Q115" s="85"/>
      <c r="R115" s="47"/>
      <c r="S115" s="85"/>
      <c r="T115" s="500"/>
      <c r="U115" s="81"/>
      <c r="V115" s="85"/>
      <c r="W115" s="507"/>
    </row>
    <row r="116" spans="2:23" x14ac:dyDescent="0.2">
      <c r="B116" s="94" t="s">
        <v>268</v>
      </c>
      <c r="C116" s="521"/>
      <c r="D116" s="92"/>
      <c r="E116" s="17">
        <f>SUM(E113:E115)</f>
        <v>11124640</v>
      </c>
      <c r="F116" s="532">
        <f>SUM(F107:F115)</f>
        <v>1290403.5137757179</v>
      </c>
      <c r="G116" s="131">
        <f>SUM(G107:G115)</f>
        <v>1467006.1005731623</v>
      </c>
      <c r="H116" s="91"/>
      <c r="I116" s="91"/>
      <c r="J116" s="91"/>
      <c r="K116" s="47"/>
      <c r="L116" s="17">
        <f>SUM(L113:L115)</f>
        <v>10745378</v>
      </c>
      <c r="M116" s="532">
        <f>SUM(M107:M115)</f>
        <v>1258861.5161085464</v>
      </c>
      <c r="N116" s="131">
        <f>SUM(N107:N115)</f>
        <v>1431314.4706233121</v>
      </c>
      <c r="O116" s="91"/>
      <c r="P116" s="91"/>
      <c r="Q116" s="91"/>
      <c r="R116" s="47"/>
      <c r="S116" s="131"/>
      <c r="T116" s="534"/>
      <c r="U116" s="91"/>
      <c r="V116" s="91"/>
      <c r="W116" s="507"/>
    </row>
    <row r="117" spans="2:23" x14ac:dyDescent="0.2">
      <c r="B117" s="88" t="s">
        <v>269</v>
      </c>
      <c r="C117" s="495"/>
      <c r="D117" s="92"/>
      <c r="E117" s="41"/>
      <c r="F117" s="524"/>
      <c r="G117" s="91"/>
      <c r="H117" s="81">
        <f>H$102*E116</f>
        <v>-5006.0879999999997</v>
      </c>
      <c r="I117" s="81">
        <f>I$102*E116</f>
        <v>142061.65280000001</v>
      </c>
      <c r="J117" s="512">
        <f>J$102*E116</f>
        <v>20469.337599999999</v>
      </c>
      <c r="K117" s="47"/>
      <c r="L117" s="41"/>
      <c r="M117" s="524"/>
      <c r="N117" s="91"/>
      <c r="O117" s="81">
        <f>O$102*L116</f>
        <v>-88649.368500000011</v>
      </c>
      <c r="P117" s="81">
        <f>P$102*L116</f>
        <v>283248.16408000002</v>
      </c>
      <c r="Q117" s="512">
        <f>Q$102*L116</f>
        <v>19878.9493</v>
      </c>
      <c r="R117" s="47"/>
      <c r="S117" s="91"/>
      <c r="T117" s="534"/>
      <c r="U117" s="91"/>
      <c r="V117" s="81"/>
      <c r="W117" s="517"/>
    </row>
    <row r="118" spans="2:23" x14ac:dyDescent="0.2">
      <c r="B118" s="94" t="str">
        <f>"Total "&amp;B105</f>
        <v>Total Schedule 85 - Sales</v>
      </c>
      <c r="C118" s="521"/>
      <c r="D118" s="92"/>
      <c r="E118" s="41"/>
      <c r="F118" s="524"/>
      <c r="G118" s="91"/>
      <c r="H118" s="85"/>
      <c r="I118" s="513">
        <f>G116+H117+I117</f>
        <v>1604061.6653731624</v>
      </c>
      <c r="J118" s="95"/>
      <c r="K118" s="47"/>
      <c r="L118" s="41"/>
      <c r="M118" s="524"/>
      <c r="N118" s="91"/>
      <c r="O118" s="85"/>
      <c r="P118" s="513">
        <f>N116+O117+P117</f>
        <v>1625913.266203312</v>
      </c>
      <c r="Q118" s="95"/>
      <c r="R118" s="47"/>
      <c r="S118" s="91"/>
      <c r="T118" s="534"/>
      <c r="U118" s="91"/>
      <c r="V118" s="85"/>
      <c r="W118" s="514"/>
    </row>
    <row r="119" spans="2:23" x14ac:dyDescent="0.2">
      <c r="B119" s="79"/>
      <c r="C119" s="498"/>
      <c r="D119" s="132"/>
      <c r="E119" s="80"/>
      <c r="F119" s="498"/>
      <c r="G119" s="80"/>
      <c r="H119" s="80"/>
      <c r="I119" s="80"/>
      <c r="J119" s="80"/>
      <c r="K119" s="80"/>
      <c r="L119" s="80"/>
      <c r="M119" s="498"/>
      <c r="N119" s="80"/>
      <c r="O119" s="80"/>
      <c r="P119" s="80"/>
      <c r="Q119" s="80"/>
      <c r="R119" s="80"/>
      <c r="S119" s="80"/>
      <c r="T119" s="498"/>
      <c r="U119" s="80"/>
      <c r="V119" s="80"/>
      <c r="W119" s="530"/>
    </row>
    <row r="120" spans="2:23" x14ac:dyDescent="0.2">
      <c r="B120" s="47"/>
      <c r="C120" s="495"/>
      <c r="D120" s="78"/>
      <c r="G120" s="44"/>
      <c r="H120" s="44"/>
      <c r="I120" s="44"/>
      <c r="J120" s="44"/>
      <c r="K120" s="44"/>
      <c r="N120" s="44"/>
      <c r="O120" s="44"/>
      <c r="P120" s="44"/>
      <c r="Q120" s="44"/>
      <c r="R120" s="44"/>
      <c r="U120" s="44"/>
      <c r="V120" s="44"/>
      <c r="W120" s="44"/>
    </row>
    <row r="121" spans="2:23" x14ac:dyDescent="0.2">
      <c r="B121" s="87" t="s">
        <v>149</v>
      </c>
      <c r="C121" s="518"/>
      <c r="D121" s="533"/>
      <c r="E121" s="274"/>
      <c r="F121" s="519"/>
      <c r="G121" s="274"/>
      <c r="H121" s="274"/>
      <c r="I121" s="274"/>
      <c r="J121" s="274"/>
      <c r="K121" s="274"/>
      <c r="L121" s="274"/>
      <c r="M121" s="519"/>
      <c r="N121" s="274"/>
      <c r="O121" s="274"/>
      <c r="P121" s="274"/>
      <c r="Q121" s="274"/>
      <c r="R121" s="274"/>
      <c r="S121" s="274"/>
      <c r="T121" s="519"/>
      <c r="U121" s="274"/>
      <c r="V121" s="274"/>
      <c r="W121" s="520"/>
    </row>
    <row r="122" spans="2:23" x14ac:dyDescent="0.2">
      <c r="B122" s="88"/>
      <c r="C122" s="495"/>
      <c r="D122" s="78"/>
      <c r="E122" s="47"/>
      <c r="F122" s="495"/>
      <c r="G122" s="47"/>
      <c r="H122" s="47"/>
      <c r="I122" s="47"/>
      <c r="J122" s="47"/>
      <c r="K122" s="47"/>
      <c r="L122" s="47"/>
      <c r="M122" s="495"/>
      <c r="N122" s="47"/>
      <c r="O122" s="47"/>
      <c r="P122" s="47"/>
      <c r="Q122" s="47"/>
      <c r="R122" s="47"/>
      <c r="S122" s="47"/>
      <c r="T122" s="495"/>
      <c r="U122" s="47"/>
      <c r="V122" s="47"/>
      <c r="W122" s="529"/>
    </row>
    <row r="123" spans="2:23" x14ac:dyDescent="0.2">
      <c r="B123" s="75" t="s">
        <v>92</v>
      </c>
      <c r="C123" s="508">
        <f>'Exh JDT-5 (JDT-INTRPL-RD)'!E28</f>
        <v>903.09</v>
      </c>
      <c r="D123" s="92">
        <f>'Exh JDT-5 (JDT-INTRPL-RD)'!$H$28</f>
        <v>903.09</v>
      </c>
      <c r="E123" s="41">
        <v>876</v>
      </c>
      <c r="F123" s="509">
        <f>SUM(+E123*C123)</f>
        <v>791106.84000000008</v>
      </c>
      <c r="G123" s="85">
        <f>SUM(+E123*D123)</f>
        <v>791106.84000000008</v>
      </c>
      <c r="H123" s="85"/>
      <c r="I123" s="85"/>
      <c r="J123" s="85"/>
      <c r="K123" s="47"/>
      <c r="L123" s="41">
        <v>876</v>
      </c>
      <c r="M123" s="509">
        <f>SUM(+L123*C123)</f>
        <v>791106.84000000008</v>
      </c>
      <c r="N123" s="85">
        <f>SUM(+L123*D123)</f>
        <v>791106.84000000008</v>
      </c>
      <c r="O123" s="85"/>
      <c r="P123" s="85"/>
      <c r="Q123" s="85"/>
      <c r="R123" s="47"/>
      <c r="S123" s="41"/>
      <c r="T123" s="509"/>
      <c r="U123" s="85"/>
      <c r="V123" s="85"/>
      <c r="W123" s="507"/>
    </row>
    <row r="124" spans="2:23" x14ac:dyDescent="0.2">
      <c r="B124" s="88" t="s">
        <v>100</v>
      </c>
      <c r="C124" s="508">
        <f>'Exh JDT-5 (JDT-INTRPL-RD)'!E29</f>
        <v>1.3</v>
      </c>
      <c r="D124" s="92">
        <f>'Exh JDT-5 (JDT-INTRPL-RD)'!$H$29</f>
        <v>1.44</v>
      </c>
      <c r="E124" s="41">
        <v>650832</v>
      </c>
      <c r="F124" s="509">
        <f>SUM(+E124*C124)</f>
        <v>846081.6</v>
      </c>
      <c r="G124" s="85">
        <f>SUM(+E124*D124)</f>
        <v>937198.07999999996</v>
      </c>
      <c r="H124" s="85"/>
      <c r="I124" s="85"/>
      <c r="J124" s="85"/>
      <c r="K124" s="47"/>
      <c r="L124" s="41">
        <v>650832</v>
      </c>
      <c r="M124" s="509">
        <f>SUM(+L124*C124)</f>
        <v>846081.6</v>
      </c>
      <c r="N124" s="85">
        <f>SUM(+L124*D124)</f>
        <v>937198.07999999996</v>
      </c>
      <c r="O124" s="85"/>
      <c r="P124" s="85"/>
      <c r="Q124" s="85"/>
      <c r="R124" s="47"/>
      <c r="S124" s="41"/>
      <c r="T124" s="509"/>
      <c r="U124" s="85"/>
      <c r="V124" s="85"/>
      <c r="W124" s="507"/>
    </row>
    <row r="125" spans="2:23" x14ac:dyDescent="0.2">
      <c r="B125" s="88" t="s">
        <v>107</v>
      </c>
      <c r="C125" s="495"/>
      <c r="D125" s="92"/>
      <c r="E125" s="41"/>
      <c r="F125" s="509">
        <f>G125</f>
        <v>-10601.630000000003</v>
      </c>
      <c r="G125" s="85">
        <v>-10601.630000000003</v>
      </c>
      <c r="H125" s="85"/>
      <c r="I125" s="85"/>
      <c r="J125" s="85"/>
      <c r="K125" s="47"/>
      <c r="L125" s="41"/>
      <c r="M125" s="509">
        <f>N125</f>
        <v>-10601.630000000003</v>
      </c>
      <c r="N125" s="85">
        <v>-10601.630000000003</v>
      </c>
      <c r="O125" s="85"/>
      <c r="P125" s="85"/>
      <c r="Q125" s="85"/>
      <c r="R125" s="47"/>
      <c r="S125" s="41"/>
      <c r="T125" s="509"/>
      <c r="U125" s="85"/>
      <c r="V125" s="85"/>
      <c r="W125" s="507"/>
    </row>
    <row r="126" spans="2:23" x14ac:dyDescent="0.2">
      <c r="B126" s="88"/>
      <c r="C126" s="495"/>
      <c r="D126" s="92"/>
      <c r="E126" s="41"/>
      <c r="F126" s="524"/>
      <c r="G126" s="85"/>
      <c r="H126" s="85"/>
      <c r="I126" s="85"/>
      <c r="J126" s="85"/>
      <c r="K126" s="47"/>
      <c r="L126" s="41"/>
      <c r="M126" s="524"/>
      <c r="N126" s="85"/>
      <c r="O126" s="85"/>
      <c r="P126" s="85"/>
      <c r="Q126" s="85"/>
      <c r="R126" s="47"/>
      <c r="S126" s="41"/>
      <c r="T126" s="524"/>
      <c r="U126" s="85"/>
      <c r="V126" s="85"/>
      <c r="W126" s="507"/>
    </row>
    <row r="127" spans="2:23" x14ac:dyDescent="0.2">
      <c r="B127" s="88" t="s">
        <v>101</v>
      </c>
      <c r="C127" s="495"/>
      <c r="D127" s="92"/>
      <c r="E127" s="47"/>
      <c r="F127" s="495"/>
      <c r="G127" s="47"/>
      <c r="H127" s="47"/>
      <c r="I127" s="47"/>
      <c r="J127" s="47"/>
      <c r="K127" s="47"/>
      <c r="L127" s="47"/>
      <c r="M127" s="495"/>
      <c r="N127" s="47"/>
      <c r="O127" s="47"/>
      <c r="P127" s="47"/>
      <c r="Q127" s="47"/>
      <c r="R127" s="47"/>
      <c r="S127" s="47"/>
      <c r="T127" s="495"/>
      <c r="U127" s="47"/>
      <c r="V127" s="47"/>
      <c r="W127" s="529"/>
    </row>
    <row r="128" spans="2:23" x14ac:dyDescent="0.2">
      <c r="B128" s="88" t="s">
        <v>108</v>
      </c>
      <c r="C128" s="510">
        <f>'Exh JDT-5 (JDT-INTRPL-RD)'!E33</f>
        <v>0.1084</v>
      </c>
      <c r="D128" s="78">
        <f>'Exh JDT-5 (JDT-INTRPL-RD)'!$H$33</f>
        <v>0.12488</v>
      </c>
      <c r="E128" s="41">
        <v>22292868.215119526</v>
      </c>
      <c r="F128" s="509">
        <f t="shared" ref="F128:F130" si="10">SUM(+E128*C128)</f>
        <v>2416546.9145189566</v>
      </c>
      <c r="G128" s="85">
        <f>SUM(+E128*D128)</f>
        <v>2783933.3827041266</v>
      </c>
      <c r="H128" s="85"/>
      <c r="I128" s="85"/>
      <c r="J128" s="85"/>
      <c r="K128" s="47"/>
      <c r="L128" s="41">
        <v>22106956.690598253</v>
      </c>
      <c r="M128" s="509">
        <f>SUM(+L128*C128)</f>
        <v>2396394.1052608504</v>
      </c>
      <c r="N128" s="85">
        <f>SUM(+L128*D128)</f>
        <v>2760716.7515219101</v>
      </c>
      <c r="O128" s="85"/>
      <c r="P128" s="85"/>
      <c r="Q128" s="85"/>
      <c r="R128" s="47"/>
      <c r="S128" s="41"/>
      <c r="T128" s="509"/>
      <c r="U128" s="85"/>
      <c r="V128" s="85"/>
      <c r="W128" s="507"/>
    </row>
    <row r="129" spans="2:23" x14ac:dyDescent="0.2">
      <c r="B129" s="88" t="s">
        <v>109</v>
      </c>
      <c r="C129" s="510">
        <f>'Exh JDT-5 (JDT-INTRPL-RD)'!E34</f>
        <v>5.3650000000000003E-2</v>
      </c>
      <c r="D129" s="78">
        <f>'Exh JDT-5 (JDT-INTRPL-RD)'!$H$34</f>
        <v>5.9339999999999997E-2</v>
      </c>
      <c r="E129" s="41">
        <v>15820769.939721871</v>
      </c>
      <c r="F129" s="509">
        <f t="shared" si="10"/>
        <v>848784.30726607842</v>
      </c>
      <c r="G129" s="85">
        <f>SUM(+E129*D129)</f>
        <v>938804.48822309577</v>
      </c>
      <c r="H129" s="85"/>
      <c r="I129" s="85"/>
      <c r="J129" s="85"/>
      <c r="K129" s="47"/>
      <c r="L129" s="41">
        <v>15692698.519526683</v>
      </c>
      <c r="M129" s="509">
        <f t="shared" ref="M129:M130" si="11">SUM(+L129*C129)</f>
        <v>841913.2755726066</v>
      </c>
      <c r="N129" s="85">
        <f>SUM(+L129*D129)</f>
        <v>931204.73014871334</v>
      </c>
      <c r="O129" s="85"/>
      <c r="P129" s="85"/>
      <c r="Q129" s="85"/>
      <c r="R129" s="47"/>
      <c r="S129" s="41"/>
      <c r="T129" s="509"/>
      <c r="U129" s="85"/>
      <c r="V129" s="85"/>
      <c r="W129" s="507"/>
    </row>
    <row r="130" spans="2:23" x14ac:dyDescent="0.2">
      <c r="B130" s="88" t="s">
        <v>111</v>
      </c>
      <c r="C130" s="510">
        <f>'Exh JDT-5 (JDT-INTRPL-RD)'!E35</f>
        <v>5.1319999999999998E-2</v>
      </c>
      <c r="D130" s="78">
        <f>'Exh JDT-5 (JDT-INTRPL-RD)'!$H$35</f>
        <v>5.6770000000000001E-2</v>
      </c>
      <c r="E130" s="41">
        <v>24673879.845158603</v>
      </c>
      <c r="F130" s="509">
        <f t="shared" si="10"/>
        <v>1266263.5136535394</v>
      </c>
      <c r="G130" s="85">
        <f>SUM(+E130*D130)</f>
        <v>1400736.1588096539</v>
      </c>
      <c r="H130" s="85"/>
      <c r="I130" s="85"/>
      <c r="J130" s="85"/>
      <c r="K130" s="47"/>
      <c r="L130" s="41">
        <v>24489270.789875064</v>
      </c>
      <c r="M130" s="509">
        <f t="shared" si="11"/>
        <v>1256789.3769363882</v>
      </c>
      <c r="N130" s="85">
        <f>SUM(+L130*D130)</f>
        <v>1390255.9027412075</v>
      </c>
      <c r="O130" s="85"/>
      <c r="P130" s="85"/>
      <c r="Q130" s="85"/>
      <c r="R130" s="47"/>
      <c r="S130" s="41"/>
      <c r="T130" s="500"/>
      <c r="U130" s="81"/>
      <c r="V130" s="85"/>
      <c r="W130" s="507"/>
    </row>
    <row r="131" spans="2:23" x14ac:dyDescent="0.2">
      <c r="B131" s="75" t="s">
        <v>128</v>
      </c>
      <c r="C131" s="523"/>
      <c r="D131" s="92"/>
      <c r="E131" s="17">
        <f>SUM(E128:E130)</f>
        <v>62787518</v>
      </c>
      <c r="F131" s="532">
        <f>SUM(F123:F130)</f>
        <v>6158181.5454385746</v>
      </c>
      <c r="G131" s="131">
        <f>SUM(G123:G130)</f>
        <v>6841177.3197368756</v>
      </c>
      <c r="H131" s="91"/>
      <c r="I131" s="91"/>
      <c r="J131" s="91"/>
      <c r="K131" s="47"/>
      <c r="L131" s="17">
        <f>SUM(L128:L130)</f>
        <v>62288926</v>
      </c>
      <c r="M131" s="532">
        <f>SUM(M123:M130)</f>
        <v>6121683.567769845</v>
      </c>
      <c r="N131" s="131">
        <f>SUM(N123:N130)</f>
        <v>6799880.6744118314</v>
      </c>
      <c r="O131" s="91"/>
      <c r="P131" s="91"/>
      <c r="Q131" s="91"/>
      <c r="R131" s="47"/>
      <c r="S131" s="17"/>
      <c r="T131" s="534"/>
      <c r="U131" s="91"/>
      <c r="V131" s="91"/>
      <c r="W131" s="507"/>
    </row>
    <row r="132" spans="2:23" x14ac:dyDescent="0.2">
      <c r="B132" s="75"/>
      <c r="C132" s="523"/>
      <c r="D132" s="92"/>
      <c r="E132" s="41"/>
      <c r="F132" s="524"/>
      <c r="G132" s="91"/>
      <c r="H132" s="91"/>
      <c r="I132" s="91"/>
      <c r="J132" s="91"/>
      <c r="K132" s="47"/>
      <c r="L132" s="41"/>
      <c r="M132" s="524"/>
      <c r="N132" s="91"/>
      <c r="O132" s="91"/>
      <c r="P132" s="91"/>
      <c r="Q132" s="91"/>
      <c r="R132" s="47"/>
      <c r="S132" s="41"/>
      <c r="T132" s="535"/>
      <c r="U132" s="133"/>
      <c r="V132" s="91"/>
      <c r="W132" s="296"/>
    </row>
    <row r="133" spans="2:23" x14ac:dyDescent="0.2">
      <c r="B133" s="536" t="s">
        <v>126</v>
      </c>
      <c r="C133" s="537"/>
      <c r="D133" s="92"/>
      <c r="E133" s="41"/>
      <c r="F133" s="532">
        <f>F131</f>
        <v>6158181.5454385746</v>
      </c>
      <c r="G133" s="131">
        <f>G131</f>
        <v>6841177.3197368756</v>
      </c>
      <c r="H133" s="91"/>
      <c r="I133" s="91"/>
      <c r="J133" s="91"/>
      <c r="K133" s="47"/>
      <c r="L133" s="41"/>
      <c r="M133" s="532">
        <f>M131</f>
        <v>6121683.567769845</v>
      </c>
      <c r="N133" s="131">
        <f>N131</f>
        <v>6799880.6744118314</v>
      </c>
      <c r="O133" s="91"/>
      <c r="P133" s="91"/>
      <c r="Q133" s="91"/>
      <c r="R133" s="47"/>
      <c r="S133" s="41"/>
      <c r="T133" s="534"/>
      <c r="U133" s="91"/>
      <c r="V133" s="91"/>
      <c r="W133" s="296"/>
    </row>
    <row r="134" spans="2:23" x14ac:dyDescent="0.2">
      <c r="B134" s="88" t="s">
        <v>269</v>
      </c>
      <c r="C134" s="495"/>
      <c r="D134" s="92"/>
      <c r="E134" s="41"/>
      <c r="F134" s="524"/>
      <c r="G134" s="91"/>
      <c r="H134" s="81">
        <f>H$102*E131</f>
        <v>-28254.383099999999</v>
      </c>
      <c r="I134" s="81">
        <f>I$102*E131</f>
        <v>801796.60485999996</v>
      </c>
      <c r="J134" s="85"/>
      <c r="K134" s="47"/>
      <c r="L134" s="41"/>
      <c r="M134" s="524"/>
      <c r="N134" s="91"/>
      <c r="O134" s="81">
        <f>O$102*L131</f>
        <v>-513883.63950000005</v>
      </c>
      <c r="P134" s="81">
        <f>P$102*L131</f>
        <v>1641936.0893600001</v>
      </c>
      <c r="Q134" s="85"/>
      <c r="R134" s="47"/>
      <c r="S134" s="41"/>
      <c r="T134" s="524"/>
      <c r="U134" s="41"/>
      <c r="V134" s="81"/>
      <c r="W134" s="517"/>
    </row>
    <row r="135" spans="2:23" x14ac:dyDescent="0.2">
      <c r="B135" s="94" t="str">
        <f>"Total "&amp;B121</f>
        <v>Total Schedule 85 - Transportation</v>
      </c>
      <c r="C135" s="521"/>
      <c r="D135" s="92"/>
      <c r="E135" s="41"/>
      <c r="F135" s="524"/>
      <c r="G135" s="91"/>
      <c r="H135" s="85"/>
      <c r="I135" s="513">
        <f>G133+H134+I134</f>
        <v>7614719.5414968757</v>
      </c>
      <c r="J135" s="95"/>
      <c r="K135" s="47"/>
      <c r="L135" s="41"/>
      <c r="M135" s="524"/>
      <c r="N135" s="91"/>
      <c r="O135" s="85"/>
      <c r="P135" s="513">
        <f>N133+O134+P134</f>
        <v>7927933.1242718324</v>
      </c>
      <c r="Q135" s="95"/>
      <c r="R135" s="47"/>
      <c r="S135" s="41"/>
      <c r="T135" s="524"/>
      <c r="U135" s="41"/>
      <c r="V135" s="513"/>
      <c r="W135" s="538"/>
    </row>
    <row r="136" spans="2:23" x14ac:dyDescent="0.2">
      <c r="B136" s="79"/>
      <c r="C136" s="498"/>
      <c r="D136" s="132"/>
      <c r="E136" s="80"/>
      <c r="F136" s="498"/>
      <c r="G136" s="80"/>
      <c r="H136" s="80"/>
      <c r="I136" s="80"/>
      <c r="J136" s="80"/>
      <c r="K136" s="80"/>
      <c r="L136" s="80"/>
      <c r="M136" s="498"/>
      <c r="N136" s="80"/>
      <c r="O136" s="80"/>
      <c r="P136" s="80"/>
      <c r="Q136" s="80"/>
      <c r="R136" s="80"/>
      <c r="S136" s="80"/>
      <c r="T136" s="498"/>
      <c r="U136" s="80"/>
      <c r="V136" s="80"/>
      <c r="W136" s="530"/>
    </row>
    <row r="137" spans="2:23" x14ac:dyDescent="0.2">
      <c r="B137" s="47"/>
      <c r="C137" s="495"/>
      <c r="D137" s="78"/>
      <c r="G137" s="44"/>
      <c r="H137" s="85"/>
      <c r="I137" s="85"/>
      <c r="J137" s="85"/>
      <c r="K137" s="44"/>
      <c r="N137" s="44"/>
      <c r="O137" s="44"/>
      <c r="P137" s="44"/>
      <c r="Q137" s="85"/>
      <c r="R137" s="44"/>
      <c r="U137" s="44"/>
      <c r="V137" s="44"/>
      <c r="W137" s="44"/>
    </row>
    <row r="138" spans="2:23" x14ac:dyDescent="0.2">
      <c r="B138" s="488" t="s">
        <v>273</v>
      </c>
      <c r="C138" s="489"/>
      <c r="D138" s="74"/>
      <c r="E138" s="17">
        <f>E146+E166</f>
        <v>6233899</v>
      </c>
      <c r="F138" s="490"/>
      <c r="G138" s="105"/>
      <c r="H138" s="105">
        <v>-2261.7903827306682</v>
      </c>
      <c r="I138" s="105">
        <v>64890.102143631855</v>
      </c>
      <c r="J138" s="491">
        <v>2774.6506744699045</v>
      </c>
      <c r="K138" s="492"/>
      <c r="L138" s="17">
        <f>L146+L166</f>
        <v>6068110</v>
      </c>
      <c r="M138" s="490"/>
      <c r="N138" s="492"/>
      <c r="O138" s="105">
        <v>-41419.436174809249</v>
      </c>
      <c r="P138" s="105">
        <v>132390.84508290075</v>
      </c>
      <c r="Q138" s="491">
        <v>2696.3070268991123</v>
      </c>
      <c r="R138" s="492"/>
      <c r="S138" s="17"/>
      <c r="T138" s="490"/>
      <c r="U138" s="493"/>
      <c r="V138" s="105"/>
      <c r="W138" s="494"/>
    </row>
    <row r="139" spans="2:23" x14ac:dyDescent="0.2">
      <c r="B139" s="88"/>
      <c r="C139" s="495"/>
      <c r="D139" s="47"/>
      <c r="E139" s="47"/>
      <c r="F139" s="495"/>
      <c r="G139" s="127" t="s">
        <v>267</v>
      </c>
      <c r="H139" s="78">
        <f>ROUND(H138/E138, 5)</f>
        <v>-3.6000000000000002E-4</v>
      </c>
      <c r="I139" s="78">
        <f>ROUND(I138/E138, 5)</f>
        <v>1.0410000000000001E-2</v>
      </c>
      <c r="J139" s="496">
        <f>ROUND(J138/E152, 5)</f>
        <v>4.8999999999999998E-4</v>
      </c>
      <c r="L139" s="47"/>
      <c r="M139" s="495"/>
      <c r="N139" s="92"/>
      <c r="O139" s="78">
        <f>ROUND(O138/L138, 5)</f>
        <v>-6.8300000000000001E-3</v>
      </c>
      <c r="P139" s="78">
        <f>ROUND(P138/L138, 5)</f>
        <v>2.1819999999999999E-2</v>
      </c>
      <c r="Q139" s="496">
        <f>ROUND(Q138/L152, 5)</f>
        <v>4.8999999999999998E-4</v>
      </c>
      <c r="S139" s="47"/>
      <c r="T139" s="495"/>
      <c r="U139" s="92"/>
      <c r="V139" s="78"/>
      <c r="W139" s="497"/>
    </row>
    <row r="140" spans="2:23" x14ac:dyDescent="0.2">
      <c r="B140" s="79"/>
      <c r="C140" s="498"/>
      <c r="D140" s="80"/>
      <c r="E140" s="499" t="s">
        <v>252</v>
      </c>
      <c r="F140" s="500">
        <f>F152+F168</f>
        <v>1247670.0419045878</v>
      </c>
      <c r="G140" s="81">
        <f>G152+G168</f>
        <v>1301149.7270639944</v>
      </c>
      <c r="H140" s="501"/>
      <c r="I140" s="501"/>
      <c r="J140" s="501"/>
      <c r="K140" s="126"/>
      <c r="L140" s="499" t="s">
        <v>252</v>
      </c>
      <c r="M140" s="500">
        <f>M152+M168</f>
        <v>1211985.7785573273</v>
      </c>
      <c r="N140" s="81">
        <f>N152+N168</f>
        <v>1264029.5076047436</v>
      </c>
      <c r="O140" s="501"/>
      <c r="P140" s="501"/>
      <c r="Q140" s="501"/>
      <c r="R140" s="126"/>
      <c r="S140" s="499"/>
      <c r="T140" s="500"/>
      <c r="U140" s="81"/>
      <c r="V140" s="501"/>
      <c r="W140" s="517"/>
    </row>
    <row r="141" spans="2:23" x14ac:dyDescent="0.2">
      <c r="B141" s="526"/>
      <c r="C141" s="527"/>
      <c r="D141" s="528"/>
      <c r="E141" s="274"/>
      <c r="F141" s="519"/>
      <c r="G141" s="274"/>
      <c r="H141" s="274"/>
      <c r="I141" s="274"/>
      <c r="J141" s="274"/>
      <c r="K141" s="274"/>
      <c r="L141" s="274"/>
      <c r="M141" s="519"/>
      <c r="N141" s="274"/>
      <c r="O141" s="274"/>
      <c r="P141" s="274"/>
      <c r="Q141" s="274"/>
      <c r="R141" s="274"/>
      <c r="S141" s="274"/>
      <c r="T141" s="519"/>
      <c r="U141" s="274"/>
      <c r="V141" s="274"/>
      <c r="W141" s="274"/>
    </row>
    <row r="142" spans="2:23" x14ac:dyDescent="0.2">
      <c r="B142" s="87" t="s">
        <v>151</v>
      </c>
      <c r="C142" s="518"/>
      <c r="D142" s="533"/>
      <c r="E142" s="274"/>
      <c r="F142" s="519"/>
      <c r="G142" s="274"/>
      <c r="H142" s="274"/>
      <c r="I142" s="274"/>
      <c r="J142" s="274"/>
      <c r="K142" s="274"/>
      <c r="L142" s="274"/>
      <c r="M142" s="519"/>
      <c r="N142" s="274"/>
      <c r="O142" s="274"/>
      <c r="P142" s="274"/>
      <c r="Q142" s="274"/>
      <c r="R142" s="274"/>
      <c r="S142" s="274"/>
      <c r="T142" s="519"/>
      <c r="U142" s="274"/>
      <c r="V142" s="274"/>
      <c r="W142" s="520"/>
    </row>
    <row r="143" spans="2:23" x14ac:dyDescent="0.2">
      <c r="B143" s="88"/>
      <c r="C143" s="495"/>
      <c r="D143" s="78"/>
      <c r="E143" s="47"/>
      <c r="F143" s="495"/>
      <c r="G143" s="47"/>
      <c r="H143" s="47"/>
      <c r="I143" s="47"/>
      <c r="J143" s="47"/>
      <c r="K143" s="47"/>
      <c r="L143" s="47"/>
      <c r="M143" s="495"/>
      <c r="N143" s="47"/>
      <c r="O143" s="47"/>
      <c r="P143" s="47"/>
      <c r="Q143" s="47"/>
      <c r="R143" s="47"/>
      <c r="S143" s="47"/>
      <c r="T143" s="495"/>
      <c r="U143" s="47"/>
      <c r="V143" s="47"/>
      <c r="W143" s="529"/>
    </row>
    <row r="144" spans="2:23" x14ac:dyDescent="0.2">
      <c r="B144" s="75" t="s">
        <v>92</v>
      </c>
      <c r="C144" s="508">
        <f>'Exh JDT-5 (JDT-INTRPL-RD)'!E59</f>
        <v>148.82</v>
      </c>
      <c r="D144" s="92">
        <f>'Exh JDT-5 (JDT-INTRPL-RD)'!$H$59</f>
        <v>148.82</v>
      </c>
      <c r="E144" s="41">
        <v>1194</v>
      </c>
      <c r="F144" s="509">
        <f t="shared" ref="F144:F146" si="12">SUM(+E144*C144)</f>
        <v>177691.08</v>
      </c>
      <c r="G144" s="85">
        <f>SUM(+E144*D144)</f>
        <v>177691.08</v>
      </c>
      <c r="H144" s="85"/>
      <c r="I144" s="85"/>
      <c r="J144" s="85"/>
      <c r="K144" s="47"/>
      <c r="L144" s="41">
        <v>1128</v>
      </c>
      <c r="M144" s="509">
        <f t="shared" ref="M144:M146" si="13">SUM(+L144*C144)</f>
        <v>167868.96</v>
      </c>
      <c r="N144" s="85">
        <f>SUM(+L144*D144)</f>
        <v>167868.96</v>
      </c>
      <c r="O144" s="85"/>
      <c r="P144" s="85"/>
      <c r="Q144" s="85"/>
      <c r="R144" s="47"/>
      <c r="S144" s="41"/>
      <c r="T144" s="509"/>
      <c r="U144" s="85"/>
      <c r="V144" s="85"/>
      <c r="W144" s="507"/>
    </row>
    <row r="145" spans="2:23" x14ac:dyDescent="0.2">
      <c r="B145" s="88" t="s">
        <v>100</v>
      </c>
      <c r="C145" s="510">
        <f>'Exh JDT-5 (JDT-INTRPL-RD)'!E60</f>
        <v>1.35</v>
      </c>
      <c r="D145" s="78">
        <f>'Exh JDT-5 (JDT-INTRPL-RD)'!$H$60</f>
        <v>1.35</v>
      </c>
      <c r="E145" s="41">
        <v>38184</v>
      </c>
      <c r="F145" s="509">
        <f t="shared" si="12"/>
        <v>51548.4</v>
      </c>
      <c r="G145" s="85">
        <f>SUM(+E145*D145)</f>
        <v>51548.4</v>
      </c>
      <c r="H145" s="85"/>
      <c r="I145" s="85"/>
      <c r="J145" s="85"/>
      <c r="K145" s="47"/>
      <c r="L145" s="41">
        <v>38184</v>
      </c>
      <c r="M145" s="509">
        <f t="shared" si="13"/>
        <v>51548.4</v>
      </c>
      <c r="N145" s="85">
        <f>SUM(+L145*D145)</f>
        <v>51548.4</v>
      </c>
      <c r="O145" s="85"/>
      <c r="P145" s="85"/>
      <c r="Q145" s="85"/>
      <c r="R145" s="47"/>
      <c r="S145" s="41"/>
      <c r="T145" s="509"/>
      <c r="U145" s="85"/>
      <c r="V145" s="85"/>
      <c r="W145" s="507"/>
    </row>
    <row r="146" spans="2:23" x14ac:dyDescent="0.2">
      <c r="B146" s="88" t="s">
        <v>97</v>
      </c>
      <c r="C146" s="510">
        <f>'Exh JDT-5 (JDT-INTRPL-RD)'!E61</f>
        <v>1.222E-2</v>
      </c>
      <c r="D146" s="78">
        <f>'Exh JDT-5 (JDT-INTRPL-RD)'!$H$61</f>
        <v>1.222E-2</v>
      </c>
      <c r="E146" s="41">
        <f>E152</f>
        <v>5691490</v>
      </c>
      <c r="F146" s="509">
        <f t="shared" si="12"/>
        <v>69550.007800000007</v>
      </c>
      <c r="G146" s="85">
        <f>SUM(+E146*D146)</f>
        <v>69550.007800000007</v>
      </c>
      <c r="H146" s="85"/>
      <c r="I146" s="85"/>
      <c r="J146" s="85"/>
      <c r="K146" s="47"/>
      <c r="L146" s="41">
        <f>L152</f>
        <v>5489408</v>
      </c>
      <c r="M146" s="509">
        <f t="shared" si="13"/>
        <v>67080.565759999998</v>
      </c>
      <c r="N146" s="85">
        <f>SUM(+L146*D146)</f>
        <v>67080.565759999998</v>
      </c>
      <c r="O146" s="85"/>
      <c r="P146" s="85"/>
      <c r="Q146" s="85"/>
      <c r="R146" s="47"/>
      <c r="S146" s="41"/>
      <c r="T146" s="509"/>
      <c r="U146" s="85"/>
      <c r="V146" s="85"/>
      <c r="W146" s="507"/>
    </row>
    <row r="147" spans="2:23" x14ac:dyDescent="0.2">
      <c r="B147" s="88" t="s">
        <v>107</v>
      </c>
      <c r="C147" s="495"/>
      <c r="D147" s="78"/>
      <c r="E147" s="41"/>
      <c r="F147" s="524">
        <f>G147</f>
        <v>7612.77</v>
      </c>
      <c r="G147" s="85">
        <v>7612.77</v>
      </c>
      <c r="H147" s="85"/>
      <c r="I147" s="85"/>
      <c r="J147" s="85"/>
      <c r="K147" s="47"/>
      <c r="L147" s="41"/>
      <c r="M147" s="524">
        <f>N147</f>
        <v>7612.77</v>
      </c>
      <c r="N147" s="85">
        <v>7612.77</v>
      </c>
      <c r="O147" s="85"/>
      <c r="P147" s="85"/>
      <c r="Q147" s="85"/>
      <c r="R147" s="47"/>
      <c r="S147" s="41"/>
      <c r="T147" s="524"/>
      <c r="U147" s="85"/>
      <c r="V147" s="85"/>
      <c r="W147" s="507"/>
    </row>
    <row r="148" spans="2:23" x14ac:dyDescent="0.2">
      <c r="B148" s="88"/>
      <c r="C148" s="495"/>
      <c r="D148" s="78"/>
      <c r="E148" s="47"/>
      <c r="F148" s="495"/>
      <c r="G148" s="47"/>
      <c r="H148" s="47"/>
      <c r="I148" s="47"/>
      <c r="J148" s="47"/>
      <c r="K148" s="47"/>
      <c r="L148" s="47"/>
      <c r="M148" s="495"/>
      <c r="N148" s="47"/>
      <c r="O148" s="47"/>
      <c r="P148" s="47"/>
      <c r="Q148" s="47"/>
      <c r="R148" s="47"/>
      <c r="S148" s="47"/>
      <c r="T148" s="495"/>
      <c r="U148" s="47"/>
      <c r="V148" s="47"/>
      <c r="W148" s="529"/>
    </row>
    <row r="149" spans="2:23" x14ac:dyDescent="0.2">
      <c r="B149" s="88" t="s">
        <v>101</v>
      </c>
      <c r="C149" s="495"/>
      <c r="D149" s="78"/>
      <c r="E149" s="47"/>
      <c r="F149" s="495"/>
      <c r="G149" s="47"/>
      <c r="H149" s="47"/>
      <c r="I149" s="47"/>
      <c r="J149" s="47"/>
      <c r="K149" s="47"/>
      <c r="L149" s="47"/>
      <c r="M149" s="495"/>
      <c r="N149" s="47"/>
      <c r="O149" s="47"/>
      <c r="P149" s="47"/>
      <c r="Q149" s="47"/>
      <c r="R149" s="47"/>
      <c r="S149" s="47"/>
      <c r="T149" s="495"/>
      <c r="U149" s="47"/>
      <c r="V149" s="47"/>
      <c r="W149" s="529"/>
    </row>
    <row r="150" spans="2:23" x14ac:dyDescent="0.2">
      <c r="B150" s="88" t="s">
        <v>112</v>
      </c>
      <c r="C150" s="510">
        <f>'Exh JDT-5 (JDT-INTRPL-RD)'!E65</f>
        <v>0.18382000000000001</v>
      </c>
      <c r="D150" s="78">
        <f>'Exh JDT-5 (JDT-INTRPL-RD)'!$H$65</f>
        <v>0.1951</v>
      </c>
      <c r="E150" s="41">
        <v>1046420.020336004</v>
      </c>
      <c r="F150" s="509">
        <f t="shared" ref="F150:F151" si="14">SUM(+E150*C150)</f>
        <v>192352.92813816425</v>
      </c>
      <c r="G150" s="85">
        <f>SUM(+E150*D150)</f>
        <v>204156.54596755438</v>
      </c>
      <c r="H150" s="85"/>
      <c r="I150" s="85"/>
      <c r="J150" s="85"/>
      <c r="K150" s="47"/>
      <c r="L150" s="41">
        <v>1009396.7998300681</v>
      </c>
      <c r="M150" s="509">
        <f t="shared" ref="M150:M151" si="15">SUM(+L150*C150)</f>
        <v>185547.31974476314</v>
      </c>
      <c r="N150" s="85">
        <f>SUM(+L150*D150)</f>
        <v>196933.31564684628</v>
      </c>
      <c r="O150" s="85"/>
      <c r="P150" s="85"/>
      <c r="Q150" s="85"/>
      <c r="R150" s="47"/>
      <c r="S150" s="41"/>
      <c r="T150" s="509"/>
      <c r="U150" s="85"/>
      <c r="V150" s="85"/>
      <c r="W150" s="529"/>
    </row>
    <row r="151" spans="2:23" x14ac:dyDescent="0.2">
      <c r="B151" s="88" t="s">
        <v>113</v>
      </c>
      <c r="C151" s="510">
        <f>'Exh JDT-5 (JDT-INTRPL-RD)'!E66</f>
        <v>0.13031000000000001</v>
      </c>
      <c r="D151" s="78">
        <f>'Exh JDT-5 (JDT-INTRPL-RD)'!$H$66</f>
        <v>0.13830999999999999</v>
      </c>
      <c r="E151" s="41">
        <v>4645069.979663996</v>
      </c>
      <c r="F151" s="509">
        <f t="shared" si="14"/>
        <v>605299.06905001542</v>
      </c>
      <c r="G151" s="85">
        <f>SUM(+E151*D151)</f>
        <v>642459.62888732727</v>
      </c>
      <c r="H151" s="85"/>
      <c r="I151" s="85"/>
      <c r="J151" s="85"/>
      <c r="K151" s="47"/>
      <c r="L151" s="41">
        <v>4480011.2001699321</v>
      </c>
      <c r="M151" s="509">
        <f t="shared" si="15"/>
        <v>583790.25949414389</v>
      </c>
      <c r="N151" s="85">
        <f>SUM(+L151*D151)</f>
        <v>619630.34909550322</v>
      </c>
      <c r="O151" s="85"/>
      <c r="P151" s="85"/>
      <c r="Q151" s="85"/>
      <c r="R151" s="47"/>
      <c r="S151" s="41"/>
      <c r="T151" s="500"/>
      <c r="U151" s="81"/>
      <c r="V151" s="85"/>
      <c r="W151" s="529"/>
    </row>
    <row r="152" spans="2:23" x14ac:dyDescent="0.2">
      <c r="B152" s="536" t="s">
        <v>126</v>
      </c>
      <c r="C152" s="537"/>
      <c r="D152" s="78"/>
      <c r="E152" s="17">
        <f>SUM(E150:E151)</f>
        <v>5691490</v>
      </c>
      <c r="F152" s="532">
        <f>SUM(F144:F151)</f>
        <v>1104054.2549881795</v>
      </c>
      <c r="G152" s="131">
        <f>SUM(G144:G151)</f>
        <v>1153018.4326548816</v>
      </c>
      <c r="H152" s="91"/>
      <c r="I152" s="91"/>
      <c r="J152" s="91"/>
      <c r="K152" s="47"/>
      <c r="L152" s="17">
        <f>SUM(L150:L151)</f>
        <v>5489408</v>
      </c>
      <c r="M152" s="532">
        <f>SUM(M144:M151)</f>
        <v>1063448.274998907</v>
      </c>
      <c r="N152" s="131">
        <f>SUM(N144:N151)</f>
        <v>1110674.3605023497</v>
      </c>
      <c r="O152" s="91"/>
      <c r="P152" s="91"/>
      <c r="Q152" s="91"/>
      <c r="R152" s="47"/>
      <c r="S152" s="17"/>
      <c r="T152" s="534"/>
      <c r="U152" s="91"/>
      <c r="V152" s="91"/>
      <c r="W152" s="529"/>
    </row>
    <row r="153" spans="2:23" x14ac:dyDescent="0.2">
      <c r="B153" s="88" t="s">
        <v>269</v>
      </c>
      <c r="C153" s="495"/>
      <c r="D153" s="92"/>
      <c r="E153" s="41"/>
      <c r="F153" s="524"/>
      <c r="G153" s="91"/>
      <c r="H153" s="81">
        <f>H$139*E152</f>
        <v>-2048.9364</v>
      </c>
      <c r="I153" s="81">
        <f>I$139*E152</f>
        <v>59248.410900000003</v>
      </c>
      <c r="J153" s="512">
        <f>J$139*E152</f>
        <v>2788.8301000000001</v>
      </c>
      <c r="K153" s="47"/>
      <c r="L153" s="41"/>
      <c r="M153" s="524"/>
      <c r="N153" s="91"/>
      <c r="O153" s="81">
        <f>O$139*L152</f>
        <v>-37492.656640000001</v>
      </c>
      <c r="P153" s="81">
        <f>P$139*L152</f>
        <v>119778.88256</v>
      </c>
      <c r="Q153" s="512">
        <f>Q$139*L152</f>
        <v>2689.8099199999997</v>
      </c>
      <c r="R153" s="47"/>
      <c r="S153" s="41"/>
      <c r="T153" s="524"/>
      <c r="U153" s="41"/>
      <c r="V153" s="81"/>
      <c r="W153" s="517"/>
    </row>
    <row r="154" spans="2:23" x14ac:dyDescent="0.2">
      <c r="B154" s="94" t="str">
        <f>"Total "&amp;B142</f>
        <v>Total Schedule 86 - Sales</v>
      </c>
      <c r="C154" s="521"/>
      <c r="D154" s="92"/>
      <c r="E154" s="41"/>
      <c r="F154" s="524"/>
      <c r="G154" s="91"/>
      <c r="H154" s="85"/>
      <c r="I154" s="513">
        <f>G152+H153+I153</f>
        <v>1210217.9071548816</v>
      </c>
      <c r="J154" s="95"/>
      <c r="K154" s="47"/>
      <c r="L154" s="41"/>
      <c r="M154" s="524"/>
      <c r="N154" s="91"/>
      <c r="O154" s="85"/>
      <c r="P154" s="513">
        <f>N152+O153+P153</f>
        <v>1192960.5864223498</v>
      </c>
      <c r="Q154" s="95"/>
      <c r="R154" s="47"/>
      <c r="S154" s="41"/>
      <c r="T154" s="524"/>
      <c r="U154" s="41"/>
      <c r="V154" s="513"/>
      <c r="W154" s="538"/>
    </row>
    <row r="155" spans="2:23" x14ac:dyDescent="0.2">
      <c r="B155" s="79"/>
      <c r="C155" s="498"/>
      <c r="D155" s="135"/>
      <c r="E155" s="80"/>
      <c r="F155" s="498"/>
      <c r="G155" s="80"/>
      <c r="H155" s="80"/>
      <c r="I155" s="80"/>
      <c r="J155" s="80"/>
      <c r="K155" s="80"/>
      <c r="L155" s="80"/>
      <c r="M155" s="498"/>
      <c r="N155" s="80"/>
      <c r="O155" s="80"/>
      <c r="P155" s="80"/>
      <c r="Q155" s="80"/>
      <c r="R155" s="80"/>
      <c r="S155" s="80"/>
      <c r="T155" s="498"/>
      <c r="U155" s="80"/>
      <c r="V155" s="80"/>
      <c r="W155" s="530"/>
    </row>
    <row r="156" spans="2:23" x14ac:dyDescent="0.2">
      <c r="B156" s="47"/>
      <c r="C156" s="495"/>
      <c r="D156" s="136"/>
      <c r="E156" s="47"/>
      <c r="F156" s="495"/>
      <c r="G156" s="47"/>
      <c r="H156" s="47"/>
      <c r="I156" s="47"/>
      <c r="J156" s="47"/>
      <c r="K156" s="47"/>
      <c r="L156" s="47"/>
      <c r="M156" s="495"/>
      <c r="N156" s="47"/>
      <c r="O156" s="47"/>
      <c r="P156" s="47"/>
      <c r="Q156" s="47"/>
      <c r="R156" s="47"/>
      <c r="S156" s="47"/>
      <c r="T156" s="495"/>
      <c r="U156" s="47"/>
      <c r="V156" s="47"/>
      <c r="W156" s="47"/>
    </row>
    <row r="157" spans="2:23" x14ac:dyDescent="0.2">
      <c r="B157" s="87" t="s">
        <v>153</v>
      </c>
      <c r="C157" s="518"/>
      <c r="D157" s="533"/>
      <c r="E157" s="274"/>
      <c r="F157" s="519"/>
      <c r="G157" s="274"/>
      <c r="H157" s="274"/>
      <c r="I157" s="274"/>
      <c r="J157" s="274"/>
      <c r="K157" s="274"/>
      <c r="L157" s="274"/>
      <c r="M157" s="519"/>
      <c r="N157" s="274"/>
      <c r="O157" s="274"/>
      <c r="P157" s="274"/>
      <c r="Q157" s="274"/>
      <c r="R157" s="274"/>
      <c r="S157" s="274"/>
      <c r="T157" s="519"/>
      <c r="U157" s="274"/>
      <c r="V157" s="274"/>
      <c r="W157" s="520"/>
    </row>
    <row r="158" spans="2:23" x14ac:dyDescent="0.2">
      <c r="B158" s="88"/>
      <c r="C158" s="495"/>
      <c r="D158" s="78"/>
      <c r="E158" s="47"/>
      <c r="F158" s="495"/>
      <c r="G158" s="47"/>
      <c r="H158" s="47"/>
      <c r="I158" s="47"/>
      <c r="J158" s="47"/>
      <c r="K158" s="47"/>
      <c r="L158" s="47"/>
      <c r="M158" s="495"/>
      <c r="N158" s="47"/>
      <c r="O158" s="47"/>
      <c r="P158" s="47"/>
      <c r="Q158" s="47"/>
      <c r="R158" s="47"/>
      <c r="S158" s="47"/>
      <c r="T158" s="495"/>
      <c r="U158" s="47"/>
      <c r="V158" s="47"/>
      <c r="W158" s="529"/>
    </row>
    <row r="159" spans="2:23" x14ac:dyDescent="0.2">
      <c r="B159" s="75" t="s">
        <v>92</v>
      </c>
      <c r="C159" s="508">
        <f>'Exh JDT-5 (JDT-INTRPL-RD)'!E74</f>
        <v>457.76</v>
      </c>
      <c r="D159" s="92">
        <f>'Exh JDT-5 (JDT-INTRPL-RD)'!$H$74</f>
        <v>457.76</v>
      </c>
      <c r="E159" s="41">
        <v>96</v>
      </c>
      <c r="F159" s="509">
        <f t="shared" ref="F159:F160" si="16">SUM(+E159*C159)</f>
        <v>43944.959999999999</v>
      </c>
      <c r="G159" s="85">
        <f>SUM(+E159*D159)</f>
        <v>43944.959999999999</v>
      </c>
      <c r="H159" s="85"/>
      <c r="I159" s="85"/>
      <c r="J159" s="85"/>
      <c r="K159" s="47"/>
      <c r="L159" s="41">
        <v>96</v>
      </c>
      <c r="M159" s="509">
        <f t="shared" ref="M159:M160" si="17">SUM(+L159*C159)</f>
        <v>43944.959999999999</v>
      </c>
      <c r="N159" s="85">
        <f>SUM(+L159*D159)</f>
        <v>43944.959999999999</v>
      </c>
      <c r="O159" s="85"/>
      <c r="P159" s="85"/>
      <c r="Q159" s="85"/>
      <c r="R159" s="47"/>
      <c r="S159" s="41"/>
      <c r="T159" s="509"/>
      <c r="U159" s="85"/>
      <c r="V159" s="85"/>
      <c r="W159" s="507"/>
    </row>
    <row r="160" spans="2:23" x14ac:dyDescent="0.2">
      <c r="B160" s="88" t="s">
        <v>100</v>
      </c>
      <c r="C160" s="508">
        <f>'Exh JDT-5 (JDT-INTRPL-RD)'!E75</f>
        <v>1.35</v>
      </c>
      <c r="D160" s="92">
        <f>'Exh JDT-5 (JDT-INTRPL-RD)'!$H$75</f>
        <v>1.35</v>
      </c>
      <c r="E160" s="41">
        <v>19344</v>
      </c>
      <c r="F160" s="509">
        <f t="shared" si="16"/>
        <v>26114.400000000001</v>
      </c>
      <c r="G160" s="85">
        <f>SUM(+E160*D160)</f>
        <v>26114.400000000001</v>
      </c>
      <c r="H160" s="85"/>
      <c r="I160" s="85"/>
      <c r="J160" s="85"/>
      <c r="K160" s="47"/>
      <c r="L160" s="41">
        <v>19344</v>
      </c>
      <c r="M160" s="509">
        <f t="shared" si="17"/>
        <v>26114.400000000001</v>
      </c>
      <c r="N160" s="85">
        <f>SUM(+L160*D160)</f>
        <v>26114.400000000001</v>
      </c>
      <c r="O160" s="85"/>
      <c r="P160" s="85"/>
      <c r="Q160" s="85"/>
      <c r="R160" s="47"/>
      <c r="S160" s="41"/>
      <c r="T160" s="509"/>
      <c r="U160" s="85"/>
      <c r="V160" s="85"/>
      <c r="W160" s="507"/>
    </row>
    <row r="161" spans="2:23" x14ac:dyDescent="0.2">
      <c r="B161" s="88" t="s">
        <v>107</v>
      </c>
      <c r="C161" s="510"/>
      <c r="D161" s="78"/>
      <c r="E161" s="41"/>
      <c r="F161" s="524"/>
      <c r="G161" s="85">
        <v>0</v>
      </c>
      <c r="H161" s="85"/>
      <c r="I161" s="85"/>
      <c r="J161" s="85"/>
      <c r="K161" s="47"/>
      <c r="L161" s="41"/>
      <c r="M161" s="524"/>
      <c r="N161" s="85">
        <v>0</v>
      </c>
      <c r="O161" s="85"/>
      <c r="P161" s="85"/>
      <c r="Q161" s="85"/>
      <c r="R161" s="47"/>
      <c r="S161" s="41"/>
      <c r="T161" s="524"/>
      <c r="U161" s="85"/>
      <c r="V161" s="85"/>
      <c r="W161" s="507"/>
    </row>
    <row r="162" spans="2:23" x14ac:dyDescent="0.2">
      <c r="B162" s="88"/>
      <c r="C162" s="510"/>
      <c r="D162" s="78"/>
      <c r="E162" s="41"/>
      <c r="F162" s="524"/>
      <c r="G162" s="85"/>
      <c r="H162" s="85"/>
      <c r="I162" s="85"/>
      <c r="J162" s="85"/>
      <c r="K162" s="47"/>
      <c r="L162" s="41"/>
      <c r="M162" s="524"/>
      <c r="N162" s="85"/>
      <c r="O162" s="85"/>
      <c r="P162" s="85"/>
      <c r="Q162" s="85"/>
      <c r="R162" s="47"/>
      <c r="S162" s="41"/>
      <c r="T162" s="524"/>
      <c r="U162" s="85"/>
      <c r="V162" s="85"/>
      <c r="W162" s="507"/>
    </row>
    <row r="163" spans="2:23" x14ac:dyDescent="0.2">
      <c r="B163" s="88" t="s">
        <v>101</v>
      </c>
      <c r="C163" s="510"/>
      <c r="D163" s="78"/>
      <c r="E163" s="47"/>
      <c r="F163" s="495"/>
      <c r="G163" s="47"/>
      <c r="H163" s="47"/>
      <c r="I163" s="47"/>
      <c r="J163" s="47"/>
      <c r="K163" s="47"/>
      <c r="L163" s="47"/>
      <c r="M163" s="495"/>
      <c r="N163" s="47"/>
      <c r="O163" s="47"/>
      <c r="P163" s="47"/>
      <c r="Q163" s="47"/>
      <c r="R163" s="47"/>
      <c r="S163" s="47"/>
      <c r="T163" s="495"/>
      <c r="U163" s="47"/>
      <c r="V163" s="47"/>
      <c r="W163" s="529"/>
    </row>
    <row r="164" spans="2:23" x14ac:dyDescent="0.2">
      <c r="B164" s="88" t="s">
        <v>112</v>
      </c>
      <c r="C164" s="510">
        <f>'Exh JDT-5 (JDT-INTRPL-RD)'!E79</f>
        <v>0.18382000000000001</v>
      </c>
      <c r="D164" s="78">
        <f>'Exh JDT-5 (JDT-INTRPL-RD)'!$H$79</f>
        <v>0.1951</v>
      </c>
      <c r="E164" s="41">
        <v>53730.333141622155</v>
      </c>
      <c r="F164" s="509">
        <f t="shared" ref="F164:F165" si="18">SUM(+E164*C164)</f>
        <v>9876.7098380929856</v>
      </c>
      <c r="G164" s="85">
        <f>SUM(+E164*D164)</f>
        <v>10482.787995930483</v>
      </c>
      <c r="H164" s="85"/>
      <c r="I164" s="85"/>
      <c r="J164" s="85"/>
      <c r="K164" s="47"/>
      <c r="L164" s="41">
        <v>57325.470723610815</v>
      </c>
      <c r="M164" s="509">
        <f t="shared" ref="M164:M165" si="19">SUM(+L164*C164)</f>
        <v>10537.56802841414</v>
      </c>
      <c r="N164" s="85">
        <f>SUM(+L164*D164)</f>
        <v>11184.19933817647</v>
      </c>
      <c r="O164" s="85"/>
      <c r="P164" s="85"/>
      <c r="Q164" s="85"/>
      <c r="R164" s="47"/>
      <c r="S164" s="41"/>
      <c r="T164" s="509"/>
      <c r="U164" s="85"/>
      <c r="V164" s="85"/>
      <c r="W164" s="529"/>
    </row>
    <row r="165" spans="2:23" x14ac:dyDescent="0.2">
      <c r="B165" s="88" t="s">
        <v>113</v>
      </c>
      <c r="C165" s="510">
        <f>'Exh JDT-5 (JDT-INTRPL-RD)'!E80</f>
        <v>0.13031000000000001</v>
      </c>
      <c r="D165" s="78">
        <f>'Exh JDT-5 (JDT-INTRPL-RD)'!$H$80</f>
        <v>0.13830999999999999</v>
      </c>
      <c r="E165" s="41">
        <v>488678.66685837781</v>
      </c>
      <c r="F165" s="509">
        <f t="shared" si="18"/>
        <v>63679.717078315218</v>
      </c>
      <c r="G165" s="85">
        <f>SUM(+E165*D165)</f>
        <v>67589.146413182229</v>
      </c>
      <c r="H165" s="85"/>
      <c r="I165" s="85"/>
      <c r="J165" s="85"/>
      <c r="K165" s="47"/>
      <c r="L165" s="41">
        <v>521376.5292763891</v>
      </c>
      <c r="M165" s="509">
        <f t="shared" si="19"/>
        <v>67940.575530006274</v>
      </c>
      <c r="N165" s="85">
        <f>SUM(+L165*D165)</f>
        <v>72111.587764217373</v>
      </c>
      <c r="O165" s="85"/>
      <c r="P165" s="85"/>
      <c r="Q165" s="85"/>
      <c r="R165" s="47"/>
      <c r="S165" s="41"/>
      <c r="T165" s="500"/>
      <c r="U165" s="81"/>
      <c r="V165" s="85"/>
      <c r="W165" s="529"/>
    </row>
    <row r="166" spans="2:23" x14ac:dyDescent="0.2">
      <c r="B166" s="75" t="s">
        <v>128</v>
      </c>
      <c r="C166" s="523"/>
      <c r="D166" s="78"/>
      <c r="E166" s="17">
        <f>SUM(E164:E165)</f>
        <v>542409</v>
      </c>
      <c r="F166" s="532">
        <f>SUM(F159:F165)</f>
        <v>143615.78691640819</v>
      </c>
      <c r="G166" s="131">
        <f>SUM(G159:G165)</f>
        <v>148131.29440911271</v>
      </c>
      <c r="H166" s="91"/>
      <c r="I166" s="91"/>
      <c r="J166" s="91"/>
      <c r="K166" s="47"/>
      <c r="L166" s="17">
        <f>SUM(L164:L165)</f>
        <v>578701.99999999988</v>
      </c>
      <c r="M166" s="532">
        <f>SUM(M159:M165)</f>
        <v>148537.5035584204</v>
      </c>
      <c r="N166" s="131">
        <f>SUM(N159:N165)</f>
        <v>153355.14710239385</v>
      </c>
      <c r="O166" s="91"/>
      <c r="P166" s="91"/>
      <c r="Q166" s="91"/>
      <c r="R166" s="47"/>
      <c r="S166" s="17"/>
      <c r="T166" s="534"/>
      <c r="U166" s="91"/>
      <c r="V166" s="91"/>
      <c r="W166" s="529"/>
    </row>
    <row r="167" spans="2:23" x14ac:dyDescent="0.2">
      <c r="B167" s="75"/>
      <c r="C167" s="523"/>
      <c r="D167" s="78"/>
      <c r="E167" s="41"/>
      <c r="F167" s="524"/>
      <c r="G167" s="91"/>
      <c r="H167" s="91"/>
      <c r="I167" s="91"/>
      <c r="J167" s="91"/>
      <c r="K167" s="47"/>
      <c r="L167" s="41"/>
      <c r="M167" s="524"/>
      <c r="N167" s="91"/>
      <c r="O167" s="91"/>
      <c r="P167" s="91"/>
      <c r="Q167" s="91"/>
      <c r="R167" s="47"/>
      <c r="S167" s="41"/>
      <c r="T167" s="524"/>
      <c r="U167" s="91"/>
      <c r="V167" s="91"/>
      <c r="W167" s="529"/>
    </row>
    <row r="168" spans="2:23" x14ac:dyDescent="0.2">
      <c r="B168" s="536" t="s">
        <v>126</v>
      </c>
      <c r="C168" s="537"/>
      <c r="D168" s="92"/>
      <c r="E168" s="92"/>
      <c r="F168" s="532">
        <f>F166</f>
        <v>143615.78691640819</v>
      </c>
      <c r="G168" s="131">
        <f>G166</f>
        <v>148131.29440911271</v>
      </c>
      <c r="H168" s="91"/>
      <c r="I168" s="91"/>
      <c r="J168" s="91"/>
      <c r="K168" s="47"/>
      <c r="L168" s="41"/>
      <c r="M168" s="532">
        <f>M166</f>
        <v>148537.5035584204</v>
      </c>
      <c r="N168" s="131">
        <f>N166</f>
        <v>153355.14710239385</v>
      </c>
      <c r="O168" s="91"/>
      <c r="P168" s="91"/>
      <c r="Q168" s="91"/>
      <c r="R168" s="47"/>
      <c r="S168" s="41"/>
      <c r="T168" s="532"/>
      <c r="U168" s="131"/>
      <c r="V168" s="91"/>
      <c r="W168" s="529"/>
    </row>
    <row r="169" spans="2:23" x14ac:dyDescent="0.2">
      <c r="B169" s="88" t="s">
        <v>269</v>
      </c>
      <c r="C169" s="495"/>
      <c r="D169" s="92"/>
      <c r="E169" s="41"/>
      <c r="F169" s="524"/>
      <c r="G169" s="91"/>
      <c r="H169" s="81">
        <f>H$139*E166</f>
        <v>-195.26724000000002</v>
      </c>
      <c r="I169" s="81">
        <f>I$139*E166</f>
        <v>5646.4776900000006</v>
      </c>
      <c r="J169" s="85"/>
      <c r="K169" s="47"/>
      <c r="L169" s="41"/>
      <c r="M169" s="524"/>
      <c r="N169" s="91"/>
      <c r="O169" s="81">
        <f>O$139*L166</f>
        <v>-3952.5346599999993</v>
      </c>
      <c r="P169" s="81">
        <f>P$139*L166</f>
        <v>12627.277639999997</v>
      </c>
      <c r="Q169" s="85"/>
      <c r="R169" s="47"/>
      <c r="S169" s="41"/>
      <c r="T169" s="524"/>
      <c r="U169" s="41"/>
      <c r="V169" s="81"/>
      <c r="W169" s="517"/>
    </row>
    <row r="170" spans="2:23" x14ac:dyDescent="0.2">
      <c r="B170" s="94" t="str">
        <f>"Total "&amp;B157</f>
        <v>Total Schedule 86 - Transportation</v>
      </c>
      <c r="C170" s="521"/>
      <c r="D170" s="92"/>
      <c r="E170" s="41"/>
      <c r="F170" s="524"/>
      <c r="G170" s="91"/>
      <c r="H170" s="85"/>
      <c r="I170" s="513">
        <f>G168+H169+I169</f>
        <v>153582.50485911273</v>
      </c>
      <c r="J170" s="95"/>
      <c r="K170" s="47"/>
      <c r="L170" s="41"/>
      <c r="M170" s="524"/>
      <c r="N170" s="91"/>
      <c r="O170" s="85"/>
      <c r="P170" s="513">
        <f>N168+O169+P169</f>
        <v>162029.89008239383</v>
      </c>
      <c r="Q170" s="95"/>
      <c r="R170" s="47"/>
      <c r="S170" s="41"/>
      <c r="T170" s="524"/>
      <c r="U170" s="41"/>
      <c r="V170" s="513"/>
      <c r="W170" s="538"/>
    </row>
    <row r="171" spans="2:23" x14ac:dyDescent="0.2">
      <c r="B171" s="79"/>
      <c r="C171" s="498"/>
      <c r="D171" s="132"/>
      <c r="E171" s="80"/>
      <c r="F171" s="498"/>
      <c r="G171" s="80"/>
      <c r="H171" s="80"/>
      <c r="I171" s="80"/>
      <c r="J171" s="80"/>
      <c r="K171" s="80"/>
      <c r="L171" s="80"/>
      <c r="M171" s="498"/>
      <c r="N171" s="80"/>
      <c r="O171" s="80"/>
      <c r="P171" s="80"/>
      <c r="Q171" s="80"/>
      <c r="R171" s="80"/>
      <c r="S171" s="80"/>
      <c r="T171" s="498"/>
      <c r="U171" s="80"/>
      <c r="V171" s="80"/>
      <c r="W171" s="530"/>
    </row>
    <row r="172" spans="2:23" x14ac:dyDescent="0.2">
      <c r="B172" s="47"/>
      <c r="C172" s="495"/>
      <c r="D172" s="78"/>
      <c r="E172" s="47"/>
      <c r="F172" s="495"/>
      <c r="G172" s="47"/>
      <c r="H172" s="47"/>
      <c r="I172" s="47"/>
      <c r="J172" s="47"/>
      <c r="K172" s="47"/>
      <c r="L172" s="47"/>
      <c r="M172" s="495"/>
      <c r="N172" s="47"/>
      <c r="O172" s="47"/>
      <c r="P172" s="47"/>
      <c r="Q172" s="47"/>
      <c r="R172" s="47"/>
      <c r="S172" s="47"/>
      <c r="T172" s="495"/>
      <c r="U172" s="47"/>
      <c r="V172" s="47"/>
      <c r="W172" s="47"/>
    </row>
    <row r="173" spans="2:23" x14ac:dyDescent="0.2">
      <c r="B173" s="488" t="s">
        <v>274</v>
      </c>
      <c r="C173" s="489"/>
      <c r="D173" s="74"/>
      <c r="E173" s="17">
        <f>E191+E209</f>
        <v>150772868.4078348</v>
      </c>
      <c r="F173" s="490"/>
      <c r="G173" s="105"/>
      <c r="H173" s="105">
        <v>-21511.446244260045</v>
      </c>
      <c r="I173" s="105">
        <v>617157.07817363204</v>
      </c>
      <c r="J173" s="491">
        <v>17392.144629522732</v>
      </c>
      <c r="K173" s="492"/>
      <c r="L173" s="17">
        <f>L191+L209</f>
        <v>163828422.4078348</v>
      </c>
      <c r="M173" s="490"/>
      <c r="N173" s="492"/>
      <c r="O173" s="105">
        <v>-393932.1616825831</v>
      </c>
      <c r="P173" s="105">
        <v>1259143.450682939</v>
      </c>
      <c r="Q173" s="491">
        <v>16901.068739540333</v>
      </c>
      <c r="R173" s="492"/>
      <c r="S173" s="17"/>
      <c r="T173" s="490"/>
      <c r="U173" s="493"/>
      <c r="V173" s="105"/>
      <c r="W173" s="494"/>
    </row>
    <row r="174" spans="2:23" x14ac:dyDescent="0.2">
      <c r="B174" s="88"/>
      <c r="C174" s="495"/>
      <c r="D174" s="47"/>
      <c r="E174" s="47"/>
      <c r="F174" s="495"/>
      <c r="G174" s="539" t="s">
        <v>275</v>
      </c>
      <c r="H174" s="540">
        <f>H173/SUM(G185:G190,G203:G208)</f>
        <v>-3.3627947095812159E-3</v>
      </c>
      <c r="I174" s="540">
        <f>I173/SUM(G185:G190,G203:G208)</f>
        <v>9.6477593086827795E-2</v>
      </c>
      <c r="J174" s="541">
        <f>J173/SUM(G185:G190)</f>
        <v>1.435254156171876E-2</v>
      </c>
      <c r="L174" s="47"/>
      <c r="M174" s="495"/>
      <c r="N174" s="92"/>
      <c r="O174" s="540">
        <f>O173/SUM(N185:N190,N203:N208)</f>
        <v>-5.8611569639943552E-2</v>
      </c>
      <c r="P174" s="540">
        <f>P173/SUM(N185:N190,N203:N208)</f>
        <v>0.18734285043181545</v>
      </c>
      <c r="Q174" s="541">
        <f>Q173/SUM(N185:N190)</f>
        <v>1.3947290382461298E-2</v>
      </c>
      <c r="S174" s="47"/>
      <c r="T174" s="495"/>
      <c r="U174" s="92"/>
      <c r="V174" s="78"/>
      <c r="W174" s="497"/>
    </row>
    <row r="175" spans="2:23" x14ac:dyDescent="0.2">
      <c r="B175" s="79"/>
      <c r="C175" s="498"/>
      <c r="D175" s="80"/>
      <c r="E175" s="499" t="s">
        <v>252</v>
      </c>
      <c r="F175" s="500">
        <f>F191+F211</f>
        <v>6484148.915463971</v>
      </c>
      <c r="G175" s="81">
        <f>G191+G211</f>
        <v>7273078.4699999997</v>
      </c>
      <c r="H175" s="542">
        <f>H174*0.33</f>
        <v>-1.1097222541618012E-3</v>
      </c>
      <c r="I175" s="542">
        <f>I174*0.33</f>
        <v>3.1837605718653177E-2</v>
      </c>
      <c r="J175" s="543">
        <f>J174*0.33</f>
        <v>4.7363387153671914E-3</v>
      </c>
      <c r="K175" s="126"/>
      <c r="L175" s="499" t="s">
        <v>252</v>
      </c>
      <c r="M175" s="500">
        <f>M191+M211</f>
        <v>6797351.655923971</v>
      </c>
      <c r="N175" s="81">
        <f>N191+N211</f>
        <v>7597247.8700000001</v>
      </c>
      <c r="O175" s="542">
        <f>O174*0.33</f>
        <v>-1.9341817981181373E-2</v>
      </c>
      <c r="P175" s="542">
        <f>P174*0.33</f>
        <v>6.1823140642499101E-2</v>
      </c>
      <c r="Q175" s="543">
        <f>Q174*0.33</f>
        <v>4.6026058262122289E-3</v>
      </c>
      <c r="R175" s="126"/>
      <c r="S175" s="499"/>
      <c r="T175" s="500"/>
      <c r="U175" s="81"/>
      <c r="V175" s="501"/>
      <c r="W175" s="517"/>
    </row>
    <row r="176" spans="2:23" x14ac:dyDescent="0.2">
      <c r="B176" s="526"/>
      <c r="C176" s="527"/>
      <c r="D176" s="528"/>
      <c r="E176" s="274"/>
      <c r="F176" s="519"/>
      <c r="G176" s="274"/>
      <c r="H176" s="540">
        <f>((H173-SUM(H190*E190,H208*E208)))/SUM(G185:G189,G203:G207)</f>
        <v>-4.3960121108792766E-3</v>
      </c>
      <c r="I176" s="540">
        <f>((I173-SUM(I190*E190,I208*E208)))/SUM(G185:G189,G203:G207)</f>
        <v>0.12748556504784747</v>
      </c>
      <c r="J176" s="541">
        <f>((J173-SUM(J190*E190)))/SUM(G185:G189)</f>
        <v>1.6730764655358814E-2</v>
      </c>
      <c r="K176" s="274"/>
      <c r="L176" s="274"/>
      <c r="M176" s="519"/>
      <c r="N176" s="274"/>
      <c r="O176" s="540">
        <f>((O173-SUM(O190*L190,O208*L208)))/SUM(N185:N189,N203:N207)</f>
        <v>-8.0393275410869408E-2</v>
      </c>
      <c r="P176" s="540">
        <f>((P173-SUM(P190*L190,P208*L208)))/SUM(N185:N189,N203:N207)</f>
        <v>0.25683621444510701</v>
      </c>
      <c r="Q176" s="541">
        <f>((Q173-SUM(Q190*L190)))/SUM(N185:N189)</f>
        <v>1.6324885783442142E-2</v>
      </c>
      <c r="R176" s="274"/>
      <c r="S176" s="274"/>
      <c r="T176" s="519"/>
      <c r="U176" s="274"/>
      <c r="V176" s="274"/>
      <c r="W176" s="520"/>
    </row>
    <row r="177" spans="2:23" x14ac:dyDescent="0.2">
      <c r="B177" s="87" t="s">
        <v>155</v>
      </c>
      <c r="C177" s="518"/>
      <c r="D177" s="533"/>
      <c r="E177" s="274"/>
      <c r="F177" s="519"/>
      <c r="G177" s="274"/>
      <c r="H177" s="274"/>
      <c r="I177" s="274"/>
      <c r="J177" s="274"/>
      <c r="K177" s="274"/>
      <c r="L177" s="274"/>
      <c r="M177" s="519"/>
      <c r="N177" s="274"/>
      <c r="O177" s="274"/>
      <c r="P177" s="274"/>
      <c r="Q177" s="274"/>
      <c r="R177" s="274"/>
      <c r="S177" s="274"/>
      <c r="T177" s="519"/>
      <c r="U177" s="274"/>
      <c r="V177" s="274"/>
      <c r="W177" s="520"/>
    </row>
    <row r="178" spans="2:23" x14ac:dyDescent="0.2">
      <c r="B178" s="88"/>
      <c r="C178" s="495"/>
      <c r="D178" s="78"/>
      <c r="E178" s="47"/>
      <c r="F178" s="495"/>
      <c r="G178" s="47"/>
      <c r="H178" s="47"/>
      <c r="I178" s="47"/>
      <c r="J178" s="47"/>
      <c r="K178" s="47"/>
      <c r="L178" s="47"/>
      <c r="M178" s="495"/>
      <c r="N178" s="47"/>
      <c r="O178" s="47"/>
      <c r="P178" s="47"/>
      <c r="Q178" s="47"/>
      <c r="R178" s="47"/>
      <c r="S178" s="47"/>
      <c r="T178" s="495"/>
      <c r="U178" s="47"/>
      <c r="V178" s="47"/>
      <c r="W178" s="529"/>
    </row>
    <row r="179" spans="2:23" x14ac:dyDescent="0.2">
      <c r="B179" s="75" t="s">
        <v>92</v>
      </c>
      <c r="C179" s="508">
        <f>'Exh JDT-5 (JDT-INTRPL-RD)'!E104</f>
        <v>606.5</v>
      </c>
      <c r="D179" s="92">
        <f>'Exh JDT-5 (JDT-INTRPL-RD)'!$H$104</f>
        <v>715.15</v>
      </c>
      <c r="E179" s="41">
        <v>60</v>
      </c>
      <c r="F179" s="509">
        <f t="shared" ref="F179:F180" si="20">SUM(+E179*C179)</f>
        <v>36390</v>
      </c>
      <c r="G179" s="85">
        <f>ROUND(E179*D179,2)</f>
        <v>42909</v>
      </c>
      <c r="H179" s="85"/>
      <c r="I179" s="85"/>
      <c r="J179" s="85"/>
      <c r="K179" s="47"/>
      <c r="L179" s="41">
        <v>60</v>
      </c>
      <c r="M179" s="509">
        <f t="shared" ref="M179:M181" si="21">SUM(+L179*C179)</f>
        <v>36390</v>
      </c>
      <c r="N179" s="85">
        <f>ROUND(L179*D179,2)</f>
        <v>42909</v>
      </c>
      <c r="O179" s="85"/>
      <c r="P179" s="85"/>
      <c r="Q179" s="85"/>
      <c r="R179" s="47"/>
      <c r="S179" s="41"/>
      <c r="T179" s="509"/>
      <c r="U179" s="85"/>
      <c r="V179" s="85"/>
      <c r="W179" s="507"/>
    </row>
    <row r="180" spans="2:23" x14ac:dyDescent="0.2">
      <c r="B180" s="88" t="s">
        <v>100</v>
      </c>
      <c r="C180" s="508">
        <f>'Exh JDT-5 (JDT-INTRPL-RD)'!E105</f>
        <v>1.45</v>
      </c>
      <c r="D180" s="92">
        <f>'Exh JDT-5 (JDT-INTRPL-RD)'!$H$105</f>
        <v>1.45</v>
      </c>
      <c r="E180" s="41">
        <v>0</v>
      </c>
      <c r="F180" s="509">
        <f t="shared" si="20"/>
        <v>0</v>
      </c>
      <c r="G180" s="85">
        <f>ROUND(E180*D180,2)</f>
        <v>0</v>
      </c>
      <c r="H180" s="85"/>
      <c r="I180" s="85"/>
      <c r="J180" s="85"/>
      <c r="K180" s="47"/>
      <c r="L180" s="41">
        <v>0</v>
      </c>
      <c r="M180" s="509">
        <f t="shared" si="21"/>
        <v>0</v>
      </c>
      <c r="N180" s="85">
        <f>ROUND(L180*D180,2)</f>
        <v>0</v>
      </c>
      <c r="O180" s="85"/>
      <c r="P180" s="85"/>
      <c r="Q180" s="85"/>
      <c r="R180" s="47"/>
      <c r="S180" s="41"/>
      <c r="T180" s="509"/>
      <c r="U180" s="85"/>
      <c r="V180" s="85"/>
      <c r="W180" s="507"/>
    </row>
    <row r="181" spans="2:23" x14ac:dyDescent="0.2">
      <c r="B181" s="88" t="s">
        <v>97</v>
      </c>
      <c r="C181" s="510">
        <f>'Exh JDT-5 (JDT-INTRPL-RD)'!E106</f>
        <v>8.43E-3</v>
      </c>
      <c r="D181" s="78">
        <f>'Exh JDT-5 (JDT-INTRPL-RD)'!$H$106</f>
        <v>9.3200000000000002E-3</v>
      </c>
      <c r="E181" s="41">
        <f>E191</f>
        <v>21819455.762355208</v>
      </c>
      <c r="F181" s="509">
        <f>SUM(+E181*C181)</f>
        <v>183938.01207665441</v>
      </c>
      <c r="G181" s="85">
        <f>ROUND(E181*D181,2)</f>
        <v>203357.33</v>
      </c>
      <c r="H181" s="85"/>
      <c r="I181" s="85"/>
      <c r="J181" s="85"/>
      <c r="K181" s="47"/>
      <c r="L181" s="41">
        <f>L191</f>
        <v>21819455.762355208</v>
      </c>
      <c r="M181" s="509">
        <f t="shared" si="21"/>
        <v>183938.01207665441</v>
      </c>
      <c r="N181" s="85">
        <f>ROUND(L181*D181,2)</f>
        <v>203357.33</v>
      </c>
      <c r="O181" s="85"/>
      <c r="P181" s="85"/>
      <c r="Q181" s="85"/>
      <c r="R181" s="47"/>
      <c r="S181" s="41"/>
      <c r="T181" s="509"/>
      <c r="U181" s="85"/>
      <c r="V181" s="85"/>
      <c r="W181" s="507"/>
    </row>
    <row r="182" spans="2:23" x14ac:dyDescent="0.2">
      <c r="B182" s="88" t="s">
        <v>107</v>
      </c>
      <c r="C182" s="495"/>
      <c r="D182" s="92"/>
      <c r="E182" s="47"/>
      <c r="F182" s="509">
        <f>G182</f>
        <v>51086.770000000004</v>
      </c>
      <c r="G182" s="85">
        <v>51086.770000000004</v>
      </c>
      <c r="H182" s="85"/>
      <c r="I182" s="85"/>
      <c r="J182" s="85"/>
      <c r="K182" s="47"/>
      <c r="L182" s="47"/>
      <c r="M182" s="509">
        <f>N182</f>
        <v>51086.770000000004</v>
      </c>
      <c r="N182" s="85">
        <v>51086.770000000004</v>
      </c>
      <c r="O182" s="85"/>
      <c r="P182" s="85"/>
      <c r="Q182" s="85"/>
      <c r="R182" s="47"/>
      <c r="S182" s="47"/>
      <c r="T182" s="509"/>
      <c r="U182" s="85"/>
      <c r="V182" s="85"/>
      <c r="W182" s="507"/>
    </row>
    <row r="183" spans="2:23" x14ac:dyDescent="0.2">
      <c r="B183" s="88"/>
      <c r="C183" s="495"/>
      <c r="D183" s="92"/>
      <c r="E183" s="47"/>
      <c r="F183" s="495"/>
      <c r="G183" s="47"/>
      <c r="H183" s="47"/>
      <c r="I183" s="47"/>
      <c r="J183" s="47"/>
      <c r="K183" s="47"/>
      <c r="L183" s="47"/>
      <c r="M183" s="495"/>
      <c r="N183" s="47"/>
      <c r="O183" s="47"/>
      <c r="P183" s="47"/>
      <c r="Q183" s="47"/>
      <c r="R183" s="47"/>
      <c r="S183" s="47"/>
      <c r="T183" s="495"/>
      <c r="U183" s="47"/>
      <c r="V183" s="47"/>
      <c r="W183" s="529"/>
    </row>
    <row r="184" spans="2:23" x14ac:dyDescent="0.2">
      <c r="B184" s="88" t="s">
        <v>101</v>
      </c>
      <c r="C184" s="495"/>
      <c r="D184" s="92"/>
      <c r="E184" s="47"/>
      <c r="F184" s="495"/>
      <c r="G184" s="47"/>
      <c r="H184" s="47"/>
      <c r="I184" s="47"/>
      <c r="J184" s="47"/>
      <c r="K184" s="47"/>
      <c r="L184" s="47"/>
      <c r="M184" s="495"/>
      <c r="N184" s="47"/>
      <c r="O184" s="47"/>
      <c r="P184" s="47"/>
      <c r="Q184" s="47"/>
      <c r="R184" s="47"/>
      <c r="S184" s="47"/>
      <c r="T184" s="495"/>
      <c r="U184" s="47"/>
      <c r="V184" s="47"/>
      <c r="W184" s="529"/>
    </row>
    <row r="185" spans="2:23" x14ac:dyDescent="0.2">
      <c r="B185" s="88" t="s">
        <v>108</v>
      </c>
      <c r="C185" s="510">
        <f>'Exh JDT-5 (JDT-INTRPL-RD)'!E110</f>
        <v>0.17533000000000001</v>
      </c>
      <c r="D185" s="78">
        <f>'Exh JDT-5 (JDT-INTRPL-RD)'!$H$110</f>
        <v>0.20754</v>
      </c>
      <c r="E185" s="41">
        <v>1512193</v>
      </c>
      <c r="F185" s="509">
        <f t="shared" ref="F185:F190" si="22">SUM(+E185*C185)</f>
        <v>265132.79869000003</v>
      </c>
      <c r="G185" s="85">
        <f t="shared" ref="G185:G190" si="23">ROUND(E185*D185,2)</f>
        <v>313840.53999999998</v>
      </c>
      <c r="H185" s="544">
        <f>ROUND((G185*H$176)/E185,5)</f>
        <v>-9.1E-4</v>
      </c>
      <c r="I185" s="544">
        <f>ROUND((G185*I$176)/E185,5)</f>
        <v>2.6460000000000001E-2</v>
      </c>
      <c r="J185" s="545">
        <f>ROUND((G185*J$176)/E185,5)</f>
        <v>3.47E-3</v>
      </c>
      <c r="K185" s="47"/>
      <c r="L185" s="41">
        <v>1512193</v>
      </c>
      <c r="M185" s="509">
        <f t="shared" ref="M185:M190" si="24">SUM(+L185*C185)</f>
        <v>265132.79869000003</v>
      </c>
      <c r="N185" s="85">
        <f t="shared" ref="N185:N190" si="25">ROUND(L185*D185,2)</f>
        <v>313840.53999999998</v>
      </c>
      <c r="O185" s="544">
        <f>ROUND((N185*O$176)/L185,5)</f>
        <v>-1.668E-2</v>
      </c>
      <c r="P185" s="544">
        <f>ROUND((N185*P$176)/L185,5)</f>
        <v>5.33E-2</v>
      </c>
      <c r="Q185" s="545">
        <f>ROUND((N185*Q$176)/L185,5)</f>
        <v>3.3899999999999998E-3</v>
      </c>
      <c r="R185" s="47"/>
      <c r="S185" s="41"/>
      <c r="T185" s="509"/>
      <c r="U185" s="85"/>
      <c r="V185" s="85"/>
      <c r="W185" s="507"/>
    </row>
    <row r="186" spans="2:23" x14ac:dyDescent="0.2">
      <c r="B186" s="88" t="s">
        <v>109</v>
      </c>
      <c r="C186" s="510">
        <f>'Exh JDT-5 (JDT-INTRPL-RD)'!E111</f>
        <v>0.10595</v>
      </c>
      <c r="D186" s="78">
        <f>'Exh JDT-5 (JDT-INTRPL-RD)'!$H$111</f>
        <v>0.12540999999999999</v>
      </c>
      <c r="E186" s="41">
        <v>1398016.115</v>
      </c>
      <c r="F186" s="509">
        <f t="shared" si="22"/>
        <v>148119.80738425002</v>
      </c>
      <c r="G186" s="85">
        <f t="shared" si="23"/>
        <v>175325.2</v>
      </c>
      <c r="H186" s="544">
        <f t="shared" ref="H186:H188" si="26">ROUND((G186*H$176)/E186,5)</f>
        <v>-5.5000000000000003E-4</v>
      </c>
      <c r="I186" s="544">
        <f t="shared" ref="I186:I189" si="27">ROUND((G186*I$176)/E186,5)</f>
        <v>1.5990000000000001E-2</v>
      </c>
      <c r="J186" s="545">
        <f t="shared" ref="J186:J189" si="28">ROUND((G186*J$176)/E186,5)</f>
        <v>2.0999999999999999E-3</v>
      </c>
      <c r="K186" s="47"/>
      <c r="L186" s="41">
        <v>1398016.115</v>
      </c>
      <c r="M186" s="509">
        <f t="shared" si="24"/>
        <v>148119.80738425002</v>
      </c>
      <c r="N186" s="85">
        <f t="shared" si="25"/>
        <v>175325.2</v>
      </c>
      <c r="O186" s="544">
        <f t="shared" ref="O186:O188" si="29">ROUND((N186*O$176)/L186,5)</f>
        <v>-1.008E-2</v>
      </c>
      <c r="P186" s="544">
        <f t="shared" ref="P186:P189" si="30">ROUND((N186*P$176)/L186,5)</f>
        <v>3.2210000000000003E-2</v>
      </c>
      <c r="Q186" s="545">
        <f t="shared" ref="Q186:Q189" si="31">ROUND((N186*Q$176)/L186,5)</f>
        <v>2.0500000000000002E-3</v>
      </c>
      <c r="R186" s="47"/>
      <c r="S186" s="41"/>
      <c r="T186" s="509"/>
      <c r="U186" s="85"/>
      <c r="V186" s="85"/>
      <c r="W186" s="507"/>
    </row>
    <row r="187" spans="2:23" x14ac:dyDescent="0.2">
      <c r="B187" s="88" t="s">
        <v>111</v>
      </c>
      <c r="C187" s="510">
        <f>'Exh JDT-5 (JDT-INTRPL-RD)'!E112</f>
        <v>6.7419999999999994E-2</v>
      </c>
      <c r="D187" s="78">
        <f>'Exh JDT-5 (JDT-INTRPL-RD)'!$H$112</f>
        <v>7.9810000000000006E-2</v>
      </c>
      <c r="E187" s="41">
        <v>2316890.0959999999</v>
      </c>
      <c r="F187" s="509">
        <f t="shared" si="22"/>
        <v>156204.73027231998</v>
      </c>
      <c r="G187" s="85">
        <f t="shared" si="23"/>
        <v>184911</v>
      </c>
      <c r="H187" s="544">
        <f t="shared" si="26"/>
        <v>-3.5E-4</v>
      </c>
      <c r="I187" s="544">
        <f t="shared" si="27"/>
        <v>1.017E-2</v>
      </c>
      <c r="J187" s="545">
        <f t="shared" si="28"/>
        <v>1.34E-3</v>
      </c>
      <c r="K187" s="47"/>
      <c r="L187" s="41">
        <v>2316890.0959999999</v>
      </c>
      <c r="M187" s="509">
        <f t="shared" si="24"/>
        <v>156204.73027231998</v>
      </c>
      <c r="N187" s="85">
        <f t="shared" si="25"/>
        <v>184911</v>
      </c>
      <c r="O187" s="544">
        <f t="shared" si="29"/>
        <v>-6.4200000000000004E-3</v>
      </c>
      <c r="P187" s="544">
        <f t="shared" si="30"/>
        <v>2.0500000000000001E-2</v>
      </c>
      <c r="Q187" s="545">
        <f t="shared" si="31"/>
        <v>1.2999999999999999E-3</v>
      </c>
      <c r="R187" s="47"/>
      <c r="S187" s="41"/>
      <c r="T187" s="509"/>
      <c r="U187" s="85"/>
      <c r="V187" s="85"/>
      <c r="W187" s="507"/>
    </row>
    <row r="188" spans="2:23" x14ac:dyDescent="0.2">
      <c r="B188" s="88" t="s">
        <v>15</v>
      </c>
      <c r="C188" s="510">
        <f>'Exh JDT-5 (JDT-INTRPL-RD)'!E113</f>
        <v>4.3229999999999998E-2</v>
      </c>
      <c r="D188" s="78">
        <f>'Exh JDT-5 (JDT-INTRPL-RD)'!$H$113</f>
        <v>5.117E-2</v>
      </c>
      <c r="E188" s="41">
        <v>3045256.878</v>
      </c>
      <c r="F188" s="509">
        <f t="shared" si="22"/>
        <v>131646.45483594001</v>
      </c>
      <c r="G188" s="85">
        <f t="shared" si="23"/>
        <v>155825.79</v>
      </c>
      <c r="H188" s="544">
        <f t="shared" si="26"/>
        <v>-2.2000000000000001E-4</v>
      </c>
      <c r="I188" s="544">
        <f t="shared" si="27"/>
        <v>6.5199999999999998E-3</v>
      </c>
      <c r="J188" s="545">
        <f t="shared" si="28"/>
        <v>8.5999999999999998E-4</v>
      </c>
      <c r="K188" s="47"/>
      <c r="L188" s="41">
        <v>3045256.878</v>
      </c>
      <c r="M188" s="509">
        <f t="shared" si="24"/>
        <v>131646.45483594001</v>
      </c>
      <c r="N188" s="85">
        <f t="shared" si="25"/>
        <v>155825.79</v>
      </c>
      <c r="O188" s="544">
        <f t="shared" si="29"/>
        <v>-4.1099999999999999E-3</v>
      </c>
      <c r="P188" s="544">
        <f t="shared" si="30"/>
        <v>1.3140000000000001E-2</v>
      </c>
      <c r="Q188" s="545">
        <f t="shared" si="31"/>
        <v>8.4000000000000003E-4</v>
      </c>
      <c r="R188" s="47"/>
      <c r="S188" s="41"/>
      <c r="T188" s="509"/>
      <c r="U188" s="85"/>
      <c r="V188" s="85"/>
      <c r="W188" s="507"/>
    </row>
    <row r="189" spans="2:23" x14ac:dyDescent="0.2">
      <c r="B189" s="88" t="s">
        <v>14</v>
      </c>
      <c r="C189" s="510">
        <f>'Exh JDT-5 (JDT-INTRPL-RD)'!E114</f>
        <v>3.1109999999999999E-2</v>
      </c>
      <c r="D189" s="78">
        <f>'Exh JDT-5 (JDT-INTRPL-RD)'!$H$114</f>
        <v>3.6830000000000002E-2</v>
      </c>
      <c r="E189" s="41">
        <v>3792042.2029999997</v>
      </c>
      <c r="F189" s="509">
        <f t="shared" si="22"/>
        <v>117970.43293532998</v>
      </c>
      <c r="G189" s="85">
        <f t="shared" si="23"/>
        <v>139660.91</v>
      </c>
      <c r="H189" s="544">
        <f>ROUND((G189*H$176)/E189,5)</f>
        <v>-1.6000000000000001E-4</v>
      </c>
      <c r="I189" s="544">
        <f t="shared" si="27"/>
        <v>4.7000000000000002E-3</v>
      </c>
      <c r="J189" s="545">
        <f t="shared" si="28"/>
        <v>6.2E-4</v>
      </c>
      <c r="K189" s="47"/>
      <c r="L189" s="41">
        <v>3792042.2029999997</v>
      </c>
      <c r="M189" s="509">
        <f t="shared" si="24"/>
        <v>117970.43293532998</v>
      </c>
      <c r="N189" s="85">
        <f t="shared" si="25"/>
        <v>139660.91</v>
      </c>
      <c r="O189" s="544">
        <f>ROUND((N189*O$176)/L189,5)</f>
        <v>-2.96E-3</v>
      </c>
      <c r="P189" s="544">
        <f t="shared" si="30"/>
        <v>9.4599999999999997E-3</v>
      </c>
      <c r="Q189" s="545">
        <f t="shared" si="31"/>
        <v>5.9999999999999995E-4</v>
      </c>
      <c r="R189" s="47"/>
      <c r="S189" s="41"/>
      <c r="T189" s="509"/>
      <c r="U189" s="85"/>
      <c r="V189" s="85"/>
      <c r="W189" s="507"/>
    </row>
    <row r="190" spans="2:23" x14ac:dyDescent="0.2">
      <c r="B190" s="88" t="s">
        <v>115</v>
      </c>
      <c r="C190" s="510">
        <f>'Exh JDT-5 (JDT-INTRPL-RD)'!E115</f>
        <v>2.3990000000000001E-2</v>
      </c>
      <c r="D190" s="78">
        <f>'Exh JDT-5 (JDT-INTRPL-RD)'!$H$115</f>
        <v>2.4830000000000001E-2</v>
      </c>
      <c r="E190" s="82">
        <v>9755057.4703552071</v>
      </c>
      <c r="F190" s="509">
        <f t="shared" si="22"/>
        <v>234023.82871382142</v>
      </c>
      <c r="G190" s="85">
        <f t="shared" si="23"/>
        <v>242218.08</v>
      </c>
      <c r="H190" s="544">
        <f>ROUND((G190*H$175)/E190,5)</f>
        <v>-3.0000000000000001E-5</v>
      </c>
      <c r="I190" s="544">
        <f>ROUND((G190*I$175)/E190,5)</f>
        <v>7.9000000000000001E-4</v>
      </c>
      <c r="J190" s="545">
        <f>ROUND((G190*J$175)/E190,5)</f>
        <v>1.2E-4</v>
      </c>
      <c r="K190" s="47"/>
      <c r="L190" s="82">
        <v>9755057.4703552071</v>
      </c>
      <c r="M190" s="509">
        <f t="shared" si="24"/>
        <v>234023.82871382142</v>
      </c>
      <c r="N190" s="85">
        <f t="shared" si="25"/>
        <v>242218.08</v>
      </c>
      <c r="O190" s="544">
        <f>ROUND((N190*O$175)/L190,5)</f>
        <v>-4.8000000000000001E-4</v>
      </c>
      <c r="P190" s="544">
        <f>ROUND((N190*P$175)/L190,5)</f>
        <v>1.5399999999999999E-3</v>
      </c>
      <c r="Q190" s="545">
        <f>ROUND((N190*Q$175)/L190,5)</f>
        <v>1.1E-4</v>
      </c>
      <c r="R190" s="47"/>
      <c r="S190" s="82"/>
      <c r="T190" s="500"/>
      <c r="U190" s="81"/>
      <c r="V190" s="85"/>
      <c r="W190" s="507"/>
    </row>
    <row r="191" spans="2:23" x14ac:dyDescent="0.2">
      <c r="B191" s="536" t="s">
        <v>126</v>
      </c>
      <c r="C191" s="537"/>
      <c r="D191" s="78"/>
      <c r="E191" s="41">
        <f>SUM(E185:E190)</f>
        <v>21819455.762355208</v>
      </c>
      <c r="F191" s="532">
        <f>SUM(F179:F190)</f>
        <v>1324512.8349083159</v>
      </c>
      <c r="G191" s="131">
        <f>SUM(G179:G190)</f>
        <v>1509134.6199999999</v>
      </c>
      <c r="H191" s="91"/>
      <c r="I191" s="91"/>
      <c r="J191" s="546"/>
      <c r="K191" s="47"/>
      <c r="L191" s="41">
        <f>SUM(L185:L190)</f>
        <v>21819455.762355208</v>
      </c>
      <c r="M191" s="532">
        <f>SUM(M179:M190)</f>
        <v>1324512.8349083159</v>
      </c>
      <c r="N191" s="131">
        <f>SUM(N179:N190)</f>
        <v>1509134.6199999999</v>
      </c>
      <c r="O191" s="91"/>
      <c r="P191" s="91"/>
      <c r="Q191" s="546"/>
      <c r="R191" s="47"/>
      <c r="S191" s="41"/>
      <c r="T191" s="532"/>
      <c r="U191" s="131"/>
      <c r="V191" s="91"/>
      <c r="W191" s="507"/>
    </row>
    <row r="192" spans="2:23" x14ac:dyDescent="0.2">
      <c r="B192" s="88" t="s">
        <v>269</v>
      </c>
      <c r="C192" s="495"/>
      <c r="D192" s="92"/>
      <c r="E192" s="41"/>
      <c r="F192" s="524"/>
      <c r="G192" s="91"/>
      <c r="H192" s="81">
        <f>SUMPRODUCT(E185:E190,H185:H190)</f>
        <v>-4525.2510166006559</v>
      </c>
      <c r="I192" s="81">
        <f>SUMPRODUCT(E185:E190,I185:I190)</f>
        <v>131313.84533541062</v>
      </c>
      <c r="J192" s="512">
        <f>SUMPRODUCT(E185:E190,J185:J190)</f>
        <v>17428.370257522623</v>
      </c>
      <c r="K192" s="47"/>
      <c r="L192" s="41"/>
      <c r="M192" s="524"/>
      <c r="N192" s="91"/>
      <c r="O192" s="81">
        <f>SUMPRODUCT(L185:L190,O185:O190)</f>
        <v>-82612.694370750483</v>
      </c>
      <c r="P192" s="81">
        <f>SUMPRODUCT(L185:L190,P185:P190)</f>
        <v>264036.416053797</v>
      </c>
      <c r="Q192" s="512">
        <f>SUMPRODUCT(L185:L190,Q185:Q190)</f>
        <v>16910.521851609072</v>
      </c>
      <c r="R192" s="47"/>
      <c r="S192" s="41"/>
      <c r="T192" s="524"/>
      <c r="U192" s="41"/>
      <c r="V192" s="81"/>
      <c r="W192" s="517"/>
    </row>
    <row r="193" spans="2:23" x14ac:dyDescent="0.2">
      <c r="B193" s="94" t="str">
        <f>"Total "&amp;B177</f>
        <v>Total Schedule 87 - Sales</v>
      </c>
      <c r="C193" s="521"/>
      <c r="D193" s="92"/>
      <c r="E193" s="41"/>
      <c r="F193" s="524"/>
      <c r="G193" s="91"/>
      <c r="H193" s="85"/>
      <c r="I193" s="513">
        <f>G191+H192+I192</f>
        <v>1635923.2143188098</v>
      </c>
      <c r="J193" s="95"/>
      <c r="K193" s="47"/>
      <c r="L193" s="41"/>
      <c r="M193" s="524"/>
      <c r="N193" s="91"/>
      <c r="O193" s="85"/>
      <c r="P193" s="513">
        <f>N191+O192+P192</f>
        <v>1690558.3416830464</v>
      </c>
      <c r="Q193" s="95"/>
      <c r="R193" s="47"/>
      <c r="S193" s="41"/>
      <c r="T193" s="524"/>
      <c r="U193" s="41"/>
      <c r="V193" s="513"/>
      <c r="W193" s="538"/>
    </row>
    <row r="194" spans="2:23" x14ac:dyDescent="0.2">
      <c r="B194" s="79"/>
      <c r="C194" s="498"/>
      <c r="D194" s="132"/>
      <c r="E194" s="80"/>
      <c r="F194" s="498"/>
      <c r="G194" s="80"/>
      <c r="H194" s="80"/>
      <c r="I194" s="80"/>
      <c r="J194" s="80"/>
      <c r="K194" s="80"/>
      <c r="L194" s="80"/>
      <c r="M194" s="498"/>
      <c r="N194" s="80"/>
      <c r="O194" s="80"/>
      <c r="P194" s="80"/>
      <c r="Q194" s="80"/>
      <c r="R194" s="80"/>
      <c r="S194" s="80"/>
      <c r="T194" s="498"/>
      <c r="U194" s="80"/>
      <c r="V194" s="80"/>
      <c r="W194" s="530"/>
    </row>
    <row r="195" spans="2:23" x14ac:dyDescent="0.2">
      <c r="B195" s="79"/>
      <c r="C195" s="498"/>
      <c r="D195" s="132"/>
      <c r="E195" s="80"/>
      <c r="F195" s="498"/>
      <c r="G195" s="80"/>
      <c r="H195" s="80"/>
      <c r="I195" s="80"/>
      <c r="J195" s="80"/>
      <c r="K195" s="80"/>
      <c r="L195" s="80"/>
      <c r="M195" s="498"/>
      <c r="N195" s="80"/>
      <c r="O195" s="80"/>
      <c r="P195" s="80"/>
      <c r="Q195" s="80"/>
      <c r="R195" s="80"/>
      <c r="S195" s="80"/>
      <c r="T195" s="498"/>
      <c r="U195" s="80"/>
      <c r="V195" s="80"/>
      <c r="W195" s="530"/>
    </row>
    <row r="196" spans="2:23" x14ac:dyDescent="0.2">
      <c r="B196" s="87" t="s">
        <v>157</v>
      </c>
      <c r="C196" s="518"/>
      <c r="D196" s="533"/>
      <c r="E196" s="274"/>
      <c r="F196" s="519"/>
      <c r="G196" s="274"/>
      <c r="H196" s="274"/>
      <c r="I196" s="274"/>
      <c r="J196" s="274"/>
      <c r="K196" s="274"/>
      <c r="L196" s="274"/>
      <c r="M196" s="519"/>
      <c r="N196" s="274"/>
      <c r="O196" s="274"/>
      <c r="P196" s="274"/>
      <c r="Q196" s="274"/>
      <c r="R196" s="274"/>
      <c r="S196" s="274"/>
      <c r="T196" s="519"/>
      <c r="U196" s="274"/>
      <c r="V196" s="274"/>
      <c r="W196" s="520"/>
    </row>
    <row r="197" spans="2:23" x14ac:dyDescent="0.2">
      <c r="B197" s="88"/>
      <c r="C197" s="495"/>
      <c r="D197" s="78"/>
      <c r="E197" s="47"/>
      <c r="F197" s="495"/>
      <c r="G197" s="47"/>
      <c r="H197" s="47"/>
      <c r="I197" s="47"/>
      <c r="J197" s="47"/>
      <c r="K197" s="47"/>
      <c r="L197" s="47"/>
      <c r="M197" s="495"/>
      <c r="N197" s="47"/>
      <c r="O197" s="47"/>
      <c r="P197" s="47"/>
      <c r="Q197" s="47"/>
      <c r="R197" s="47"/>
      <c r="S197" s="47"/>
      <c r="T197" s="495"/>
      <c r="U197" s="47"/>
      <c r="V197" s="47"/>
      <c r="W197" s="529"/>
    </row>
    <row r="198" spans="2:23" x14ac:dyDescent="0.2">
      <c r="B198" s="75" t="s">
        <v>92</v>
      </c>
      <c r="C198" s="523">
        <f>'Exh JDT-5 (JDT-INTRPL-RD)'!E123</f>
        <v>918.31</v>
      </c>
      <c r="D198" s="92">
        <f>'Exh JDT-5 (JDT-INTRPL-RD)'!$H$123</f>
        <v>1082.81</v>
      </c>
      <c r="E198" s="41">
        <v>132</v>
      </c>
      <c r="F198" s="509">
        <f t="shared" ref="F198:F199" si="32">SUM(+E198*C198)</f>
        <v>121216.92</v>
      </c>
      <c r="G198" s="85">
        <f>ROUND(E198*D198,2)</f>
        <v>142930.92000000001</v>
      </c>
      <c r="H198" s="85"/>
      <c r="I198" s="85"/>
      <c r="J198" s="85"/>
      <c r="K198" s="47"/>
      <c r="L198" s="41">
        <v>132</v>
      </c>
      <c r="M198" s="509">
        <f t="shared" ref="M198:M199" si="33">SUM(+L198*C198)</f>
        <v>121216.92</v>
      </c>
      <c r="N198" s="85">
        <f>ROUND(L198*D198,2)</f>
        <v>142930.92000000001</v>
      </c>
      <c r="O198" s="85"/>
      <c r="P198" s="85"/>
      <c r="Q198" s="85"/>
      <c r="R198" s="47"/>
      <c r="S198" s="41"/>
      <c r="T198" s="509"/>
      <c r="U198" s="85"/>
      <c r="V198" s="85"/>
      <c r="W198" s="507"/>
    </row>
    <row r="199" spans="2:23" x14ac:dyDescent="0.2">
      <c r="B199" s="88" t="s">
        <v>100</v>
      </c>
      <c r="C199" s="523">
        <f>'Exh JDT-5 (JDT-INTRPL-RD)'!E124</f>
        <v>1.45</v>
      </c>
      <c r="D199" s="92">
        <f>'Exh JDT-5 (JDT-INTRPL-RD)'!$H$124</f>
        <v>1.45</v>
      </c>
      <c r="E199" s="41">
        <v>287208</v>
      </c>
      <c r="F199" s="509">
        <f t="shared" si="32"/>
        <v>416451.6</v>
      </c>
      <c r="G199" s="85">
        <f>ROUND(E199*D199,2)</f>
        <v>416451.6</v>
      </c>
      <c r="H199" s="85"/>
      <c r="I199" s="85"/>
      <c r="J199" s="85"/>
      <c r="K199" s="47"/>
      <c r="L199" s="41">
        <v>287208</v>
      </c>
      <c r="M199" s="509">
        <f t="shared" si="33"/>
        <v>416451.6</v>
      </c>
      <c r="N199" s="85">
        <f>ROUND(L199*D199,2)</f>
        <v>416451.6</v>
      </c>
      <c r="O199" s="85"/>
      <c r="P199" s="85"/>
      <c r="Q199" s="85"/>
      <c r="R199" s="47"/>
      <c r="S199" s="41"/>
      <c r="T199" s="509"/>
      <c r="U199" s="85"/>
      <c r="V199" s="85"/>
      <c r="W199" s="507"/>
    </row>
    <row r="200" spans="2:23" x14ac:dyDescent="0.2">
      <c r="B200" s="88" t="s">
        <v>107</v>
      </c>
      <c r="C200" s="495"/>
      <c r="D200" s="92"/>
      <c r="E200" s="41"/>
      <c r="F200" s="524">
        <f>G200</f>
        <v>19447.379999999997</v>
      </c>
      <c r="G200" s="85">
        <v>19447.379999999997</v>
      </c>
      <c r="H200" s="85"/>
      <c r="I200" s="85"/>
      <c r="J200" s="85"/>
      <c r="K200" s="47"/>
      <c r="L200" s="41"/>
      <c r="M200" s="524">
        <f>N200</f>
        <v>19447.379999999997</v>
      </c>
      <c r="N200" s="85">
        <v>19447.379999999997</v>
      </c>
      <c r="O200" s="85"/>
      <c r="P200" s="85"/>
      <c r="Q200" s="85"/>
      <c r="R200" s="47"/>
      <c r="S200" s="41"/>
      <c r="T200" s="524"/>
      <c r="U200" s="85"/>
      <c r="V200" s="85"/>
      <c r="W200" s="507"/>
    </row>
    <row r="201" spans="2:23" x14ac:dyDescent="0.2">
      <c r="B201" s="88"/>
      <c r="C201" s="495"/>
      <c r="D201" s="78"/>
      <c r="E201" s="47"/>
      <c r="F201" s="495"/>
      <c r="G201" s="47"/>
      <c r="H201" s="47"/>
      <c r="I201" s="47"/>
      <c r="J201" s="47"/>
      <c r="K201" s="47"/>
      <c r="L201" s="47"/>
      <c r="M201" s="495"/>
      <c r="N201" s="47"/>
      <c r="O201" s="47"/>
      <c r="P201" s="47"/>
      <c r="Q201" s="47"/>
      <c r="R201" s="47"/>
      <c r="S201" s="47"/>
      <c r="T201" s="495"/>
      <c r="U201" s="47"/>
      <c r="V201" s="47"/>
      <c r="W201" s="529"/>
    </row>
    <row r="202" spans="2:23" x14ac:dyDescent="0.2">
      <c r="B202" s="88" t="s">
        <v>101</v>
      </c>
      <c r="C202" s="495"/>
      <c r="D202" s="92"/>
      <c r="E202" s="47"/>
      <c r="F202" s="495"/>
      <c r="G202" s="47"/>
      <c r="H202" s="47"/>
      <c r="I202" s="47"/>
      <c r="J202" s="47"/>
      <c r="K202" s="47"/>
      <c r="L202" s="47"/>
      <c r="M202" s="495"/>
      <c r="N202" s="47"/>
      <c r="O202" s="47"/>
      <c r="P202" s="47"/>
      <c r="Q202" s="47"/>
      <c r="R202" s="47"/>
      <c r="S202" s="47"/>
      <c r="T202" s="495"/>
      <c r="U202" s="47"/>
      <c r="V202" s="47"/>
      <c r="W202" s="529"/>
    </row>
    <row r="203" spans="2:23" x14ac:dyDescent="0.2">
      <c r="B203" s="88" t="s">
        <v>108</v>
      </c>
      <c r="C203" s="523">
        <f>'Exh JDT-5 (JDT-INTRPL-RD)'!E128</f>
        <v>0.17533000000000001</v>
      </c>
      <c r="D203" s="78">
        <f>'Exh JDT-5 (JDT-INTRPL-RD)'!$H$128</f>
        <v>0.20754</v>
      </c>
      <c r="E203" s="41">
        <v>3298789.67</v>
      </c>
      <c r="F203" s="509">
        <f t="shared" ref="F203:F208" si="34">SUM(+E203*C203)</f>
        <v>578376.79284110002</v>
      </c>
      <c r="G203" s="85">
        <f t="shared" ref="G203:G208" si="35">ROUND(E203*D203,2)</f>
        <v>684630.81</v>
      </c>
      <c r="H203" s="544">
        <f>ROUND((G203*H$176)/E203,5)</f>
        <v>-9.1E-4</v>
      </c>
      <c r="I203" s="544">
        <f>ROUND((G203*I$176)/E203,5)</f>
        <v>2.6460000000000001E-2</v>
      </c>
      <c r="J203" s="547"/>
      <c r="K203" s="47"/>
      <c r="L203" s="41">
        <v>3298789.67</v>
      </c>
      <c r="M203" s="509">
        <f t="shared" ref="M203:M208" si="36">SUM(+L203*C203)</f>
        <v>578376.79284110002</v>
      </c>
      <c r="N203" s="85">
        <f t="shared" ref="N203:N208" si="37">ROUND(L203*D203,2)</f>
        <v>684630.81</v>
      </c>
      <c r="O203" s="544">
        <f>ROUND((N203*O$176)/L203,5)</f>
        <v>-1.668E-2</v>
      </c>
      <c r="P203" s="544">
        <f>ROUND((N203*P$176)/L203,5)</f>
        <v>5.33E-2</v>
      </c>
      <c r="Q203" s="544"/>
      <c r="R203" s="47"/>
      <c r="S203" s="41"/>
      <c r="T203" s="509"/>
      <c r="U203" s="85"/>
      <c r="V203" s="85"/>
      <c r="W203" s="507"/>
    </row>
    <row r="204" spans="2:23" x14ac:dyDescent="0.2">
      <c r="B204" s="88" t="s">
        <v>109</v>
      </c>
      <c r="C204" s="523">
        <f>'Exh JDT-5 (JDT-INTRPL-RD)'!E129</f>
        <v>0.10595</v>
      </c>
      <c r="D204" s="78">
        <f>'Exh JDT-5 (JDT-INTRPL-RD)'!$H$129</f>
        <v>0.12540999999999999</v>
      </c>
      <c r="E204" s="41">
        <v>3300000</v>
      </c>
      <c r="F204" s="509">
        <f t="shared" si="34"/>
        <v>349635</v>
      </c>
      <c r="G204" s="85">
        <f t="shared" si="35"/>
        <v>413853</v>
      </c>
      <c r="H204" s="544">
        <f t="shared" ref="H204:H207" si="38">ROUND((G204*H$176)/E204,5)</f>
        <v>-5.5000000000000003E-4</v>
      </c>
      <c r="I204" s="544">
        <f t="shared" ref="I204:I207" si="39">ROUND((G204*I$176)/E204,5)</f>
        <v>1.5990000000000001E-2</v>
      </c>
      <c r="J204" s="547"/>
      <c r="K204" s="47"/>
      <c r="L204" s="41">
        <v>3300000</v>
      </c>
      <c r="M204" s="509">
        <f t="shared" si="36"/>
        <v>349635</v>
      </c>
      <c r="N204" s="85">
        <f t="shared" si="37"/>
        <v>413853</v>
      </c>
      <c r="O204" s="544">
        <f t="shared" ref="O204:O207" si="40">ROUND((N204*O$176)/L204,5)</f>
        <v>-1.008E-2</v>
      </c>
      <c r="P204" s="544">
        <f t="shared" ref="P204:P207" si="41">ROUND((N204*P$176)/L204,5)</f>
        <v>3.2210000000000003E-2</v>
      </c>
      <c r="Q204" s="544"/>
      <c r="R204" s="47"/>
      <c r="S204" s="41"/>
      <c r="T204" s="509"/>
      <c r="U204" s="85"/>
      <c r="V204" s="85"/>
      <c r="W204" s="507"/>
    </row>
    <row r="205" spans="2:23" x14ac:dyDescent="0.2">
      <c r="B205" s="88" t="s">
        <v>111</v>
      </c>
      <c r="C205" s="523">
        <f>'Exh JDT-5 (JDT-INTRPL-RD)'!E130</f>
        <v>6.7419999999999994E-2</v>
      </c>
      <c r="D205" s="78">
        <f>'Exh JDT-5 (JDT-INTRPL-RD)'!$H$130</f>
        <v>7.9810000000000006E-2</v>
      </c>
      <c r="E205" s="41">
        <v>6600000</v>
      </c>
      <c r="F205" s="509">
        <f t="shared" si="34"/>
        <v>444971.99999999994</v>
      </c>
      <c r="G205" s="85">
        <f t="shared" si="35"/>
        <v>526746</v>
      </c>
      <c r="H205" s="544">
        <f t="shared" si="38"/>
        <v>-3.5E-4</v>
      </c>
      <c r="I205" s="544">
        <f t="shared" si="39"/>
        <v>1.017E-2</v>
      </c>
      <c r="J205" s="547"/>
      <c r="K205" s="47"/>
      <c r="L205" s="41">
        <v>6600000</v>
      </c>
      <c r="M205" s="509">
        <f t="shared" si="36"/>
        <v>444971.99999999994</v>
      </c>
      <c r="N205" s="85">
        <f t="shared" si="37"/>
        <v>526746</v>
      </c>
      <c r="O205" s="544">
        <f t="shared" si="40"/>
        <v>-6.4200000000000004E-3</v>
      </c>
      <c r="P205" s="544">
        <f t="shared" si="41"/>
        <v>2.0500000000000001E-2</v>
      </c>
      <c r="Q205" s="544"/>
      <c r="R205" s="47"/>
      <c r="S205" s="41"/>
      <c r="T205" s="509"/>
      <c r="U205" s="85"/>
      <c r="V205" s="85"/>
      <c r="W205" s="507"/>
    </row>
    <row r="206" spans="2:23" x14ac:dyDescent="0.2">
      <c r="B206" s="88" t="s">
        <v>15</v>
      </c>
      <c r="C206" s="523">
        <f>'Exh JDT-5 (JDT-INTRPL-RD)'!E131</f>
        <v>4.3229999999999998E-2</v>
      </c>
      <c r="D206" s="78">
        <f>'Exh JDT-5 (JDT-INTRPL-RD)'!$H$131</f>
        <v>5.117E-2</v>
      </c>
      <c r="E206" s="41">
        <v>12663691.02</v>
      </c>
      <c r="F206" s="509">
        <f t="shared" si="34"/>
        <v>547451.36279459996</v>
      </c>
      <c r="G206" s="85">
        <f t="shared" si="35"/>
        <v>648001.06999999995</v>
      </c>
      <c r="H206" s="544">
        <f t="shared" si="38"/>
        <v>-2.2000000000000001E-4</v>
      </c>
      <c r="I206" s="544">
        <f t="shared" si="39"/>
        <v>6.5199999999999998E-3</v>
      </c>
      <c r="J206" s="547"/>
      <c r="K206" s="47"/>
      <c r="L206" s="41">
        <v>12663691.02</v>
      </c>
      <c r="M206" s="509">
        <f t="shared" si="36"/>
        <v>547451.36279459996</v>
      </c>
      <c r="N206" s="85">
        <f t="shared" si="37"/>
        <v>648001.06999999995</v>
      </c>
      <c r="O206" s="544">
        <f t="shared" si="40"/>
        <v>-4.1099999999999999E-3</v>
      </c>
      <c r="P206" s="544">
        <f t="shared" si="41"/>
        <v>1.3140000000000001E-2</v>
      </c>
      <c r="Q206" s="544"/>
      <c r="R206" s="47"/>
      <c r="S206" s="41"/>
      <c r="T206" s="509"/>
      <c r="U206" s="85"/>
      <c r="V206" s="85"/>
      <c r="W206" s="507"/>
    </row>
    <row r="207" spans="2:23" x14ac:dyDescent="0.2">
      <c r="B207" s="88" t="s">
        <v>14</v>
      </c>
      <c r="C207" s="523">
        <f>'Exh JDT-5 (JDT-INTRPL-RD)'!E132</f>
        <v>3.1109999999999999E-2</v>
      </c>
      <c r="D207" s="78">
        <f>'Exh JDT-5 (JDT-INTRPL-RD)'!$H$132</f>
        <v>3.6830000000000002E-2</v>
      </c>
      <c r="E207" s="41">
        <v>29344602.150000002</v>
      </c>
      <c r="F207" s="509">
        <f t="shared" si="34"/>
        <v>912910.57288650004</v>
      </c>
      <c r="G207" s="85">
        <f t="shared" si="35"/>
        <v>1080761.7</v>
      </c>
      <c r="H207" s="544">
        <f t="shared" si="38"/>
        <v>-1.6000000000000001E-4</v>
      </c>
      <c r="I207" s="544">
        <f t="shared" si="39"/>
        <v>4.7000000000000002E-3</v>
      </c>
      <c r="J207" s="547"/>
      <c r="K207" s="47"/>
      <c r="L207" s="41">
        <v>29344602.150000002</v>
      </c>
      <c r="M207" s="509">
        <f t="shared" si="36"/>
        <v>912910.57288650004</v>
      </c>
      <c r="N207" s="85">
        <f t="shared" si="37"/>
        <v>1080761.7</v>
      </c>
      <c r="O207" s="544">
        <f t="shared" si="40"/>
        <v>-2.96E-3</v>
      </c>
      <c r="P207" s="544">
        <f t="shared" si="41"/>
        <v>9.4599999999999997E-3</v>
      </c>
      <c r="Q207" s="544"/>
      <c r="R207" s="47"/>
      <c r="S207" s="41"/>
      <c r="T207" s="509"/>
      <c r="U207" s="85"/>
      <c r="V207" s="85"/>
      <c r="W207" s="507"/>
    </row>
    <row r="208" spans="2:23" x14ac:dyDescent="0.2">
      <c r="B208" s="88" t="s">
        <v>115</v>
      </c>
      <c r="C208" s="523">
        <f>'Exh JDT-5 (JDT-INTRPL-RD)'!E133</f>
        <v>2.3990000000000001E-2</v>
      </c>
      <c r="D208" s="78">
        <f>'Exh JDT-5 (JDT-INTRPL-RD)'!$H$133</f>
        <v>2.4830000000000001E-2</v>
      </c>
      <c r="E208" s="41">
        <v>73746329.805479586</v>
      </c>
      <c r="F208" s="509">
        <f t="shared" si="34"/>
        <v>1769174.4520334553</v>
      </c>
      <c r="G208" s="85">
        <f t="shared" si="35"/>
        <v>1831121.37</v>
      </c>
      <c r="H208" s="544">
        <f>ROUND((G208*H$175)/E208,5)</f>
        <v>-3.0000000000000001E-5</v>
      </c>
      <c r="I208" s="544">
        <f>ROUND((G208*I$175)/E208,5)</f>
        <v>7.9000000000000001E-4</v>
      </c>
      <c r="J208" s="547"/>
      <c r="K208" s="47"/>
      <c r="L208" s="41">
        <v>86801883.805479586</v>
      </c>
      <c r="M208" s="509">
        <f t="shared" si="36"/>
        <v>2082377.1924934553</v>
      </c>
      <c r="N208" s="85">
        <f t="shared" si="37"/>
        <v>2155290.77</v>
      </c>
      <c r="O208" s="544">
        <f>ROUND((N208*O$175)/L208,5)</f>
        <v>-4.8000000000000001E-4</v>
      </c>
      <c r="P208" s="544">
        <f>ROUND((N208*P$175)/L208,5)</f>
        <v>1.5399999999999999E-3</v>
      </c>
      <c r="Q208" s="544"/>
      <c r="R208" s="47"/>
      <c r="S208" s="41"/>
      <c r="T208" s="500"/>
      <c r="U208" s="81"/>
      <c r="V208" s="85"/>
      <c r="W208" s="507"/>
    </row>
    <row r="209" spans="2:23" x14ac:dyDescent="0.2">
      <c r="B209" s="75" t="s">
        <v>128</v>
      </c>
      <c r="C209" s="523"/>
      <c r="D209" s="78"/>
      <c r="E209" s="17">
        <f>SUM(E203:E208)</f>
        <v>128953412.64547959</v>
      </c>
      <c r="F209" s="490">
        <f>SUM(F198:F208)</f>
        <v>5159636.0805556551</v>
      </c>
      <c r="G209" s="131">
        <f>SUM(G198:G208)</f>
        <v>5763943.8499999996</v>
      </c>
      <c r="H209" s="91"/>
      <c r="I209" s="91"/>
      <c r="J209" s="91"/>
      <c r="K209" s="47"/>
      <c r="L209" s="17">
        <f>SUM(L203:L208)</f>
        <v>142008966.64547959</v>
      </c>
      <c r="M209" s="532">
        <f>SUM(M198:M208)</f>
        <v>5472838.8210156551</v>
      </c>
      <c r="N209" s="131">
        <f>SUM(N198:N208)</f>
        <v>6088113.25</v>
      </c>
      <c r="O209" s="91"/>
      <c r="P209" s="91"/>
      <c r="Q209" s="91"/>
      <c r="R209" s="47"/>
      <c r="S209" s="17"/>
      <c r="T209" s="534"/>
      <c r="U209" s="91"/>
      <c r="V209" s="91"/>
      <c r="W209" s="507"/>
    </row>
    <row r="210" spans="2:23" x14ac:dyDescent="0.2">
      <c r="B210" s="75"/>
      <c r="C210" s="523"/>
      <c r="D210" s="78"/>
      <c r="E210" s="47"/>
      <c r="F210" s="495"/>
      <c r="G210" s="47"/>
      <c r="H210" s="47"/>
      <c r="I210" s="47"/>
      <c r="J210" s="47"/>
      <c r="K210" s="47"/>
      <c r="L210" s="47"/>
      <c r="M210" s="495"/>
      <c r="N210" s="47"/>
      <c r="O210" s="47"/>
      <c r="P210" s="47"/>
      <c r="Q210" s="47"/>
      <c r="R210" s="47"/>
      <c r="S210" s="47"/>
      <c r="T210" s="495"/>
      <c r="U210" s="47"/>
      <c r="V210" s="47"/>
      <c r="W210" s="507"/>
    </row>
    <row r="211" spans="2:23" x14ac:dyDescent="0.2">
      <c r="B211" s="536" t="s">
        <v>126</v>
      </c>
      <c r="C211" s="537"/>
      <c r="D211" s="92"/>
      <c r="E211" s="47"/>
      <c r="F211" s="532">
        <f>F209</f>
        <v>5159636.0805556551</v>
      </c>
      <c r="G211" s="131">
        <f>G209</f>
        <v>5763943.8499999996</v>
      </c>
      <c r="H211" s="91"/>
      <c r="I211" s="91"/>
      <c r="J211" s="91"/>
      <c r="K211" s="47"/>
      <c r="L211" s="47"/>
      <c r="M211" s="532">
        <f>M209</f>
        <v>5472838.8210156551</v>
      </c>
      <c r="N211" s="131">
        <f>N209</f>
        <v>6088113.25</v>
      </c>
      <c r="O211" s="91"/>
      <c r="P211" s="91"/>
      <c r="Q211" s="91"/>
      <c r="R211" s="47"/>
      <c r="S211" s="91"/>
      <c r="T211" s="532"/>
      <c r="U211" s="131"/>
      <c r="V211" s="91"/>
      <c r="W211" s="507"/>
    </row>
    <row r="212" spans="2:23" x14ac:dyDescent="0.2">
      <c r="B212" s="88" t="s">
        <v>269</v>
      </c>
      <c r="C212" s="495"/>
      <c r="D212" s="92"/>
      <c r="E212" s="41"/>
      <c r="F212" s="524"/>
      <c r="G212" s="91"/>
      <c r="H212" s="81">
        <f>SUMPRODUCT(E203:E208,H203:H208)</f>
        <v>-16820.436862264389</v>
      </c>
      <c r="I212" s="81">
        <f>SUMPRODUCT(E203:E208,I203:I208)</f>
        <v>485921.47076992894</v>
      </c>
      <c r="J212" s="85"/>
      <c r="K212" s="47"/>
      <c r="L212" s="41"/>
      <c r="M212" s="524"/>
      <c r="N212" s="91"/>
      <c r="O212" s="81">
        <f>SUMPRODUCT(L203:L208,O203:O208)</f>
        <v>-311232.50837843027</v>
      </c>
      <c r="P212" s="81">
        <f>SUMPRODUCT(L203:L208,P203:P208)</f>
        <v>995094.22681323858</v>
      </c>
      <c r="Q212" s="85"/>
      <c r="R212" s="47"/>
      <c r="S212" s="41"/>
      <c r="T212" s="524"/>
      <c r="U212" s="41"/>
      <c r="V212" s="81"/>
      <c r="W212" s="517"/>
    </row>
    <row r="213" spans="2:23" x14ac:dyDescent="0.2">
      <c r="B213" s="94" t="str">
        <f>"Total "&amp;B196</f>
        <v>Total Schedule 87 - Transportation</v>
      </c>
      <c r="C213" s="521"/>
      <c r="D213" s="92"/>
      <c r="E213" s="41"/>
      <c r="F213" s="524"/>
      <c r="G213" s="91"/>
      <c r="H213" s="85"/>
      <c r="I213" s="513">
        <f>G211+H212+I212</f>
        <v>6233044.8839076636</v>
      </c>
      <c r="J213" s="95"/>
      <c r="K213" s="47"/>
      <c r="L213" s="41"/>
      <c r="M213" s="524"/>
      <c r="N213" s="91"/>
      <c r="O213" s="85"/>
      <c r="P213" s="513">
        <f>N211+O212+P212</f>
        <v>6771974.9684348088</v>
      </c>
      <c r="Q213" s="95"/>
      <c r="R213" s="47"/>
      <c r="S213" s="41"/>
      <c r="T213" s="524"/>
      <c r="U213" s="41"/>
      <c r="V213" s="513"/>
      <c r="W213" s="538"/>
    </row>
    <row r="214" spans="2:23" x14ac:dyDescent="0.2">
      <c r="B214" s="94"/>
      <c r="C214" s="521"/>
      <c r="D214" s="92"/>
      <c r="E214" s="41"/>
      <c r="F214" s="524"/>
      <c r="G214" s="91"/>
      <c r="H214" s="85"/>
      <c r="I214" s="95"/>
      <c r="J214" s="95"/>
      <c r="K214" s="47"/>
      <c r="L214" s="41"/>
      <c r="M214" s="524"/>
      <c r="N214" s="91"/>
      <c r="O214" s="85"/>
      <c r="P214" s="95"/>
      <c r="Q214" s="95"/>
      <c r="R214" s="47"/>
      <c r="S214" s="41"/>
      <c r="T214" s="524"/>
      <c r="U214" s="41"/>
      <c r="V214" s="95"/>
      <c r="W214" s="538"/>
    </row>
    <row r="215" spans="2:23" x14ac:dyDescent="0.2">
      <c r="B215" s="548" t="s">
        <v>206</v>
      </c>
      <c r="C215" s="549"/>
      <c r="D215" s="430"/>
      <c r="E215" s="398">
        <v>31066759.999999996</v>
      </c>
      <c r="F215" s="550">
        <v>1620924.2085755297</v>
      </c>
      <c r="G215" s="440">
        <v>1641017.2645532298</v>
      </c>
      <c r="H215" s="438">
        <v>0</v>
      </c>
      <c r="I215" s="438">
        <v>0</v>
      </c>
      <c r="J215" s="551">
        <v>0</v>
      </c>
      <c r="K215" s="274"/>
      <c r="L215" s="398">
        <v>30967899.999999996</v>
      </c>
      <c r="M215" s="550">
        <v>1618329.5363931155</v>
      </c>
      <c r="N215" s="440">
        <v>1638422.5923708156</v>
      </c>
      <c r="O215" s="438">
        <v>0</v>
      </c>
      <c r="P215" s="438">
        <v>0</v>
      </c>
      <c r="Q215" s="551">
        <v>0</v>
      </c>
      <c r="R215" s="274"/>
      <c r="S215" s="398"/>
      <c r="T215" s="550"/>
      <c r="U215" s="440"/>
      <c r="V215" s="438"/>
      <c r="W215" s="438"/>
    </row>
    <row r="216" spans="2:23" x14ac:dyDescent="0.2">
      <c r="B216" s="79"/>
      <c r="C216" s="498"/>
      <c r="D216" s="132"/>
      <c r="E216" s="80"/>
      <c r="F216" s="498"/>
      <c r="G216" s="80"/>
      <c r="H216" s="80"/>
      <c r="I216" s="80"/>
      <c r="J216" s="80"/>
      <c r="K216" s="80"/>
      <c r="L216" s="80"/>
      <c r="M216" s="498"/>
      <c r="N216" s="80"/>
      <c r="O216" s="80"/>
      <c r="P216" s="80"/>
      <c r="Q216" s="80"/>
      <c r="R216" s="80"/>
      <c r="S216" s="80"/>
      <c r="T216" s="498"/>
      <c r="U216" s="80"/>
      <c r="V216" s="80"/>
      <c r="W216" s="530"/>
    </row>
    <row r="217" spans="2:23" x14ac:dyDescent="0.2">
      <c r="B217" s="383" t="s">
        <v>276</v>
      </c>
    </row>
    <row r="219" spans="2:23" s="469" customFormat="1" x14ac:dyDescent="0.2">
      <c r="B219" s="495" t="s">
        <v>266</v>
      </c>
      <c r="C219" s="552"/>
      <c r="E219" s="553">
        <f t="shared" ref="E219:E225" si="42">SUMIF($B$10:$B$216,$B219,E$10:E$216)</f>
        <v>636378193</v>
      </c>
      <c r="G219" s="554"/>
      <c r="H219" s="555">
        <f t="shared" ref="H219:J225" si="43">SUMIF($B$10:$B$216,$B219,H$10:H$216)</f>
        <v>-1079184.181982181</v>
      </c>
      <c r="I219" s="555">
        <f>SUMIF($B$10:$B$216,$B219,I$10:I$216)</f>
        <v>30961477.392113581</v>
      </c>
      <c r="J219" s="555">
        <f>SUMIF($B$10:$B$216,$B219,J$10:J$216)</f>
        <v>2074672.7347817947</v>
      </c>
      <c r="K219" s="508"/>
      <c r="L219" s="553">
        <f t="shared" ref="L219:L225" si="44">SUMIF($B$10:$B$216,$B219,L$10:L$216)</f>
        <v>639473381</v>
      </c>
      <c r="N219" s="554"/>
      <c r="O219" s="555">
        <f t="shared" ref="O219:Q225" si="45">SUMIF($B$10:$B$216,$B219,O$10:O$216)</f>
        <v>-19762751.087706525</v>
      </c>
      <c r="P219" s="555">
        <f t="shared" si="45"/>
        <v>63168588.452581286</v>
      </c>
      <c r="Q219" s="555">
        <f t="shared" si="45"/>
        <v>2016093.3139364917</v>
      </c>
      <c r="R219" s="508"/>
      <c r="S219" s="553"/>
      <c r="U219" s="554"/>
      <c r="V219" s="555"/>
      <c r="W219" s="555"/>
    </row>
    <row r="220" spans="2:23" s="469" customFormat="1" x14ac:dyDescent="0.2">
      <c r="B220" s="495" t="s">
        <v>270</v>
      </c>
      <c r="C220" s="552"/>
      <c r="E220" s="553">
        <f t="shared" si="42"/>
        <v>243226645</v>
      </c>
      <c r="G220" s="554"/>
      <c r="H220" s="555">
        <f t="shared" si="43"/>
        <v>-380730.32599845406</v>
      </c>
      <c r="I220" s="555">
        <f t="shared" si="43"/>
        <v>10923041.291470494</v>
      </c>
      <c r="J220" s="555">
        <f t="shared" si="43"/>
        <v>730982.95631700102</v>
      </c>
      <c r="K220" s="508"/>
      <c r="L220" s="553">
        <f t="shared" si="44"/>
        <v>245970110</v>
      </c>
      <c r="N220" s="554"/>
      <c r="O220" s="555">
        <f t="shared" si="45"/>
        <v>-6972191.3922317354</v>
      </c>
      <c r="P220" s="555">
        <f t="shared" si="45"/>
        <v>22285535.38492335</v>
      </c>
      <c r="Q220" s="555">
        <f t="shared" si="45"/>
        <v>710343.28746178711</v>
      </c>
      <c r="R220" s="508"/>
      <c r="S220" s="553"/>
      <c r="U220" s="554"/>
      <c r="V220" s="555"/>
      <c r="W220" s="555"/>
    </row>
    <row r="221" spans="2:23" s="469" customFormat="1" x14ac:dyDescent="0.2">
      <c r="B221" s="495" t="s">
        <v>271</v>
      </c>
      <c r="C221" s="552"/>
      <c r="E221" s="553">
        <f t="shared" si="42"/>
        <v>92387406</v>
      </c>
      <c r="G221" s="554"/>
      <c r="H221" s="555">
        <f t="shared" si="43"/>
        <v>-69130.626791916744</v>
      </c>
      <c r="I221" s="555">
        <f t="shared" si="43"/>
        <v>1983337.389720852</v>
      </c>
      <c r="J221" s="555">
        <f t="shared" si="43"/>
        <v>151679.99799864666</v>
      </c>
      <c r="K221" s="508"/>
      <c r="L221" s="553">
        <f t="shared" si="44"/>
        <v>93400775</v>
      </c>
      <c r="N221" s="554"/>
      <c r="O221" s="555">
        <f t="shared" si="45"/>
        <v>-1265966.8225644403</v>
      </c>
      <c r="P221" s="555">
        <f t="shared" si="45"/>
        <v>4046467.865445124</v>
      </c>
      <c r="Q221" s="555">
        <f t="shared" si="45"/>
        <v>147397.23749979044</v>
      </c>
      <c r="R221" s="508"/>
      <c r="S221" s="553"/>
      <c r="U221" s="554"/>
      <c r="V221" s="555"/>
      <c r="W221" s="555"/>
    </row>
    <row r="222" spans="2:23" s="469" customFormat="1" x14ac:dyDescent="0.2">
      <c r="B222" s="495" t="s">
        <v>272</v>
      </c>
      <c r="C222" s="552"/>
      <c r="E222" s="553">
        <f t="shared" si="42"/>
        <v>73912158</v>
      </c>
      <c r="G222" s="554"/>
      <c r="H222" s="555">
        <f t="shared" si="43"/>
        <v>-32891.078822412936</v>
      </c>
      <c r="I222" s="555">
        <f t="shared" si="43"/>
        <v>943635.39640833845</v>
      </c>
      <c r="J222" s="555">
        <f t="shared" si="43"/>
        <v>20472.643272653775</v>
      </c>
      <c r="K222" s="508"/>
      <c r="L222" s="553">
        <f t="shared" si="44"/>
        <v>73034304</v>
      </c>
      <c r="N222" s="554"/>
      <c r="O222" s="555">
        <f t="shared" si="45"/>
        <v>-602323.69471869734</v>
      </c>
      <c r="P222" s="555">
        <f t="shared" si="45"/>
        <v>1925234.8733264885</v>
      </c>
      <c r="Q222" s="555">
        <f t="shared" si="45"/>
        <v>19894.587964952108</v>
      </c>
      <c r="R222" s="508"/>
      <c r="S222" s="553"/>
      <c r="U222" s="554"/>
      <c r="V222" s="555"/>
      <c r="W222" s="555"/>
    </row>
    <row r="223" spans="2:23" s="469" customFormat="1" x14ac:dyDescent="0.2">
      <c r="B223" s="495" t="s">
        <v>273</v>
      </c>
      <c r="C223" s="552"/>
      <c r="E223" s="553">
        <f t="shared" si="42"/>
        <v>6233899</v>
      </c>
      <c r="G223" s="554"/>
      <c r="H223" s="555">
        <f t="shared" si="43"/>
        <v>-2261.7903827306682</v>
      </c>
      <c r="I223" s="555">
        <f t="shared" si="43"/>
        <v>64890.102143631855</v>
      </c>
      <c r="J223" s="555">
        <f t="shared" si="43"/>
        <v>2774.6506744699045</v>
      </c>
      <c r="K223" s="508"/>
      <c r="L223" s="553">
        <f t="shared" si="44"/>
        <v>6068110</v>
      </c>
      <c r="N223" s="554"/>
      <c r="O223" s="555">
        <f t="shared" si="45"/>
        <v>-41419.436174809249</v>
      </c>
      <c r="P223" s="555">
        <f t="shared" si="45"/>
        <v>132390.84508290075</v>
      </c>
      <c r="Q223" s="555">
        <f t="shared" si="45"/>
        <v>2696.3070268991123</v>
      </c>
      <c r="R223" s="508"/>
      <c r="S223" s="553"/>
      <c r="U223" s="554"/>
      <c r="V223" s="555"/>
      <c r="W223" s="555"/>
    </row>
    <row r="224" spans="2:23" s="469" customFormat="1" x14ac:dyDescent="0.2">
      <c r="B224" s="495" t="s">
        <v>274</v>
      </c>
      <c r="C224" s="552"/>
      <c r="E224" s="553">
        <f t="shared" si="42"/>
        <v>150772868.4078348</v>
      </c>
      <c r="G224" s="554"/>
      <c r="H224" s="555">
        <f t="shared" si="43"/>
        <v>-21511.446244260045</v>
      </c>
      <c r="I224" s="555">
        <f t="shared" si="43"/>
        <v>617157.07817363204</v>
      </c>
      <c r="J224" s="555">
        <f t="shared" si="43"/>
        <v>17392.144629522732</v>
      </c>
      <c r="K224" s="508"/>
      <c r="L224" s="553">
        <f t="shared" si="44"/>
        <v>163828422.4078348</v>
      </c>
      <c r="M224" s="495"/>
      <c r="N224" s="508"/>
      <c r="O224" s="555">
        <f t="shared" si="45"/>
        <v>-393932.1616825831</v>
      </c>
      <c r="P224" s="555">
        <f t="shared" si="45"/>
        <v>1259143.450682939</v>
      </c>
      <c r="Q224" s="555">
        <f t="shared" si="45"/>
        <v>16901.068739540333</v>
      </c>
      <c r="R224" s="508"/>
      <c r="S224" s="553"/>
      <c r="T224" s="495"/>
      <c r="U224" s="508"/>
      <c r="V224" s="555"/>
      <c r="W224" s="555"/>
    </row>
    <row r="225" spans="2:23" s="469" customFormat="1" x14ac:dyDescent="0.2">
      <c r="B225" s="495" t="s">
        <v>206</v>
      </c>
      <c r="C225" s="552"/>
      <c r="E225" s="553">
        <f t="shared" si="42"/>
        <v>31066759.999999996</v>
      </c>
      <c r="G225" s="554"/>
      <c r="H225" s="555">
        <f t="shared" si="43"/>
        <v>0</v>
      </c>
      <c r="I225" s="555">
        <f t="shared" si="43"/>
        <v>0</v>
      </c>
      <c r="J225" s="555">
        <f t="shared" si="43"/>
        <v>0</v>
      </c>
      <c r="K225" s="508"/>
      <c r="L225" s="553">
        <f t="shared" si="44"/>
        <v>30967899.999999996</v>
      </c>
      <c r="N225" s="554"/>
      <c r="O225" s="555">
        <f t="shared" si="45"/>
        <v>0</v>
      </c>
      <c r="P225" s="555">
        <f t="shared" si="45"/>
        <v>0</v>
      </c>
      <c r="Q225" s="555">
        <f t="shared" si="45"/>
        <v>0</v>
      </c>
      <c r="R225" s="508"/>
      <c r="S225" s="553"/>
      <c r="U225" s="554"/>
      <c r="V225" s="555"/>
      <c r="W225" s="555"/>
    </row>
    <row r="226" spans="2:23" s="469" customFormat="1" x14ac:dyDescent="0.2">
      <c r="B226" s="552"/>
      <c r="C226" s="552"/>
      <c r="E226" s="556">
        <f>SUM(E219:E225)</f>
        <v>1233977929.4078348</v>
      </c>
      <c r="G226" s="554"/>
      <c r="H226" s="557">
        <f>SUM(H219:H225)</f>
        <v>-1585709.4502219558</v>
      </c>
      <c r="I226" s="557">
        <f>SUM(I219:I225)</f>
        <v>45493538.650030531</v>
      </c>
      <c r="J226" s="557">
        <f>SUM(J219:J225)</f>
        <v>2997975.1276740883</v>
      </c>
      <c r="K226" s="508"/>
      <c r="L226" s="556">
        <f>SUM(L219:L225)</f>
        <v>1252743002.4078348</v>
      </c>
      <c r="N226" s="554"/>
      <c r="O226" s="557">
        <f>SUM(O219:O225)</f>
        <v>-29038584.595078792</v>
      </c>
      <c r="P226" s="557">
        <f>SUM(P219:P225)</f>
        <v>92817360.87204209</v>
      </c>
      <c r="Q226" s="557">
        <f>SUM(Q219:Q225)</f>
        <v>2913325.8026294606</v>
      </c>
      <c r="R226" s="508"/>
      <c r="S226" s="556"/>
      <c r="U226" s="554"/>
      <c r="V226" s="557"/>
      <c r="W226" s="557"/>
    </row>
    <row r="227" spans="2:23" s="469" customFormat="1" x14ac:dyDescent="0.2">
      <c r="B227" s="552"/>
      <c r="C227" s="552"/>
      <c r="G227" s="554"/>
      <c r="H227" s="554"/>
      <c r="I227" s="554"/>
      <c r="J227" s="554"/>
      <c r="K227" s="508"/>
      <c r="N227" s="554"/>
      <c r="O227" s="554"/>
      <c r="P227" s="554"/>
      <c r="Q227" s="554"/>
      <c r="R227" s="508"/>
      <c r="U227" s="554"/>
      <c r="V227" s="554"/>
      <c r="W227" s="554"/>
    </row>
    <row r="228" spans="2:23" s="469" customFormat="1" x14ac:dyDescent="0.2">
      <c r="B228" s="469" t="s">
        <v>277</v>
      </c>
      <c r="C228" s="552"/>
      <c r="E228" s="558">
        <v>1233977929.6218345</v>
      </c>
      <c r="F228" s="558"/>
      <c r="G228" s="558"/>
      <c r="H228" s="558"/>
      <c r="I228" s="558"/>
      <c r="J228" s="558"/>
      <c r="K228" s="553"/>
      <c r="L228" s="558">
        <v>1252743002.6218348</v>
      </c>
      <c r="M228" s="558"/>
      <c r="N228" s="558"/>
      <c r="O228" s="558"/>
      <c r="P228" s="558"/>
      <c r="Q228" s="558"/>
      <c r="R228" s="553"/>
      <c r="S228" s="558"/>
      <c r="U228" s="554"/>
      <c r="V228" s="558"/>
      <c r="W228" s="558"/>
    </row>
    <row r="229" spans="2:23" s="469" customFormat="1" x14ac:dyDescent="0.2">
      <c r="B229" s="469" t="s">
        <v>13</v>
      </c>
      <c r="C229" s="552"/>
      <c r="E229" s="558">
        <f>E228-E226</f>
        <v>0.21399974822998047</v>
      </c>
      <c r="F229" s="558"/>
      <c r="G229" s="558"/>
      <c r="H229" s="558"/>
      <c r="I229" s="558"/>
      <c r="J229" s="558"/>
      <c r="K229" s="553"/>
      <c r="L229" s="558">
        <f>L228-L226</f>
        <v>0.21399998664855957</v>
      </c>
      <c r="M229" s="558"/>
      <c r="N229" s="558"/>
      <c r="O229" s="558"/>
      <c r="P229" s="558"/>
      <c r="Q229" s="558"/>
      <c r="R229" s="553"/>
      <c r="S229" s="558"/>
      <c r="U229" s="554"/>
      <c r="V229" s="558"/>
      <c r="W229" s="558"/>
    </row>
    <row r="230" spans="2:23" s="469" customFormat="1" x14ac:dyDescent="0.2">
      <c r="C230" s="552"/>
      <c r="G230" s="554"/>
      <c r="H230" s="554"/>
      <c r="I230" s="554"/>
      <c r="J230" s="554"/>
      <c r="K230" s="508"/>
      <c r="N230" s="554"/>
      <c r="O230" s="554"/>
      <c r="P230" s="554"/>
      <c r="Q230" s="554"/>
      <c r="R230" s="508"/>
      <c r="U230" s="554"/>
      <c r="V230" s="554"/>
      <c r="W230" s="554"/>
    </row>
    <row r="231" spans="2:23" s="469" customFormat="1" x14ac:dyDescent="0.2">
      <c r="C231" s="552"/>
      <c r="G231" s="554"/>
      <c r="H231" s="554"/>
      <c r="I231" s="554"/>
      <c r="J231" s="554"/>
      <c r="K231" s="508"/>
      <c r="N231" s="554"/>
      <c r="O231" s="554"/>
      <c r="P231" s="554"/>
      <c r="Q231" s="554"/>
      <c r="R231" s="508"/>
      <c r="U231" s="554"/>
      <c r="V231" s="554"/>
      <c r="W231" s="554"/>
    </row>
    <row r="232" spans="2:23" s="469" customFormat="1" x14ac:dyDescent="0.2">
      <c r="B232" s="469" t="s">
        <v>252</v>
      </c>
      <c r="C232" s="552"/>
      <c r="F232" s="559">
        <f>SUMIF($E$10:$E$216,$B232,F10:F216)+F215</f>
        <v>539600736.19147825</v>
      </c>
      <c r="G232" s="559">
        <f>SUMIF($E$10:$E$216,$B232,G10:G216)+G215</f>
        <v>587785548.37421727</v>
      </c>
      <c r="H232" s="554"/>
      <c r="I232" s="554"/>
      <c r="J232" s="554"/>
      <c r="K232" s="508"/>
      <c r="M232" s="558">
        <f>SUMIF($E$10:$E$216,$B232,M10:M216)+M215</f>
        <v>543745909.19024289</v>
      </c>
      <c r="N232" s="558">
        <f>SUMIF($E$10:$E$216,$B232,N10:N216)+N215</f>
        <v>592277399.27363074</v>
      </c>
      <c r="O232" s="554"/>
      <c r="P232" s="554"/>
      <c r="Q232" s="554"/>
      <c r="R232" s="508"/>
      <c r="T232" s="558"/>
      <c r="U232" s="558"/>
      <c r="V232" s="554"/>
      <c r="W232" s="554"/>
    </row>
    <row r="233" spans="2:23" s="469" customFormat="1" x14ac:dyDescent="0.2">
      <c r="B233" s="469" t="s">
        <v>278</v>
      </c>
      <c r="C233" s="552"/>
      <c r="F233" s="559">
        <v>541636319.26357377</v>
      </c>
      <c r="G233" s="559"/>
      <c r="H233" s="554"/>
      <c r="I233" s="554"/>
      <c r="J233" s="554"/>
      <c r="K233" s="508"/>
      <c r="M233" s="558">
        <v>545781492.25652039</v>
      </c>
      <c r="N233" s="554"/>
      <c r="O233" s="554"/>
      <c r="P233" s="554"/>
      <c r="Q233" s="554"/>
      <c r="R233" s="508"/>
      <c r="T233" s="558"/>
      <c r="U233" s="554"/>
      <c r="V233" s="554"/>
      <c r="W233" s="554"/>
    </row>
    <row r="234" spans="2:23" s="469" customFormat="1" x14ac:dyDescent="0.2">
      <c r="B234" s="469" t="s">
        <v>13</v>
      </c>
      <c r="C234" s="552"/>
      <c r="F234" s="559">
        <f>F232-F233</f>
        <v>-2035583.0720955133</v>
      </c>
      <c r="G234" s="559"/>
      <c r="H234" s="554"/>
      <c r="I234" s="554"/>
      <c r="J234" s="554"/>
      <c r="K234" s="508"/>
      <c r="M234" s="558">
        <f>M232-M233</f>
        <v>-2035583.066277504</v>
      </c>
      <c r="N234" s="554"/>
      <c r="O234" s="554"/>
      <c r="P234" s="554"/>
      <c r="Q234" s="554"/>
      <c r="R234" s="508"/>
      <c r="T234" s="558"/>
      <c r="U234" s="554"/>
      <c r="V234" s="554"/>
      <c r="W234" s="554"/>
    </row>
    <row r="235" spans="2:23" s="469" customFormat="1" x14ac:dyDescent="0.2">
      <c r="B235" s="552"/>
      <c r="C235" s="552"/>
      <c r="G235" s="554"/>
      <c r="H235" s="554"/>
      <c r="I235" s="554"/>
      <c r="J235" s="554"/>
      <c r="K235" s="508"/>
      <c r="N235" s="554"/>
      <c r="O235" s="554"/>
      <c r="P235" s="554"/>
      <c r="Q235" s="554"/>
      <c r="R235" s="508"/>
      <c r="U235" s="554"/>
      <c r="V235" s="554"/>
      <c r="W235" s="554"/>
    </row>
    <row r="236" spans="2:23" s="469" customFormat="1" x14ac:dyDescent="0.2">
      <c r="B236" s="552"/>
      <c r="C236" s="552"/>
      <c r="G236" s="554"/>
      <c r="H236" s="554"/>
      <c r="I236" s="554"/>
      <c r="J236" s="554"/>
      <c r="K236" s="508"/>
      <c r="N236" s="554"/>
      <c r="O236" s="554"/>
      <c r="P236" s="554"/>
      <c r="Q236" s="554"/>
      <c r="R236" s="508"/>
      <c r="U236" s="554"/>
      <c r="V236" s="554"/>
      <c r="W236" s="554"/>
    </row>
    <row r="237" spans="2:23" s="469" customFormat="1" x14ac:dyDescent="0.2">
      <c r="B237" s="552"/>
      <c r="C237" s="552"/>
      <c r="G237" s="554"/>
      <c r="H237" s="554"/>
      <c r="I237" s="554"/>
      <c r="J237" s="554"/>
      <c r="K237" s="508"/>
      <c r="N237" s="554"/>
      <c r="O237" s="554"/>
      <c r="P237" s="554"/>
      <c r="Q237" s="554"/>
      <c r="R237" s="508"/>
      <c r="U237" s="554"/>
      <c r="V237" s="554"/>
      <c r="W237" s="554"/>
    </row>
    <row r="238" spans="2:23" s="469" customFormat="1" x14ac:dyDescent="0.2"/>
    <row r="239" spans="2:23" s="559" customFormat="1" x14ac:dyDescent="0.2">
      <c r="B239" s="555" t="s">
        <v>279</v>
      </c>
      <c r="C239" s="560"/>
      <c r="I239" s="559">
        <f>SUMIF($B$10:$B$216,$B239,I$10:I$216)</f>
        <v>444230260.63187999</v>
      </c>
      <c r="K239" s="555"/>
      <c r="P239" s="559">
        <f t="shared" ref="P239:P251" si="46">SUMIF($B$10:$B$216,$B239,P$10:P$216)</f>
        <v>460608843.32148993</v>
      </c>
      <c r="R239" s="555"/>
    </row>
    <row r="240" spans="2:23" s="559" customFormat="1" x14ac:dyDescent="0.2">
      <c r="B240" s="555" t="s">
        <v>280</v>
      </c>
      <c r="C240" s="560"/>
      <c r="I240" s="559">
        <f t="shared" ref="I240:I251" si="47">SUMIF($B$10:$B$216,$B240,I$10:I$216)</f>
        <v>0</v>
      </c>
      <c r="K240" s="555"/>
      <c r="P240" s="559">
        <f t="shared" si="46"/>
        <v>0</v>
      </c>
      <c r="R240" s="555"/>
    </row>
    <row r="241" spans="2:23" s="559" customFormat="1" x14ac:dyDescent="0.2">
      <c r="B241" s="555" t="s">
        <v>281</v>
      </c>
      <c r="C241" s="560"/>
      <c r="I241" s="559">
        <f t="shared" si="47"/>
        <v>6057.8424000000005</v>
      </c>
      <c r="K241" s="555"/>
      <c r="P241" s="559">
        <f t="shared" si="46"/>
        <v>6242.6961600000004</v>
      </c>
      <c r="R241" s="555"/>
    </row>
    <row r="242" spans="2:23" s="559" customFormat="1" x14ac:dyDescent="0.2">
      <c r="B242" s="555" t="s">
        <v>282</v>
      </c>
      <c r="C242" s="560"/>
      <c r="I242" s="559">
        <f t="shared" si="47"/>
        <v>142091733.99600002</v>
      </c>
      <c r="K242" s="555"/>
      <c r="P242" s="559">
        <f t="shared" si="46"/>
        <v>148180855.96738002</v>
      </c>
      <c r="R242" s="555"/>
    </row>
    <row r="243" spans="2:23" s="559" customFormat="1" x14ac:dyDescent="0.2">
      <c r="B243" s="555" t="s">
        <v>283</v>
      </c>
      <c r="C243" s="560"/>
      <c r="I243" s="559">
        <f>SUMIF($B$10:$B$216,$B243,I$10:I$216)</f>
        <v>24416.144510000002</v>
      </c>
      <c r="K243" s="555"/>
      <c r="P243" s="559">
        <f t="shared" si="46"/>
        <v>24814.979580000003</v>
      </c>
      <c r="R243" s="555"/>
    </row>
    <row r="244" spans="2:23" s="559" customFormat="1" x14ac:dyDescent="0.2">
      <c r="B244" s="555" t="s">
        <v>284</v>
      </c>
      <c r="C244" s="560"/>
      <c r="I244" s="559">
        <f t="shared" si="47"/>
        <v>19636865.990350001</v>
      </c>
      <c r="K244" s="555"/>
      <c r="P244" s="559">
        <f t="shared" si="46"/>
        <v>20234057.579360001</v>
      </c>
      <c r="R244" s="555"/>
    </row>
    <row r="245" spans="2:23" s="559" customFormat="1" x14ac:dyDescent="0.2">
      <c r="B245" s="555" t="s">
        <v>285</v>
      </c>
      <c r="C245" s="560"/>
      <c r="I245" s="559">
        <f t="shared" si="47"/>
        <v>5606450.8951199995</v>
      </c>
      <c r="K245" s="555"/>
      <c r="P245" s="559">
        <f t="shared" si="46"/>
        <v>5991323.1361800004</v>
      </c>
      <c r="R245" s="555"/>
    </row>
    <row r="246" spans="2:23" s="559" customFormat="1" x14ac:dyDescent="0.2">
      <c r="B246" s="555" t="s">
        <v>286</v>
      </c>
      <c r="C246" s="560"/>
      <c r="I246" s="559">
        <f t="shared" si="47"/>
        <v>1604061.6653731624</v>
      </c>
      <c r="K246" s="555"/>
      <c r="P246" s="559">
        <f t="shared" si="46"/>
        <v>1625913.266203312</v>
      </c>
      <c r="R246" s="555"/>
    </row>
    <row r="247" spans="2:23" s="559" customFormat="1" x14ac:dyDescent="0.2">
      <c r="B247" s="555" t="s">
        <v>287</v>
      </c>
      <c r="C247" s="560"/>
      <c r="I247" s="559">
        <f t="shared" si="47"/>
        <v>7614719.5414968757</v>
      </c>
      <c r="K247" s="555"/>
      <c r="P247" s="559">
        <f t="shared" si="46"/>
        <v>7927933.1242718324</v>
      </c>
      <c r="R247" s="555"/>
    </row>
    <row r="248" spans="2:23" s="559" customFormat="1" x14ac:dyDescent="0.2">
      <c r="B248" s="555" t="s">
        <v>288</v>
      </c>
      <c r="C248" s="560"/>
      <c r="I248" s="559">
        <f t="shared" si="47"/>
        <v>1210217.9071548816</v>
      </c>
      <c r="K248" s="555"/>
      <c r="P248" s="559">
        <f t="shared" si="46"/>
        <v>1192960.5864223498</v>
      </c>
      <c r="R248" s="555"/>
    </row>
    <row r="249" spans="2:23" s="559" customFormat="1" x14ac:dyDescent="0.2">
      <c r="B249" s="555" t="s">
        <v>289</v>
      </c>
      <c r="C249" s="560"/>
      <c r="I249" s="559">
        <f t="shared" si="47"/>
        <v>153582.50485911273</v>
      </c>
      <c r="K249" s="555"/>
      <c r="P249" s="559">
        <f t="shared" si="46"/>
        <v>162029.89008239383</v>
      </c>
      <c r="R249" s="555"/>
    </row>
    <row r="250" spans="2:23" s="559" customFormat="1" x14ac:dyDescent="0.2">
      <c r="B250" s="555" t="s">
        <v>290</v>
      </c>
      <c r="C250" s="560"/>
      <c r="I250" s="559">
        <f t="shared" si="47"/>
        <v>1635923.2143188098</v>
      </c>
      <c r="K250" s="555"/>
      <c r="P250" s="559">
        <f t="shared" si="46"/>
        <v>1690558.3416830464</v>
      </c>
      <c r="R250" s="555"/>
    </row>
    <row r="251" spans="2:23" s="559" customFormat="1" x14ac:dyDescent="0.2">
      <c r="B251" s="555" t="s">
        <v>291</v>
      </c>
      <c r="C251" s="560"/>
      <c r="I251" s="559">
        <f t="shared" si="47"/>
        <v>6233044.8839076636</v>
      </c>
      <c r="K251" s="555"/>
      <c r="P251" s="559">
        <f t="shared" si="46"/>
        <v>6771974.9684348088</v>
      </c>
      <c r="R251" s="555"/>
    </row>
    <row r="252" spans="2:23" s="559" customFormat="1" x14ac:dyDescent="0.2">
      <c r="B252" s="559" t="s">
        <v>206</v>
      </c>
      <c r="I252" s="559">
        <f>G215</f>
        <v>1641017.2645532298</v>
      </c>
      <c r="P252" s="559">
        <f>N215</f>
        <v>1638422.5923708156</v>
      </c>
    </row>
    <row r="253" spans="2:23" s="559" customFormat="1" x14ac:dyDescent="0.2">
      <c r="B253" s="560" t="s">
        <v>0</v>
      </c>
      <c r="C253" s="560"/>
      <c r="I253" s="560">
        <f>SUM(I239:I252)</f>
        <v>631688352.48192382</v>
      </c>
      <c r="J253" s="560"/>
      <c r="K253" s="555"/>
      <c r="P253" s="560">
        <f>SUM(P239:P252)</f>
        <v>656055930.44961858</v>
      </c>
      <c r="Q253" s="560"/>
      <c r="R253" s="555"/>
      <c r="W253" s="560"/>
    </row>
    <row r="254" spans="2:23" s="559" customFormat="1" x14ac:dyDescent="0.2">
      <c r="B254" s="560"/>
      <c r="C254" s="560"/>
      <c r="K254" s="555"/>
      <c r="R254" s="555"/>
    </row>
    <row r="255" spans="2:23" s="562" customFormat="1" x14ac:dyDescent="0.2">
      <c r="B255" s="561" t="s">
        <v>292</v>
      </c>
      <c r="C255" s="561"/>
      <c r="I255" s="562">
        <v>631687999.42594612</v>
      </c>
      <c r="K255" s="563"/>
      <c r="P255" s="562">
        <v>656055577.39364088</v>
      </c>
      <c r="R255" s="563"/>
    </row>
    <row r="256" spans="2:23" s="562" customFormat="1" x14ac:dyDescent="0.2">
      <c r="B256" s="561" t="s">
        <v>13</v>
      </c>
      <c r="C256" s="561"/>
      <c r="I256" s="562">
        <f>I253-I255</f>
        <v>353.05597770214081</v>
      </c>
      <c r="K256" s="563"/>
      <c r="P256" s="562">
        <f>P253-P255</f>
        <v>353.05597770214081</v>
      </c>
      <c r="R256" s="563"/>
    </row>
    <row r="257" spans="2:23" s="559" customFormat="1" x14ac:dyDescent="0.2">
      <c r="B257" s="560"/>
      <c r="C257" s="560"/>
      <c r="K257" s="555"/>
      <c r="R257" s="555"/>
    </row>
    <row r="258" spans="2:23" s="469" customFormat="1" x14ac:dyDescent="0.2">
      <c r="B258" s="552"/>
      <c r="C258" s="552"/>
      <c r="G258" s="554"/>
      <c r="H258" s="554"/>
      <c r="I258" s="554"/>
      <c r="J258" s="554"/>
      <c r="K258" s="508"/>
      <c r="N258" s="554"/>
      <c r="O258" s="554"/>
      <c r="P258" s="554"/>
      <c r="Q258" s="554"/>
      <c r="R258" s="508"/>
      <c r="U258" s="554"/>
      <c r="V258" s="554"/>
      <c r="W258" s="554"/>
    </row>
    <row r="259" spans="2:23" s="469" customFormat="1" x14ac:dyDescent="0.2">
      <c r="B259" s="552"/>
      <c r="C259" s="552"/>
      <c r="G259" s="554"/>
      <c r="H259" s="554"/>
      <c r="I259" s="554"/>
      <c r="J259" s="554"/>
      <c r="K259" s="508"/>
      <c r="N259" s="554"/>
      <c r="O259" s="554"/>
      <c r="P259" s="554"/>
      <c r="Q259" s="554"/>
      <c r="R259" s="508"/>
      <c r="U259" s="554"/>
      <c r="V259" s="554"/>
      <c r="W259" s="554"/>
    </row>
    <row r="260" spans="2:23" s="469" customFormat="1" x14ac:dyDescent="0.2">
      <c r="B260" s="552"/>
      <c r="C260" s="552"/>
      <c r="G260" s="554"/>
      <c r="H260" s="554"/>
      <c r="I260" s="554"/>
      <c r="J260" s="554"/>
      <c r="K260" s="508"/>
      <c r="N260" s="554"/>
      <c r="O260" s="554"/>
      <c r="P260" s="554"/>
      <c r="Q260" s="554"/>
      <c r="R260" s="508"/>
      <c r="U260" s="554"/>
      <c r="V260" s="554"/>
      <c r="W260" s="554"/>
    </row>
    <row r="261" spans="2:23" s="469" customFormat="1" x14ac:dyDescent="0.2">
      <c r="B261" s="552"/>
      <c r="C261" s="552"/>
      <c r="G261" s="554"/>
      <c r="H261" s="554"/>
      <c r="I261" s="554"/>
      <c r="J261" s="554"/>
      <c r="K261" s="508"/>
      <c r="N261" s="554"/>
      <c r="O261" s="554"/>
      <c r="P261" s="554"/>
      <c r="Q261" s="554"/>
      <c r="R261" s="508"/>
      <c r="U261" s="554"/>
      <c r="V261" s="554"/>
      <c r="W261" s="554"/>
    </row>
    <row r="262" spans="2:23" s="469" customFormat="1" x14ac:dyDescent="0.2">
      <c r="B262" s="552"/>
      <c r="C262" s="552"/>
      <c r="G262" s="554"/>
      <c r="H262" s="554"/>
      <c r="I262" s="554"/>
      <c r="J262" s="554"/>
      <c r="K262" s="508"/>
      <c r="N262" s="554"/>
      <c r="O262" s="554"/>
      <c r="P262" s="554"/>
      <c r="Q262" s="554"/>
      <c r="R262" s="508"/>
      <c r="U262" s="554"/>
      <c r="V262" s="554"/>
      <c r="W262" s="554"/>
    </row>
    <row r="263" spans="2:23" s="469" customFormat="1" x14ac:dyDescent="0.2">
      <c r="B263" s="552"/>
      <c r="C263" s="552"/>
      <c r="G263" s="554"/>
      <c r="H263" s="554"/>
      <c r="I263" s="554"/>
      <c r="J263" s="554"/>
      <c r="K263" s="508"/>
      <c r="N263" s="554"/>
      <c r="O263" s="554"/>
      <c r="P263" s="554"/>
      <c r="Q263" s="554"/>
      <c r="R263" s="508"/>
      <c r="U263" s="554"/>
      <c r="V263" s="554"/>
      <c r="W263" s="554"/>
    </row>
    <row r="264" spans="2:23" s="469" customFormat="1" x14ac:dyDescent="0.2">
      <c r="B264" s="552"/>
      <c r="C264" s="552"/>
      <c r="G264" s="554"/>
      <c r="H264" s="554"/>
      <c r="I264" s="554"/>
      <c r="J264" s="554"/>
      <c r="K264" s="508"/>
      <c r="N264" s="554"/>
      <c r="O264" s="554"/>
      <c r="P264" s="554"/>
      <c r="Q264" s="554"/>
      <c r="R264" s="508"/>
      <c r="U264" s="554"/>
      <c r="V264" s="554"/>
      <c r="W264" s="554"/>
    </row>
    <row r="265" spans="2:23" s="469" customFormat="1" x14ac:dyDescent="0.2">
      <c r="B265" s="552"/>
      <c r="C265" s="552"/>
      <c r="G265" s="554"/>
      <c r="H265" s="554"/>
      <c r="I265" s="554"/>
      <c r="J265" s="554"/>
      <c r="K265" s="508"/>
      <c r="N265" s="554"/>
      <c r="O265" s="554"/>
      <c r="P265" s="554"/>
      <c r="Q265" s="554"/>
      <c r="R265" s="508"/>
      <c r="U265" s="554"/>
      <c r="V265" s="554"/>
      <c r="W265" s="554"/>
    </row>
    <row r="266" spans="2:23" s="469" customFormat="1" x14ac:dyDescent="0.2">
      <c r="B266" s="552"/>
      <c r="C266" s="552"/>
      <c r="G266" s="554"/>
      <c r="H266" s="554"/>
      <c r="I266" s="554"/>
      <c r="J266" s="554"/>
      <c r="K266" s="508"/>
      <c r="N266" s="554"/>
      <c r="O266" s="554"/>
      <c r="P266" s="554"/>
      <c r="Q266" s="554"/>
      <c r="R266" s="508"/>
      <c r="U266" s="554"/>
      <c r="V266" s="554"/>
      <c r="W266" s="554"/>
    </row>
    <row r="267" spans="2:23" s="469" customFormat="1" x14ac:dyDescent="0.2">
      <c r="B267" s="552"/>
      <c r="C267" s="552"/>
      <c r="G267" s="554"/>
      <c r="H267" s="554"/>
      <c r="I267" s="554"/>
      <c r="J267" s="554"/>
      <c r="K267" s="508"/>
      <c r="N267" s="554"/>
      <c r="O267" s="554"/>
      <c r="P267" s="554"/>
      <c r="Q267" s="554"/>
      <c r="R267" s="508"/>
      <c r="U267" s="554"/>
      <c r="V267" s="554"/>
      <c r="W267" s="554"/>
    </row>
    <row r="268" spans="2:23" s="469" customFormat="1" x14ac:dyDescent="0.2">
      <c r="B268" s="552"/>
      <c r="C268" s="552"/>
      <c r="G268" s="554"/>
      <c r="H268" s="554"/>
      <c r="I268" s="554"/>
      <c r="J268" s="554"/>
      <c r="K268" s="508"/>
      <c r="N268" s="554"/>
      <c r="O268" s="554"/>
      <c r="P268" s="554"/>
      <c r="Q268" s="554"/>
      <c r="R268" s="508"/>
      <c r="U268" s="554"/>
      <c r="V268" s="554"/>
      <c r="W268" s="554"/>
    </row>
    <row r="269" spans="2:23" s="469" customFormat="1" x14ac:dyDescent="0.2">
      <c r="B269" s="552"/>
      <c r="C269" s="552"/>
      <c r="G269" s="554"/>
      <c r="H269" s="554"/>
      <c r="I269" s="554"/>
      <c r="J269" s="554"/>
      <c r="K269" s="508"/>
      <c r="N269" s="554"/>
      <c r="O269" s="554"/>
      <c r="P269" s="554"/>
      <c r="Q269" s="554"/>
      <c r="R269" s="508"/>
      <c r="U269" s="554"/>
      <c r="V269" s="554"/>
      <c r="W269" s="554"/>
    </row>
    <row r="270" spans="2:23" s="469" customFormat="1" x14ac:dyDescent="0.2">
      <c r="B270" s="552"/>
      <c r="C270" s="552"/>
      <c r="G270" s="554"/>
      <c r="H270" s="554"/>
      <c r="I270" s="554"/>
      <c r="J270" s="554"/>
      <c r="K270" s="508"/>
      <c r="N270" s="554"/>
      <c r="O270" s="554"/>
      <c r="P270" s="554"/>
      <c r="Q270" s="554"/>
      <c r="R270" s="508"/>
      <c r="U270" s="554"/>
      <c r="V270" s="554"/>
      <c r="W270" s="554"/>
    </row>
    <row r="271" spans="2:23" s="469" customFormat="1" x14ac:dyDescent="0.2">
      <c r="B271" s="552"/>
      <c r="C271" s="552"/>
      <c r="G271" s="554"/>
      <c r="H271" s="554"/>
      <c r="I271" s="554"/>
      <c r="J271" s="554"/>
      <c r="K271" s="508"/>
      <c r="N271" s="554"/>
      <c r="O271" s="554"/>
      <c r="P271" s="554"/>
      <c r="Q271" s="554"/>
      <c r="R271" s="508"/>
      <c r="U271" s="554"/>
      <c r="V271" s="554"/>
      <c r="W271" s="554"/>
    </row>
    <row r="272" spans="2:23" s="469" customFormat="1" x14ac:dyDescent="0.2">
      <c r="B272" s="552"/>
      <c r="C272" s="552"/>
      <c r="G272" s="554"/>
      <c r="H272" s="554"/>
      <c r="I272" s="554"/>
      <c r="J272" s="554"/>
      <c r="K272" s="508"/>
      <c r="N272" s="554"/>
      <c r="O272" s="554"/>
      <c r="P272" s="554"/>
      <c r="Q272" s="554"/>
      <c r="R272" s="508"/>
      <c r="U272" s="554"/>
      <c r="V272" s="554"/>
      <c r="W272" s="554"/>
    </row>
    <row r="273" spans="2:23" s="469" customFormat="1" x14ac:dyDescent="0.2">
      <c r="B273" s="552"/>
      <c r="C273" s="552"/>
      <c r="G273" s="554"/>
      <c r="H273" s="554"/>
      <c r="I273" s="554"/>
      <c r="J273" s="554"/>
      <c r="K273" s="508"/>
      <c r="N273" s="554"/>
      <c r="O273" s="554"/>
      <c r="P273" s="554"/>
      <c r="Q273" s="554"/>
      <c r="R273" s="508"/>
      <c r="U273" s="554"/>
      <c r="V273" s="554"/>
      <c r="W273" s="554"/>
    </row>
    <row r="274" spans="2:23" s="469" customFormat="1" x14ac:dyDescent="0.2">
      <c r="B274" s="552"/>
      <c r="C274" s="552"/>
      <c r="G274" s="554"/>
      <c r="H274" s="554"/>
      <c r="I274" s="554"/>
      <c r="J274" s="554"/>
      <c r="K274" s="508"/>
      <c r="N274" s="554"/>
      <c r="O274" s="554"/>
      <c r="P274" s="554"/>
      <c r="Q274" s="554"/>
      <c r="R274" s="508"/>
      <c r="U274" s="554"/>
      <c r="V274" s="554"/>
      <c r="W274" s="554"/>
    </row>
    <row r="275" spans="2:23" s="469" customFormat="1" x14ac:dyDescent="0.2">
      <c r="B275" s="552"/>
      <c r="C275" s="552"/>
      <c r="G275" s="554"/>
      <c r="H275" s="554"/>
      <c r="I275" s="554"/>
      <c r="J275" s="554"/>
      <c r="K275" s="508"/>
      <c r="N275" s="554"/>
      <c r="O275" s="554"/>
      <c r="P275" s="554"/>
      <c r="Q275" s="554"/>
      <c r="R275" s="508"/>
      <c r="U275" s="554"/>
      <c r="V275" s="554"/>
      <c r="W275" s="554"/>
    </row>
    <row r="276" spans="2:23" s="469" customFormat="1" x14ac:dyDescent="0.2">
      <c r="B276" s="552"/>
      <c r="C276" s="552"/>
      <c r="G276" s="554"/>
      <c r="H276" s="554"/>
      <c r="I276" s="554"/>
      <c r="J276" s="554"/>
      <c r="K276" s="508"/>
      <c r="N276" s="554"/>
      <c r="O276" s="554"/>
      <c r="P276" s="554"/>
      <c r="Q276" s="554"/>
      <c r="R276" s="508"/>
      <c r="U276" s="554"/>
      <c r="V276" s="554"/>
      <c r="W276" s="554"/>
    </row>
    <row r="277" spans="2:23" s="469" customFormat="1" x14ac:dyDescent="0.2">
      <c r="B277" s="552"/>
      <c r="C277" s="552"/>
      <c r="G277" s="554"/>
      <c r="H277" s="554"/>
      <c r="I277" s="554"/>
      <c r="J277" s="554"/>
      <c r="K277" s="508"/>
      <c r="N277" s="554"/>
      <c r="O277" s="554"/>
      <c r="P277" s="554"/>
      <c r="Q277" s="554"/>
      <c r="R277" s="508"/>
      <c r="U277" s="554"/>
      <c r="V277" s="554"/>
      <c r="W277" s="554"/>
    </row>
    <row r="278" spans="2:23" s="469" customFormat="1" x14ac:dyDescent="0.2">
      <c r="B278" s="552"/>
      <c r="C278" s="552"/>
      <c r="G278" s="554"/>
      <c r="H278" s="554"/>
      <c r="I278" s="554"/>
      <c r="J278" s="554"/>
      <c r="K278" s="508"/>
      <c r="N278" s="554"/>
      <c r="O278" s="554"/>
      <c r="P278" s="554"/>
      <c r="Q278" s="554"/>
      <c r="R278" s="508"/>
      <c r="U278" s="554"/>
      <c r="V278" s="554"/>
      <c r="W278" s="554"/>
    </row>
    <row r="279" spans="2:23" s="469" customFormat="1" x14ac:dyDescent="0.2">
      <c r="B279" s="552"/>
      <c r="C279" s="552"/>
      <c r="G279" s="554"/>
      <c r="H279" s="554"/>
      <c r="I279" s="554"/>
      <c r="J279" s="554"/>
      <c r="K279" s="508"/>
      <c r="N279" s="554"/>
      <c r="O279" s="554"/>
      <c r="P279" s="554"/>
      <c r="Q279" s="554"/>
      <c r="R279" s="508"/>
      <c r="U279" s="554"/>
      <c r="V279" s="554"/>
      <c r="W279" s="554"/>
    </row>
  </sheetData>
  <mergeCells count="3">
    <mergeCell ref="E7:I7"/>
    <mergeCell ref="L7:P7"/>
    <mergeCell ref="S7:W7"/>
  </mergeCells>
  <pageMargins left="0.45" right="0.45" top="0.5" bottom="0.5" header="0.3" footer="0.3"/>
  <pageSetup scale="65" orientation="landscape" r:id="rId1"/>
  <headerFooter>
    <oddFooter>&amp;R&amp;A
 Page &amp;P of &amp;N</oddFooter>
  </headerFooter>
  <rowBreaks count="5" manualBreakCount="5">
    <brk id="62" min="1" max="17" man="1"/>
    <brk id="99" max="16383" man="1"/>
    <brk id="137" min="1" max="17" man="1"/>
    <brk id="172" max="16383" man="1"/>
    <brk id="216" min="1" max="17" man="1"/>
  </rowBreaks>
  <colBreaks count="2" manualBreakCount="2">
    <brk id="11" max="255" man="1"/>
    <brk id="18" max="2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zoomScale="90" zoomScaleNormal="90" workbookViewId="0">
      <selection activeCell="O34" sqref="O34"/>
    </sheetView>
  </sheetViews>
  <sheetFormatPr defaultRowHeight="15" x14ac:dyDescent="0.25"/>
  <sheetData/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37"/>
  <sheetViews>
    <sheetView zoomScale="85" zoomScaleNormal="85" workbookViewId="0">
      <pane xSplit="3" ySplit="9" topLeftCell="D10" activePane="bottomRight" state="frozenSplit"/>
      <selection activeCell="N39" sqref="N39"/>
      <selection pane="topRight" activeCell="N39" sqref="N39"/>
      <selection pane="bottomLeft" activeCell="N39" sqref="N39"/>
      <selection pane="bottomRight" activeCell="N40" sqref="N40"/>
    </sheetView>
  </sheetViews>
  <sheetFormatPr defaultRowHeight="15" x14ac:dyDescent="0.25"/>
  <cols>
    <col min="1" max="1" width="2.85546875" customWidth="1"/>
    <col min="2" max="2" width="37.5703125" customWidth="1"/>
    <col min="3" max="3" width="8.42578125" bestFit="1" customWidth="1"/>
    <col min="4" max="4" width="15" bestFit="1" customWidth="1"/>
    <col min="5" max="5" width="14.5703125" bestFit="1" customWidth="1"/>
    <col min="6" max="6" width="10.5703125" bestFit="1" customWidth="1"/>
    <col min="7" max="7" width="15" customWidth="1"/>
    <col min="8" max="9" width="14.5703125" bestFit="1" customWidth="1"/>
    <col min="10" max="11" width="13.28515625" bestFit="1" customWidth="1"/>
    <col min="12" max="12" width="12.140625" bestFit="1" customWidth="1"/>
    <col min="13" max="13" width="12.140625" customWidth="1"/>
    <col min="14" max="14" width="13.28515625" bestFit="1" customWidth="1"/>
    <col min="15" max="15" width="14" bestFit="1" customWidth="1"/>
    <col min="16" max="17" width="14" customWidth="1"/>
    <col min="18" max="18" width="12.85546875" bestFit="1" customWidth="1"/>
    <col min="19" max="19" width="13.28515625" bestFit="1" customWidth="1"/>
    <col min="20" max="20" width="16.140625" bestFit="1" customWidth="1"/>
    <col min="21" max="21" width="13.140625" customWidth="1"/>
    <col min="22" max="22" width="7.85546875" bestFit="1" customWidth="1"/>
    <col min="23" max="23" width="13.7109375" bestFit="1" customWidth="1"/>
  </cols>
  <sheetData>
    <row r="1" spans="2:22" x14ac:dyDescent="0.25">
      <c r="B1" s="247" t="s">
        <v>12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</row>
    <row r="2" spans="2:22" x14ac:dyDescent="0.25">
      <c r="B2" s="247" t="s">
        <v>380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</row>
    <row r="3" spans="2:22" x14ac:dyDescent="0.25">
      <c r="B3" s="248" t="s">
        <v>176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</row>
    <row r="4" spans="2:22" x14ac:dyDescent="0.25">
      <c r="B4" s="248" t="s">
        <v>321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</row>
    <row r="5" spans="2:22" x14ac:dyDescent="0.25">
      <c r="F5" s="568"/>
      <c r="O5" s="568"/>
      <c r="P5" s="568"/>
      <c r="Q5" s="568"/>
    </row>
    <row r="6" spans="2:22" x14ac:dyDescent="0.25">
      <c r="F6" s="568"/>
      <c r="G6" s="151" t="s">
        <v>177</v>
      </c>
      <c r="O6" s="568"/>
      <c r="P6" s="568"/>
      <c r="Q6" s="568"/>
    </row>
    <row r="7" spans="2:22" x14ac:dyDescent="0.25">
      <c r="B7" s="151"/>
      <c r="C7" s="151"/>
      <c r="D7" s="151" t="s">
        <v>293</v>
      </c>
      <c r="E7" s="151" t="str">
        <f>D7</f>
        <v>UG-220067</v>
      </c>
      <c r="F7" s="151" t="s">
        <v>225</v>
      </c>
      <c r="G7" s="151" t="s">
        <v>95</v>
      </c>
      <c r="H7" s="568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2" t="s">
        <v>322</v>
      </c>
      <c r="U7" s="152" t="s">
        <v>116</v>
      </c>
      <c r="V7" s="151"/>
    </row>
    <row r="8" spans="2:22" x14ac:dyDescent="0.25">
      <c r="B8" s="151"/>
      <c r="C8" s="151" t="s">
        <v>11</v>
      </c>
      <c r="D8" s="151" t="s">
        <v>10</v>
      </c>
      <c r="E8" s="151" t="s">
        <v>226</v>
      </c>
      <c r="F8" s="151" t="s">
        <v>11</v>
      </c>
      <c r="G8" s="152" t="s">
        <v>323</v>
      </c>
      <c r="H8" s="568" t="s">
        <v>226</v>
      </c>
      <c r="I8" s="151" t="s">
        <v>227</v>
      </c>
      <c r="J8" s="151" t="s">
        <v>228</v>
      </c>
      <c r="K8" s="151" t="s">
        <v>229</v>
      </c>
      <c r="L8" s="151" t="s">
        <v>116</v>
      </c>
      <c r="M8" s="151" t="s">
        <v>248</v>
      </c>
      <c r="N8" s="151" t="s">
        <v>84</v>
      </c>
      <c r="O8" s="151" t="s">
        <v>324</v>
      </c>
      <c r="P8" s="151" t="s">
        <v>315</v>
      </c>
      <c r="Q8" s="151" t="s">
        <v>316</v>
      </c>
      <c r="R8" s="151" t="s">
        <v>174</v>
      </c>
      <c r="S8" s="151" t="s">
        <v>230</v>
      </c>
      <c r="T8" s="151" t="s">
        <v>178</v>
      </c>
      <c r="U8" s="151" t="s">
        <v>6</v>
      </c>
      <c r="V8" s="151" t="s">
        <v>72</v>
      </c>
    </row>
    <row r="9" spans="2:22" ht="17.25" x14ac:dyDescent="0.25">
      <c r="B9" s="569" t="s">
        <v>8</v>
      </c>
      <c r="C9" s="569" t="s">
        <v>7</v>
      </c>
      <c r="D9" s="569" t="s">
        <v>179</v>
      </c>
      <c r="E9" s="569" t="s">
        <v>180</v>
      </c>
      <c r="F9" s="569" t="s">
        <v>181</v>
      </c>
      <c r="G9" s="249" t="s">
        <v>325</v>
      </c>
      <c r="H9" s="569" t="s">
        <v>6</v>
      </c>
      <c r="I9" s="569" t="s">
        <v>6</v>
      </c>
      <c r="J9" s="569" t="s">
        <v>6</v>
      </c>
      <c r="K9" s="569" t="s">
        <v>6</v>
      </c>
      <c r="L9" s="569" t="s">
        <v>6</v>
      </c>
      <c r="M9" s="569" t="s">
        <v>6</v>
      </c>
      <c r="N9" s="569" t="s">
        <v>6</v>
      </c>
      <c r="O9" s="569" t="s">
        <v>6</v>
      </c>
      <c r="P9" s="569" t="s">
        <v>6</v>
      </c>
      <c r="Q9" s="569" t="s">
        <v>6</v>
      </c>
      <c r="R9" s="569" t="s">
        <v>6</v>
      </c>
      <c r="S9" s="569" t="s">
        <v>6</v>
      </c>
      <c r="T9" s="153" t="s">
        <v>182</v>
      </c>
      <c r="U9" s="569" t="s">
        <v>73</v>
      </c>
      <c r="V9" s="569" t="s">
        <v>73</v>
      </c>
    </row>
    <row r="10" spans="2:22" x14ac:dyDescent="0.25">
      <c r="B10" s="151" t="s">
        <v>74</v>
      </c>
      <c r="C10" s="151" t="s">
        <v>75</v>
      </c>
      <c r="D10" s="154" t="s">
        <v>76</v>
      </c>
      <c r="E10" s="155" t="s">
        <v>77</v>
      </c>
      <c r="F10" s="151" t="s">
        <v>183</v>
      </c>
      <c r="G10" s="151" t="s">
        <v>184</v>
      </c>
      <c r="H10" s="151" t="s">
        <v>185</v>
      </c>
      <c r="I10" s="151" t="s">
        <v>78</v>
      </c>
      <c r="J10" s="151" t="s">
        <v>79</v>
      </c>
      <c r="K10" s="151" t="s">
        <v>80</v>
      </c>
      <c r="L10" s="155" t="s">
        <v>186</v>
      </c>
      <c r="M10" s="151" t="s">
        <v>187</v>
      </c>
      <c r="N10" s="155" t="s">
        <v>188</v>
      </c>
      <c r="O10" s="155" t="s">
        <v>189</v>
      </c>
      <c r="P10" s="155" t="s">
        <v>190</v>
      </c>
      <c r="Q10" s="155" t="s">
        <v>191</v>
      </c>
      <c r="R10" s="155" t="s">
        <v>326</v>
      </c>
      <c r="S10" s="155" t="s">
        <v>327</v>
      </c>
      <c r="T10" s="156" t="s">
        <v>328</v>
      </c>
      <c r="U10" s="151" t="s">
        <v>329</v>
      </c>
      <c r="V10" s="151" t="s">
        <v>330</v>
      </c>
    </row>
    <row r="11" spans="2:22" x14ac:dyDescent="0.25">
      <c r="B11" t="s">
        <v>5</v>
      </c>
      <c r="C11" s="568" t="s">
        <v>192</v>
      </c>
      <c r="D11" s="300">
        <v>620836684.05687141</v>
      </c>
      <c r="E11" s="162">
        <v>403613457.09474093</v>
      </c>
      <c r="F11" s="158">
        <f t="shared" ref="F11:F16" si="0">(E11)/D11</f>
        <v>0.6501121268436002</v>
      </c>
      <c r="G11" s="300">
        <v>559577786</v>
      </c>
      <c r="H11" s="159">
        <f>F11*G11</f>
        <v>363788304.59089297</v>
      </c>
      <c r="I11" s="162">
        <v>386214992.12</v>
      </c>
      <c r="J11" s="162">
        <v>22584559.440000001</v>
      </c>
      <c r="K11" s="162">
        <v>16087861.3475</v>
      </c>
      <c r="L11" s="157">
        <f>'Sch. 129'!G9</f>
        <v>1768265.80376</v>
      </c>
      <c r="M11" s="162">
        <v>0</v>
      </c>
      <c r="N11" s="162">
        <v>12786352.4101</v>
      </c>
      <c r="O11" s="162">
        <v>1824223.5823599999</v>
      </c>
      <c r="P11" s="162">
        <v>-951282.23619999993</v>
      </c>
      <c r="Q11" s="162">
        <v>27223459.288899999</v>
      </c>
      <c r="R11" s="162">
        <v>-766621.56681999995</v>
      </c>
      <c r="S11" s="162">
        <v>2596440.9300000002</v>
      </c>
      <c r="T11" s="160">
        <f t="shared" ref="T11:T23" si="1">SUM(H11:S11)</f>
        <v>833156555.71049297</v>
      </c>
      <c r="U11" s="157">
        <f>'Sch. 129'!I9</f>
        <v>1309412.0192399998</v>
      </c>
      <c r="V11" s="161">
        <f>U11/T11</f>
        <v>1.5716278174434687E-3</v>
      </c>
    </row>
    <row r="12" spans="2:22" x14ac:dyDescent="0.25">
      <c r="B12" t="s">
        <v>193</v>
      </c>
      <c r="C12" s="568">
        <v>16</v>
      </c>
      <c r="D12" s="300">
        <v>8190.2669999999998</v>
      </c>
      <c r="E12" s="162">
        <v>5233.1499999999996</v>
      </c>
      <c r="F12" s="158">
        <f t="shared" si="0"/>
        <v>0.63894742381414427</v>
      </c>
      <c r="G12" s="300">
        <v>6996</v>
      </c>
      <c r="H12" s="159">
        <f t="shared" ref="H12:H23" si="2">F12*G12</f>
        <v>4470.0761770037534</v>
      </c>
      <c r="I12" s="162">
        <v>4310.8</v>
      </c>
      <c r="J12" s="162">
        <v>282.36</v>
      </c>
      <c r="K12" s="162">
        <v>201.13500000000002</v>
      </c>
      <c r="L12" s="157"/>
      <c r="M12" s="162"/>
      <c r="N12" s="162">
        <v>159.8586</v>
      </c>
      <c r="O12" s="162">
        <v>22.80696</v>
      </c>
      <c r="P12" s="162">
        <v>-11.8932</v>
      </c>
      <c r="Q12" s="162">
        <v>340.35539999999997</v>
      </c>
      <c r="R12" s="162">
        <v>-9.5845199999999995</v>
      </c>
      <c r="S12" s="162"/>
      <c r="T12" s="160">
        <f t="shared" si="1"/>
        <v>9765.9144170037525</v>
      </c>
      <c r="U12" s="157"/>
      <c r="V12" s="161">
        <f t="shared" ref="V12:V24" si="3">U12/T12</f>
        <v>0</v>
      </c>
    </row>
    <row r="13" spans="2:22" x14ac:dyDescent="0.25">
      <c r="B13" t="s">
        <v>194</v>
      </c>
      <c r="C13" s="568">
        <v>31</v>
      </c>
      <c r="D13" s="300">
        <v>222166912.14539161</v>
      </c>
      <c r="E13" s="162">
        <v>122121000.06</v>
      </c>
      <c r="F13" s="158">
        <f t="shared" si="0"/>
        <v>0.54968131339054194</v>
      </c>
      <c r="G13" s="300">
        <v>231737444</v>
      </c>
      <c r="H13" s="159">
        <f t="shared" si="2"/>
        <v>127381742.57968716</v>
      </c>
      <c r="I13" s="162">
        <v>140907952.81999999</v>
      </c>
      <c r="J13" s="162">
        <v>9350605.8699999992</v>
      </c>
      <c r="K13" s="162">
        <v>6662451.5150000006</v>
      </c>
      <c r="L13" s="157">
        <f>'Sch. 129'!G11</f>
        <v>618738.97548000002</v>
      </c>
      <c r="M13" s="162">
        <v>0</v>
      </c>
      <c r="N13" s="162">
        <v>5823561.9677200001</v>
      </c>
      <c r="O13" s="162">
        <v>697529.70643999998</v>
      </c>
      <c r="P13" s="162">
        <v>-363827.78707999998</v>
      </c>
      <c r="Q13" s="162">
        <v>10407328.61004</v>
      </c>
      <c r="R13" s="162">
        <v>-340654.04268000001</v>
      </c>
      <c r="S13" s="162">
        <v>-4127243.8800000004</v>
      </c>
      <c r="T13" s="160">
        <f t="shared" si="1"/>
        <v>297018186.33460712</v>
      </c>
      <c r="U13" s="157">
        <f>'Sch. 129'!I11</f>
        <v>475061.76020000014</v>
      </c>
      <c r="V13" s="161">
        <f>U13/T13</f>
        <v>1.599436607106668E-3</v>
      </c>
    </row>
    <row r="14" spans="2:22" x14ac:dyDescent="0.25">
      <c r="B14" t="s">
        <v>195</v>
      </c>
      <c r="C14" s="568">
        <v>41</v>
      </c>
      <c r="D14" s="300">
        <v>62517991.156948164</v>
      </c>
      <c r="E14" s="162">
        <v>17786398.291046247</v>
      </c>
      <c r="F14" s="158">
        <f t="shared" si="0"/>
        <v>0.28450047677306872</v>
      </c>
      <c r="G14" s="300">
        <v>62192142</v>
      </c>
      <c r="H14" s="159">
        <f t="shared" si="2"/>
        <v>17693694.050538391</v>
      </c>
      <c r="I14" s="162">
        <v>36348394.439999998</v>
      </c>
      <c r="J14" s="162">
        <v>2505099.48</v>
      </c>
      <c r="K14" s="162">
        <v>1788024.0825</v>
      </c>
      <c r="L14" s="157">
        <f>'Sch. 129'!G14</f>
        <v>80227.86318</v>
      </c>
      <c r="M14" s="162">
        <v>0</v>
      </c>
      <c r="N14" s="162">
        <v>624409.10568000004</v>
      </c>
      <c r="O14" s="162">
        <v>141176.16233999998</v>
      </c>
      <c r="P14" s="162">
        <v>-46644.106500000002</v>
      </c>
      <c r="Q14" s="162">
        <v>1335265.28874</v>
      </c>
      <c r="R14" s="162">
        <v>-34827.599519999996</v>
      </c>
      <c r="S14" s="162">
        <v>-2215362.8400000003</v>
      </c>
      <c r="T14" s="160">
        <f t="shared" si="1"/>
        <v>58219455.92695839</v>
      </c>
      <c r="U14" s="157">
        <f>'Sch. 129'!I14</f>
        <v>63435.984840000005</v>
      </c>
      <c r="V14" s="161">
        <f t="shared" si="3"/>
        <v>1.0896011278357914E-3</v>
      </c>
    </row>
    <row r="15" spans="2:22" x14ac:dyDescent="0.25">
      <c r="B15" t="s">
        <v>4</v>
      </c>
      <c r="C15" s="568">
        <v>85</v>
      </c>
      <c r="D15" s="300">
        <v>19992939.502740219</v>
      </c>
      <c r="E15" s="162">
        <v>2272313.06</v>
      </c>
      <c r="F15" s="158">
        <f t="shared" si="0"/>
        <v>0.11365577631486147</v>
      </c>
      <c r="G15" s="300">
        <v>17300712</v>
      </c>
      <c r="H15" s="159">
        <f t="shared" si="2"/>
        <v>1966325.8531598395</v>
      </c>
      <c r="I15" s="162">
        <v>9454206.1800000016</v>
      </c>
      <c r="J15" s="162">
        <v>695834.64</v>
      </c>
      <c r="K15" s="162">
        <v>447050.39807999996</v>
      </c>
      <c r="L15" s="157">
        <f>'Sch. 129'!G21</f>
        <v>10656.064071241719</v>
      </c>
      <c r="M15" s="162">
        <v>0</v>
      </c>
      <c r="N15" s="162">
        <v>91520.766480000006</v>
      </c>
      <c r="O15" s="162">
        <v>31833.310079999999</v>
      </c>
      <c r="P15" s="162">
        <v>-7785.3203999999996</v>
      </c>
      <c r="Q15" s="162">
        <v>220930.09224</v>
      </c>
      <c r="R15" s="162">
        <v>-4671.1922400000003</v>
      </c>
      <c r="S15" s="162"/>
      <c r="T15" s="160">
        <f t="shared" si="1"/>
        <v>12905900.791471085</v>
      </c>
      <c r="U15" s="157">
        <f>'Sch. 129'!I21</f>
        <v>8523.4441846503796</v>
      </c>
      <c r="V15" s="161">
        <f t="shared" si="3"/>
        <v>6.6043000968077576E-4</v>
      </c>
    </row>
    <row r="16" spans="2:22" x14ac:dyDescent="0.25">
      <c r="B16" t="s">
        <v>196</v>
      </c>
      <c r="C16" s="568">
        <v>86</v>
      </c>
      <c r="D16" s="300">
        <v>5773170.4876905456</v>
      </c>
      <c r="E16" s="162">
        <v>1192875.52</v>
      </c>
      <c r="F16" s="158">
        <f t="shared" si="0"/>
        <v>0.20662398980654192</v>
      </c>
      <c r="G16" s="300">
        <v>4924285</v>
      </c>
      <c r="H16" s="159">
        <f t="shared" si="2"/>
        <v>1017475.4136445073</v>
      </c>
      <c r="I16" s="162">
        <v>2748500.48</v>
      </c>
      <c r="J16" s="162">
        <v>198202.47</v>
      </c>
      <c r="K16" s="162">
        <v>127243.52439999999</v>
      </c>
      <c r="L16" s="157">
        <f>'Sch. 129'!G23</f>
        <v>5515.1991999999991</v>
      </c>
      <c r="M16" s="162">
        <v>0</v>
      </c>
      <c r="N16" s="162">
        <v>33140.438049999997</v>
      </c>
      <c r="O16" s="162">
        <v>2412.8996499999998</v>
      </c>
      <c r="P16" s="162">
        <v>-1772.7426</v>
      </c>
      <c r="Q16" s="162">
        <v>51261.806850000001</v>
      </c>
      <c r="R16" s="162">
        <v>-1625.01405</v>
      </c>
      <c r="S16" s="162">
        <v>-130729</v>
      </c>
      <c r="T16" s="160">
        <f t="shared" si="1"/>
        <v>4049625.4751445074</v>
      </c>
      <c r="U16" s="157">
        <f>'Sch. 129'!I23</f>
        <v>2905.3281500000012</v>
      </c>
      <c r="V16" s="161">
        <f t="shared" si="3"/>
        <v>7.1743131996578698E-4</v>
      </c>
    </row>
    <row r="17" spans="2:23" x14ac:dyDescent="0.25">
      <c r="B17" t="s">
        <v>197</v>
      </c>
      <c r="C17" s="568">
        <v>87</v>
      </c>
      <c r="D17" s="300">
        <v>21819455.762355208</v>
      </c>
      <c r="E17" s="162">
        <v>1509849.77</v>
      </c>
      <c r="F17" s="158">
        <f>(E17)/D17</f>
        <v>6.9197407416775353E-2</v>
      </c>
      <c r="G17" s="300">
        <v>20901384</v>
      </c>
      <c r="H17" s="159">
        <f t="shared" si="2"/>
        <v>1446321.5842224697</v>
      </c>
      <c r="I17" s="162">
        <v>11430966.91</v>
      </c>
      <c r="J17" s="162">
        <v>840653.66</v>
      </c>
      <c r="K17" s="162">
        <v>540091.76255999994</v>
      </c>
      <c r="L17" s="157">
        <f>'Sch. 129'!G33</f>
        <v>5710.4684059807914</v>
      </c>
      <c r="M17" s="162">
        <v>0</v>
      </c>
      <c r="N17" s="162">
        <v>78798.217680000002</v>
      </c>
      <c r="O17" s="162">
        <v>16695.057072648953</v>
      </c>
      <c r="P17" s="162">
        <v>-4334.8473135404738</v>
      </c>
      <c r="Q17" s="162">
        <v>125788.70599546831</v>
      </c>
      <c r="R17" s="162">
        <v>-2926.1937599999997</v>
      </c>
      <c r="S17" s="162"/>
      <c r="T17" s="160">
        <f t="shared" si="1"/>
        <v>14477765.324863028</v>
      </c>
      <c r="U17" s="157">
        <f>'Sch. 129'!I33</f>
        <v>3890.6715615558687</v>
      </c>
      <c r="V17" s="161">
        <f t="shared" si="3"/>
        <v>2.6873426072698673E-4</v>
      </c>
    </row>
    <row r="18" spans="2:23" x14ac:dyDescent="0.25">
      <c r="B18" t="s">
        <v>198</v>
      </c>
      <c r="C18" s="568" t="s">
        <v>199</v>
      </c>
      <c r="D18" s="300">
        <v>36958.529999999992</v>
      </c>
      <c r="E18" s="162">
        <v>23981.98</v>
      </c>
      <c r="F18" s="158">
        <f>(E18)/D18</f>
        <v>0.64888890331947735</v>
      </c>
      <c r="G18" s="300">
        <v>0</v>
      </c>
      <c r="H18" s="159">
        <f t="shared" si="2"/>
        <v>0</v>
      </c>
      <c r="I18" s="162"/>
      <c r="J18" s="162"/>
      <c r="K18" s="162"/>
      <c r="L18" s="157">
        <f>'Sch. 129'!G12</f>
        <v>0</v>
      </c>
      <c r="M18" s="162">
        <v>0</v>
      </c>
      <c r="N18" s="162">
        <v>0</v>
      </c>
      <c r="O18" s="162">
        <v>0</v>
      </c>
      <c r="P18" s="162">
        <v>0</v>
      </c>
      <c r="Q18" s="162">
        <v>0</v>
      </c>
      <c r="R18" s="162">
        <v>0</v>
      </c>
      <c r="S18" s="162">
        <v>0</v>
      </c>
      <c r="T18" s="160">
        <f t="shared" si="1"/>
        <v>0</v>
      </c>
      <c r="U18" s="157">
        <f>'Sch. 129'!I12</f>
        <v>0</v>
      </c>
      <c r="V18" s="662">
        <f>('Sch. 129'!F12-'Sch. 129'!E12)/0.46609</f>
        <v>4.3982921753309449E-3</v>
      </c>
    </row>
    <row r="19" spans="2:23" x14ac:dyDescent="0.25">
      <c r="B19" t="s">
        <v>200</v>
      </c>
      <c r="C19" s="568" t="s">
        <v>201</v>
      </c>
      <c r="D19" s="300">
        <v>19494505.608019032</v>
      </c>
      <c r="E19" s="162">
        <v>4475398.7622919884</v>
      </c>
      <c r="F19" s="158">
        <f t="shared" ref="F19:F24" si="4">(E19)/D19</f>
        <v>0.22957231397810063</v>
      </c>
      <c r="G19" s="300">
        <v>21445451</v>
      </c>
      <c r="H19" s="159">
        <f>F19*G19</f>
        <v>4923281.8103739722</v>
      </c>
      <c r="I19" s="162"/>
      <c r="J19" s="162"/>
      <c r="K19" s="162"/>
      <c r="L19" s="157">
        <f>'Sch. 129'!G15</f>
        <v>27664.631789999999</v>
      </c>
      <c r="M19" s="162">
        <v>0</v>
      </c>
      <c r="N19" s="162">
        <v>215312.32803999999</v>
      </c>
      <c r="O19" s="162">
        <v>0</v>
      </c>
      <c r="P19" s="162">
        <v>-16084.088250000001</v>
      </c>
      <c r="Q19" s="162">
        <v>460433.83296999999</v>
      </c>
      <c r="R19" s="162">
        <v>-12009.45256</v>
      </c>
      <c r="S19" s="162">
        <v>-647724.34000000008</v>
      </c>
      <c r="T19" s="160">
        <f t="shared" si="1"/>
        <v>4950874.7223639721</v>
      </c>
      <c r="U19" s="157">
        <f>'Sch. 129'!I15</f>
        <v>21874.36002</v>
      </c>
      <c r="V19" s="161">
        <f t="shared" si="3"/>
        <v>4.418281868694772E-3</v>
      </c>
    </row>
    <row r="20" spans="2:23" x14ac:dyDescent="0.25">
      <c r="B20" t="s">
        <v>202</v>
      </c>
      <c r="C20" s="568" t="s">
        <v>3</v>
      </c>
      <c r="D20" s="300">
        <v>68886791.019958794</v>
      </c>
      <c r="E20" s="162">
        <v>7339677.3100000005</v>
      </c>
      <c r="F20" s="158">
        <f t="shared" si="4"/>
        <v>0.1065469475544804</v>
      </c>
      <c r="G20" s="300">
        <v>64141427</v>
      </c>
      <c r="H20" s="159">
        <f t="shared" si="2"/>
        <v>6834073.2586385328</v>
      </c>
      <c r="I20" s="162"/>
      <c r="J20" s="162"/>
      <c r="K20" s="162"/>
      <c r="L20" s="157">
        <f>'Sch. 129'!G39</f>
        <v>37777.126385860669</v>
      </c>
      <c r="M20" s="162">
        <v>0</v>
      </c>
      <c r="N20" s="162">
        <v>339308.14883000002</v>
      </c>
      <c r="O20" s="162">
        <v>0</v>
      </c>
      <c r="P20" s="162">
        <v>-28863.64215</v>
      </c>
      <c r="Q20" s="162">
        <v>819086.02278999996</v>
      </c>
      <c r="R20" s="162">
        <v>-17318.185290000001</v>
      </c>
      <c r="S20" s="162"/>
      <c r="T20" s="160">
        <f t="shared" si="1"/>
        <v>7984062.7292043939</v>
      </c>
      <c r="U20" s="157">
        <f>'Sch. 129'!I39</f>
        <v>30094.306440959375</v>
      </c>
      <c r="V20" s="161">
        <f t="shared" si="3"/>
        <v>3.7692973441803422E-3</v>
      </c>
    </row>
    <row r="21" spans="2:23" x14ac:dyDescent="0.25">
      <c r="B21" t="s">
        <v>203</v>
      </c>
      <c r="C21" s="568" t="s">
        <v>204</v>
      </c>
      <c r="D21" s="300">
        <v>1718484.3400000003</v>
      </c>
      <c r="E21" s="162">
        <v>367155.5</v>
      </c>
      <c r="F21" s="158">
        <f t="shared" si="4"/>
        <v>0.21365076856039314</v>
      </c>
      <c r="G21" s="300">
        <v>1207071</v>
      </c>
      <c r="H21" s="159">
        <f t="shared" si="2"/>
        <v>257891.6468569623</v>
      </c>
      <c r="I21" s="162"/>
      <c r="J21" s="162"/>
      <c r="K21" s="162"/>
      <c r="L21" s="157">
        <f>'Sch. 129'!G24</f>
        <v>1351.9195199999999</v>
      </c>
      <c r="M21" s="162">
        <v>0</v>
      </c>
      <c r="N21" s="162">
        <v>8123.5878299999995</v>
      </c>
      <c r="O21" s="162">
        <v>0</v>
      </c>
      <c r="P21" s="162">
        <v>-434.54556000000002</v>
      </c>
      <c r="Q21" s="162">
        <v>12565.609110000001</v>
      </c>
      <c r="R21" s="162">
        <v>-398.33343000000002</v>
      </c>
      <c r="S21" s="162">
        <v>-29078.12</v>
      </c>
      <c r="T21" s="160">
        <f t="shared" si="1"/>
        <v>250021.76432696229</v>
      </c>
      <c r="U21" s="157">
        <f>'Sch. 129'!I24</f>
        <v>712.17189000000008</v>
      </c>
      <c r="V21" s="161">
        <f t="shared" si="3"/>
        <v>2.848439582518375E-3</v>
      </c>
    </row>
    <row r="22" spans="2:23" x14ac:dyDescent="0.25">
      <c r="B22" t="s">
        <v>205</v>
      </c>
      <c r="C22" s="568" t="s">
        <v>2</v>
      </c>
      <c r="D22" s="300">
        <v>97500425.645479575</v>
      </c>
      <c r="E22" s="162">
        <v>4790056.76</v>
      </c>
      <c r="F22" s="158">
        <f>(E22)/D22</f>
        <v>4.9128572806616068E-2</v>
      </c>
      <c r="G22" s="300">
        <v>124490506</v>
      </c>
      <c r="H22" s="159">
        <f t="shared" si="2"/>
        <v>6116040.8877534745</v>
      </c>
      <c r="I22" s="162"/>
      <c r="J22" s="162"/>
      <c r="K22" s="162"/>
      <c r="L22" s="157">
        <f>'Sch. 129'!G48</f>
        <v>27617.998829670862</v>
      </c>
      <c r="M22" s="162">
        <v>0</v>
      </c>
      <c r="N22" s="162">
        <v>469329.20762</v>
      </c>
      <c r="O22" s="162">
        <v>0</v>
      </c>
      <c r="P22" s="162">
        <v>-18601.797420514042</v>
      </c>
      <c r="Q22" s="162">
        <v>539115.09667854407</v>
      </c>
      <c r="R22" s="162">
        <v>-17428.670839999999</v>
      </c>
      <c r="S22" s="162"/>
      <c r="T22" s="160">
        <f t="shared" si="1"/>
        <v>7116072.7226211764</v>
      </c>
      <c r="U22" s="157">
        <f>'Sch. 129'!I48</f>
        <v>17424.707454418534</v>
      </c>
      <c r="V22" s="161">
        <f t="shared" si="3"/>
        <v>2.4486410037698734E-3</v>
      </c>
    </row>
    <row r="23" spans="2:23" x14ac:dyDescent="0.25">
      <c r="B23" t="s">
        <v>206</v>
      </c>
      <c r="D23" s="300">
        <v>32154478.538398605</v>
      </c>
      <c r="E23" s="162">
        <v>1699064.4523564125</v>
      </c>
      <c r="F23" s="163">
        <f t="shared" si="4"/>
        <v>5.2840678175744761E-2</v>
      </c>
      <c r="G23" s="300">
        <v>32469384</v>
      </c>
      <c r="H23" s="159">
        <f t="shared" si="2"/>
        <v>1715704.2705086761</v>
      </c>
      <c r="I23" s="162"/>
      <c r="J23" s="162"/>
      <c r="K23" s="162"/>
      <c r="L23" s="157"/>
      <c r="M23" s="162"/>
      <c r="N23" s="162">
        <v>30521.220959999999</v>
      </c>
      <c r="O23" s="162">
        <v>0</v>
      </c>
      <c r="P23" s="162">
        <v>0</v>
      </c>
      <c r="Q23" s="162">
        <v>0</v>
      </c>
      <c r="R23" s="162">
        <v>-2272.8568799999998</v>
      </c>
      <c r="S23" s="162"/>
      <c r="T23" s="160">
        <f t="shared" si="1"/>
        <v>1743952.634588676</v>
      </c>
      <c r="U23" s="157"/>
      <c r="V23" s="161">
        <f t="shared" si="3"/>
        <v>0</v>
      </c>
    </row>
    <row r="24" spans="2:23" x14ac:dyDescent="0.25">
      <c r="B24" t="s">
        <v>0</v>
      </c>
      <c r="D24" s="164">
        <f>SUM(D11:D23)</f>
        <v>1172906987.060853</v>
      </c>
      <c r="E24" s="165">
        <f>SUM(E11:E23)</f>
        <v>567196461.71043551</v>
      </c>
      <c r="F24" s="158">
        <f t="shared" si="4"/>
        <v>0.48358179119706113</v>
      </c>
      <c r="G24" s="164">
        <f>SUM(G11:G23)</f>
        <v>1140394588</v>
      </c>
      <c r="H24" s="165">
        <f>SUM(H11:H23)</f>
        <v>533145326.02245402</v>
      </c>
      <c r="I24" s="165">
        <f t="shared" ref="I24:K24" si="5">SUM(I11:I23)</f>
        <v>587109323.75</v>
      </c>
      <c r="J24" s="165">
        <f t="shared" si="5"/>
        <v>36175237.919999994</v>
      </c>
      <c r="K24" s="165">
        <f t="shared" si="5"/>
        <v>25652923.765039999</v>
      </c>
      <c r="L24" s="165">
        <f>SUM(L11:L23)</f>
        <v>2583526.0506227538</v>
      </c>
      <c r="M24" s="165">
        <f>SUM(M11:M23)</f>
        <v>0</v>
      </c>
      <c r="N24" s="165">
        <f>SUM(N11:N23)</f>
        <v>20500537.257589992</v>
      </c>
      <c r="O24" s="165">
        <f>SUM(O11:O23)</f>
        <v>2713893.5249026488</v>
      </c>
      <c r="P24" s="165">
        <f t="shared" ref="P24:Q24" si="6">SUM(P11:P23)</f>
        <v>-1439643.0066740545</v>
      </c>
      <c r="Q24" s="165">
        <f t="shared" si="6"/>
        <v>41195574.709714018</v>
      </c>
      <c r="R24" s="165">
        <f>SUM(R11:R23)</f>
        <v>-1200762.6925900001</v>
      </c>
      <c r="S24" s="165">
        <f t="shared" ref="S24:T24" si="7">SUM(S11:S23)</f>
        <v>-4553697.2500000009</v>
      </c>
      <c r="T24" s="166">
        <f t="shared" si="7"/>
        <v>1241882240.0510592</v>
      </c>
      <c r="U24" s="165">
        <f>SUM(U11:U23)</f>
        <v>1933334.7539815845</v>
      </c>
      <c r="V24" s="167">
        <f t="shared" si="3"/>
        <v>1.5567778422389683E-3</v>
      </c>
      <c r="W24" s="159"/>
    </row>
    <row r="25" spans="2:23" x14ac:dyDescent="0.25">
      <c r="D25" s="168"/>
      <c r="E25" s="159"/>
      <c r="G25" s="168"/>
      <c r="L25" s="159"/>
      <c r="M25" s="159"/>
      <c r="R25" s="159"/>
      <c r="S25" s="159"/>
      <c r="T25" s="159"/>
      <c r="V25" s="169"/>
    </row>
    <row r="26" spans="2:23" s="174" customFormat="1" x14ac:dyDescent="0.25">
      <c r="B26" s="170" t="s">
        <v>207</v>
      </c>
      <c r="C26" s="171"/>
      <c r="D26" s="172"/>
      <c r="E26" s="173"/>
      <c r="U26" s="175"/>
      <c r="V26" s="176"/>
    </row>
    <row r="27" spans="2:23" s="174" customFormat="1" x14ac:dyDescent="0.25">
      <c r="B27" s="177" t="s">
        <v>5</v>
      </c>
      <c r="C27" s="250" t="s">
        <v>231</v>
      </c>
      <c r="D27" s="179">
        <f>D11+D12</f>
        <v>620844874.32387137</v>
      </c>
      <c r="E27" s="178">
        <f>E11+E12</f>
        <v>403618690.2447409</v>
      </c>
      <c r="F27" s="158">
        <f t="shared" ref="F27:F34" si="8">(E27)/D27</f>
        <v>0.65011197955737365</v>
      </c>
      <c r="G27" s="179">
        <f>G11+G12</f>
        <v>559584782</v>
      </c>
      <c r="H27" s="178">
        <f>H11+H12</f>
        <v>363792774.66706997</v>
      </c>
      <c r="I27" s="178">
        <f t="shared" ref="I27:S27" si="9">I11+I12</f>
        <v>386219302.92000002</v>
      </c>
      <c r="J27" s="178">
        <f t="shared" si="9"/>
        <v>22584841.800000001</v>
      </c>
      <c r="K27" s="178">
        <f t="shared" si="9"/>
        <v>16088062.4825</v>
      </c>
      <c r="L27" s="178">
        <f t="shared" si="9"/>
        <v>1768265.80376</v>
      </c>
      <c r="M27" s="178">
        <f t="shared" si="9"/>
        <v>0</v>
      </c>
      <c r="N27" s="178">
        <f t="shared" si="9"/>
        <v>12786512.2687</v>
      </c>
      <c r="O27" s="178">
        <f t="shared" si="9"/>
        <v>1824246.3893199998</v>
      </c>
      <c r="P27" s="178">
        <f t="shared" si="9"/>
        <v>-951294.12939999998</v>
      </c>
      <c r="Q27" s="178">
        <f t="shared" si="9"/>
        <v>27223799.644299999</v>
      </c>
      <c r="R27" s="178">
        <f t="shared" si="9"/>
        <v>-766631.15133999998</v>
      </c>
      <c r="S27" s="178">
        <f t="shared" si="9"/>
        <v>2596440.9300000002</v>
      </c>
      <c r="T27" s="178">
        <f>T11+T12</f>
        <v>833166321.62491</v>
      </c>
      <c r="U27" s="159">
        <f>SUM(U11:U12)</f>
        <v>1309412.0192399998</v>
      </c>
      <c r="V27" s="161">
        <f t="shared" ref="V27:V34" si="10">U27/T27</f>
        <v>1.5716093956921783E-3</v>
      </c>
      <c r="W27" s="180"/>
    </row>
    <row r="28" spans="2:23" s="174" customFormat="1" x14ac:dyDescent="0.25">
      <c r="B28" s="181" t="s">
        <v>23</v>
      </c>
      <c r="C28" s="250" t="s">
        <v>232</v>
      </c>
      <c r="D28" s="179">
        <f>D13+D18</f>
        <v>222203870.67539161</v>
      </c>
      <c r="E28" s="178">
        <f>E13+E18</f>
        <v>122144982.04000001</v>
      </c>
      <c r="F28" s="158">
        <f t="shared" si="8"/>
        <v>0.54969781430331843</v>
      </c>
      <c r="G28" s="179">
        <f t="shared" ref="G28:S32" si="11">G13+G18</f>
        <v>231737444</v>
      </c>
      <c r="H28" s="178">
        <f t="shared" si="11"/>
        <v>127381742.57968716</v>
      </c>
      <c r="I28" s="178">
        <f t="shared" si="11"/>
        <v>140907952.81999999</v>
      </c>
      <c r="J28" s="178">
        <f t="shared" si="11"/>
        <v>9350605.8699999992</v>
      </c>
      <c r="K28" s="178">
        <f t="shared" si="11"/>
        <v>6662451.5150000006</v>
      </c>
      <c r="L28" s="178">
        <f t="shared" si="11"/>
        <v>618738.97548000002</v>
      </c>
      <c r="M28" s="178">
        <f t="shared" si="11"/>
        <v>0</v>
      </c>
      <c r="N28" s="178">
        <f t="shared" si="11"/>
        <v>5823561.9677200001</v>
      </c>
      <c r="O28" s="178">
        <f t="shared" si="11"/>
        <v>697529.70643999998</v>
      </c>
      <c r="P28" s="178">
        <f t="shared" si="11"/>
        <v>-363827.78707999998</v>
      </c>
      <c r="Q28" s="178">
        <f t="shared" si="11"/>
        <v>10407328.61004</v>
      </c>
      <c r="R28" s="178">
        <f t="shared" si="11"/>
        <v>-340654.04268000001</v>
      </c>
      <c r="S28" s="178">
        <f t="shared" si="11"/>
        <v>-4127243.8800000004</v>
      </c>
      <c r="T28" s="178">
        <f>T13+T18</f>
        <v>297018186.33460712</v>
      </c>
      <c r="U28" s="159">
        <f>SUM(U13,U18)</f>
        <v>475061.76020000014</v>
      </c>
      <c r="V28" s="161">
        <f t="shared" si="10"/>
        <v>1.599436607106668E-3</v>
      </c>
    </row>
    <row r="29" spans="2:23" s="174" customFormat="1" x14ac:dyDescent="0.25">
      <c r="B29" s="177" t="s">
        <v>22</v>
      </c>
      <c r="C29" s="250" t="s">
        <v>233</v>
      </c>
      <c r="D29" s="179">
        <f t="shared" ref="D29:E32" si="12">D14+D19</f>
        <v>82012496.764967203</v>
      </c>
      <c r="E29" s="178">
        <f t="shared" si="12"/>
        <v>22261797.053338237</v>
      </c>
      <c r="F29" s="158">
        <f t="shared" si="8"/>
        <v>0.27144396197492282</v>
      </c>
      <c r="G29" s="179">
        <f t="shared" si="11"/>
        <v>83637593</v>
      </c>
      <c r="H29" s="178">
        <f t="shared" si="11"/>
        <v>22616975.860912364</v>
      </c>
      <c r="I29" s="178">
        <f t="shared" si="11"/>
        <v>36348394.439999998</v>
      </c>
      <c r="J29" s="178">
        <f t="shared" si="11"/>
        <v>2505099.48</v>
      </c>
      <c r="K29" s="178">
        <f t="shared" si="11"/>
        <v>1788024.0825</v>
      </c>
      <c r="L29" s="178">
        <f t="shared" si="11"/>
        <v>107892.49497</v>
      </c>
      <c r="M29" s="178">
        <f t="shared" si="11"/>
        <v>0</v>
      </c>
      <c r="N29" s="178">
        <f t="shared" si="11"/>
        <v>839721.43372000009</v>
      </c>
      <c r="O29" s="178">
        <f t="shared" si="11"/>
        <v>141176.16233999998</v>
      </c>
      <c r="P29" s="178">
        <f t="shared" si="11"/>
        <v>-62728.194750000002</v>
      </c>
      <c r="Q29" s="178">
        <f t="shared" si="11"/>
        <v>1795699.1217100001</v>
      </c>
      <c r="R29" s="178">
        <f t="shared" si="11"/>
        <v>-46837.052079999994</v>
      </c>
      <c r="S29" s="178">
        <f t="shared" si="11"/>
        <v>-2863087.1800000006</v>
      </c>
      <c r="T29" s="178">
        <f>T14+T19</f>
        <v>63170330.649322361</v>
      </c>
      <c r="U29" s="159">
        <f>SUM(U14,U19)</f>
        <v>85310.344860000012</v>
      </c>
      <c r="V29" s="161">
        <f t="shared" si="10"/>
        <v>1.350481214568649E-3</v>
      </c>
    </row>
    <row r="30" spans="2:23" s="174" customFormat="1" x14ac:dyDescent="0.25">
      <c r="B30" s="177" t="s">
        <v>4</v>
      </c>
      <c r="C30" s="250" t="s">
        <v>234</v>
      </c>
      <c r="D30" s="179">
        <f t="shared" si="12"/>
        <v>88879730.522699013</v>
      </c>
      <c r="E30" s="178">
        <f t="shared" si="12"/>
        <v>9611990.370000001</v>
      </c>
      <c r="F30" s="158">
        <f t="shared" si="8"/>
        <v>0.10814603412355298</v>
      </c>
      <c r="G30" s="179">
        <f t="shared" si="11"/>
        <v>81442139</v>
      </c>
      <c r="H30" s="178">
        <f t="shared" si="11"/>
        <v>8800399.1117983721</v>
      </c>
      <c r="I30" s="178">
        <f t="shared" si="11"/>
        <v>9454206.1800000016</v>
      </c>
      <c r="J30" s="178">
        <f t="shared" si="11"/>
        <v>695834.64</v>
      </c>
      <c r="K30" s="178">
        <f t="shared" si="11"/>
        <v>447050.39807999996</v>
      </c>
      <c r="L30" s="178">
        <f t="shared" si="11"/>
        <v>48433.190457102392</v>
      </c>
      <c r="M30" s="178">
        <f t="shared" si="11"/>
        <v>0</v>
      </c>
      <c r="N30" s="178">
        <f t="shared" si="11"/>
        <v>430828.91531000001</v>
      </c>
      <c r="O30" s="178">
        <f t="shared" si="11"/>
        <v>31833.310079999999</v>
      </c>
      <c r="P30" s="178">
        <f t="shared" si="11"/>
        <v>-36648.962549999997</v>
      </c>
      <c r="Q30" s="178">
        <f t="shared" si="11"/>
        <v>1040016.11503</v>
      </c>
      <c r="R30" s="178">
        <f t="shared" si="11"/>
        <v>-21989.377530000002</v>
      </c>
      <c r="S30" s="178">
        <f t="shared" si="11"/>
        <v>0</v>
      </c>
      <c r="T30" s="178">
        <f>T15+T20</f>
        <v>20889963.52067548</v>
      </c>
      <c r="U30" s="159">
        <f>SUM(U15,U20)</f>
        <v>38617.750625609755</v>
      </c>
      <c r="V30" s="161">
        <f t="shared" si="10"/>
        <v>1.8486270015449526E-3</v>
      </c>
    </row>
    <row r="31" spans="2:23" s="174" customFormat="1" x14ac:dyDescent="0.25">
      <c r="B31" s="177" t="s">
        <v>41</v>
      </c>
      <c r="C31" s="250" t="s">
        <v>235</v>
      </c>
      <c r="D31" s="179">
        <f t="shared" si="12"/>
        <v>7491654.8276905455</v>
      </c>
      <c r="E31" s="178">
        <f t="shared" si="12"/>
        <v>1560031.02</v>
      </c>
      <c r="F31" s="158">
        <f t="shared" si="8"/>
        <v>0.20823583785972574</v>
      </c>
      <c r="G31" s="179">
        <f t="shared" si="11"/>
        <v>6131356</v>
      </c>
      <c r="H31" s="178">
        <f t="shared" si="11"/>
        <v>1275367.0605014695</v>
      </c>
      <c r="I31" s="178">
        <f t="shared" si="11"/>
        <v>2748500.48</v>
      </c>
      <c r="J31" s="178">
        <f t="shared" si="11"/>
        <v>198202.47</v>
      </c>
      <c r="K31" s="178">
        <f t="shared" si="11"/>
        <v>127243.52439999999</v>
      </c>
      <c r="L31" s="178">
        <f t="shared" si="11"/>
        <v>6867.1187199999986</v>
      </c>
      <c r="M31" s="178">
        <f t="shared" si="11"/>
        <v>0</v>
      </c>
      <c r="N31" s="178">
        <f t="shared" si="11"/>
        <v>41264.025879999994</v>
      </c>
      <c r="O31" s="178">
        <f t="shared" si="11"/>
        <v>2412.8996499999998</v>
      </c>
      <c r="P31" s="178">
        <f t="shared" si="11"/>
        <v>-2207.2881600000001</v>
      </c>
      <c r="Q31" s="178">
        <f t="shared" si="11"/>
        <v>63827.415959999998</v>
      </c>
      <c r="R31" s="178">
        <f t="shared" si="11"/>
        <v>-2023.3474799999999</v>
      </c>
      <c r="S31" s="178">
        <f t="shared" si="11"/>
        <v>-159807.12</v>
      </c>
      <c r="T31" s="178">
        <f>T16+T21</f>
        <v>4299647.23947147</v>
      </c>
      <c r="U31" s="159">
        <f>SUM(U16,U21)</f>
        <v>3617.5000400000013</v>
      </c>
      <c r="V31" s="161">
        <f t="shared" si="10"/>
        <v>8.4134810102344092E-4</v>
      </c>
    </row>
    <row r="32" spans="2:23" s="174" customFormat="1" x14ac:dyDescent="0.25">
      <c r="B32" s="182" t="s">
        <v>236</v>
      </c>
      <c r="C32" s="250" t="s">
        <v>237</v>
      </c>
      <c r="D32" s="179">
        <f t="shared" si="12"/>
        <v>119319881.40783478</v>
      </c>
      <c r="E32" s="178">
        <f t="shared" si="12"/>
        <v>6299906.5299999993</v>
      </c>
      <c r="F32" s="158">
        <f t="shared" si="8"/>
        <v>5.2798464561550719E-2</v>
      </c>
      <c r="G32" s="179">
        <f t="shared" si="11"/>
        <v>145391890</v>
      </c>
      <c r="H32" s="178">
        <f t="shared" si="11"/>
        <v>7562362.471975944</v>
      </c>
      <c r="I32" s="178">
        <f t="shared" si="11"/>
        <v>11430966.91</v>
      </c>
      <c r="J32" s="178">
        <f t="shared" si="11"/>
        <v>840653.66</v>
      </c>
      <c r="K32" s="178">
        <f t="shared" si="11"/>
        <v>540091.76255999994</v>
      </c>
      <c r="L32" s="178">
        <f t="shared" si="11"/>
        <v>33328.467235651653</v>
      </c>
      <c r="M32" s="178">
        <f t="shared" si="11"/>
        <v>0</v>
      </c>
      <c r="N32" s="178">
        <f t="shared" si="11"/>
        <v>548127.4253</v>
      </c>
      <c r="O32" s="178">
        <f t="shared" si="11"/>
        <v>16695.057072648953</v>
      </c>
      <c r="P32" s="178">
        <f t="shared" si="11"/>
        <v>-22936.644734054516</v>
      </c>
      <c r="Q32" s="178">
        <f t="shared" si="11"/>
        <v>664903.80267401238</v>
      </c>
      <c r="R32" s="178">
        <f t="shared" si="11"/>
        <v>-20354.864599999997</v>
      </c>
      <c r="S32" s="178">
        <f t="shared" si="11"/>
        <v>0</v>
      </c>
      <c r="T32" s="178">
        <f>T17+T22</f>
        <v>21593838.047484204</v>
      </c>
      <c r="U32" s="159">
        <f>SUM(U17,U22)</f>
        <v>21315.379015974402</v>
      </c>
      <c r="V32" s="161">
        <f t="shared" si="10"/>
        <v>9.8710469945650805E-4</v>
      </c>
    </row>
    <row r="33" spans="2:22" s="174" customFormat="1" x14ac:dyDescent="0.25">
      <c r="B33" s="182" t="s">
        <v>206</v>
      </c>
      <c r="C33" s="177"/>
      <c r="D33" s="179">
        <f>D23</f>
        <v>32154478.538398605</v>
      </c>
      <c r="E33" s="178">
        <f>E23</f>
        <v>1699064.4523564125</v>
      </c>
      <c r="F33" s="158">
        <f t="shared" si="8"/>
        <v>5.2840678175744761E-2</v>
      </c>
      <c r="G33" s="179">
        <f>G23</f>
        <v>32469384</v>
      </c>
      <c r="H33" s="178">
        <f>H23</f>
        <v>1715704.2705086761</v>
      </c>
      <c r="I33" s="178">
        <f t="shared" ref="I33:S33" si="13">I23</f>
        <v>0</v>
      </c>
      <c r="J33" s="178">
        <f t="shared" si="13"/>
        <v>0</v>
      </c>
      <c r="K33" s="178">
        <f t="shared" si="13"/>
        <v>0</v>
      </c>
      <c r="L33" s="178">
        <f t="shared" si="13"/>
        <v>0</v>
      </c>
      <c r="M33" s="178">
        <f t="shared" si="13"/>
        <v>0</v>
      </c>
      <c r="N33" s="178">
        <f t="shared" si="13"/>
        <v>30521.220959999999</v>
      </c>
      <c r="O33" s="178">
        <f t="shared" si="13"/>
        <v>0</v>
      </c>
      <c r="P33" s="178">
        <f t="shared" si="13"/>
        <v>0</v>
      </c>
      <c r="Q33" s="178">
        <f t="shared" si="13"/>
        <v>0</v>
      </c>
      <c r="R33" s="178">
        <f t="shared" si="13"/>
        <v>-2272.8568799999998</v>
      </c>
      <c r="S33" s="178">
        <f t="shared" si="13"/>
        <v>0</v>
      </c>
      <c r="T33" s="178">
        <f>T23</f>
        <v>1743952.634588676</v>
      </c>
      <c r="U33" s="159">
        <f>U23</f>
        <v>0</v>
      </c>
      <c r="V33" s="161">
        <f t="shared" si="10"/>
        <v>0</v>
      </c>
    </row>
    <row r="34" spans="2:22" s="174" customFormat="1" x14ac:dyDescent="0.25">
      <c r="B34" s="182" t="s">
        <v>0</v>
      </c>
      <c r="C34" s="182"/>
      <c r="D34" s="185">
        <f>SUM(D27:D33)</f>
        <v>1172906987.0608532</v>
      </c>
      <c r="E34" s="183">
        <f>SUM(E27:E33)</f>
        <v>567196461.71043563</v>
      </c>
      <c r="F34" s="184">
        <f t="shared" si="8"/>
        <v>0.48358179119706113</v>
      </c>
      <c r="G34" s="185">
        <f>SUM(G27:G33)</f>
        <v>1140394588</v>
      </c>
      <c r="H34" s="183">
        <f>SUM(H27:H33)</f>
        <v>533145326.0224539</v>
      </c>
      <c r="I34" s="183">
        <f t="shared" ref="I34:S34" si="14">SUM(I27:I33)</f>
        <v>587109323.75</v>
      </c>
      <c r="J34" s="183">
        <f t="shared" si="14"/>
        <v>36175237.919999994</v>
      </c>
      <c r="K34" s="183">
        <f t="shared" si="14"/>
        <v>25652923.765039999</v>
      </c>
      <c r="L34" s="183">
        <f t="shared" si="14"/>
        <v>2583526.0506227543</v>
      </c>
      <c r="M34" s="183">
        <f t="shared" si="14"/>
        <v>0</v>
      </c>
      <c r="N34" s="183">
        <f t="shared" si="14"/>
        <v>20500537.257589996</v>
      </c>
      <c r="O34" s="183">
        <f t="shared" si="14"/>
        <v>2713893.5249026488</v>
      </c>
      <c r="P34" s="183">
        <f t="shared" si="14"/>
        <v>-1439643.0066740545</v>
      </c>
      <c r="Q34" s="183">
        <f t="shared" si="14"/>
        <v>41195574.70971401</v>
      </c>
      <c r="R34" s="183">
        <f t="shared" si="14"/>
        <v>-1200762.6925900001</v>
      </c>
      <c r="S34" s="183">
        <f t="shared" si="14"/>
        <v>-4553697.2500000009</v>
      </c>
      <c r="T34" s="183">
        <f>SUM(T27:T33)</f>
        <v>1241882240.051059</v>
      </c>
      <c r="U34" s="165">
        <f>SUM(U27:U33)</f>
        <v>1933334.7539815842</v>
      </c>
      <c r="V34" s="167">
        <f t="shared" si="10"/>
        <v>1.5567778422389683E-3</v>
      </c>
    </row>
    <row r="35" spans="2:22" s="174" customFormat="1" x14ac:dyDescent="0.25">
      <c r="B35" s="186"/>
      <c r="C35" s="186"/>
      <c r="D35" s="186"/>
      <c r="E35" s="186"/>
      <c r="F35" s="186"/>
      <c r="I35" s="187"/>
      <c r="L35" s="186"/>
      <c r="M35" s="186"/>
      <c r="O35" s="186"/>
      <c r="P35" s="186"/>
      <c r="Q35" s="186"/>
      <c r="R35" s="186"/>
      <c r="S35" s="186"/>
      <c r="T35" s="186"/>
      <c r="U35" s="188"/>
    </row>
    <row r="36" spans="2:22" ht="17.25" x14ac:dyDescent="0.25">
      <c r="B36" t="s">
        <v>331</v>
      </c>
    </row>
    <row r="37" spans="2:22" ht="17.25" x14ac:dyDescent="0.25">
      <c r="B37" t="s">
        <v>332</v>
      </c>
    </row>
  </sheetData>
  <printOptions horizontalCentered="1"/>
  <pageMargins left="0.45" right="0.45" top="0.75" bottom="0.75" header="0.3" footer="0.3"/>
  <pageSetup paperSize="5" scale="57" orientation="landscape" blackAndWhite="1" r:id="rId1"/>
  <headerFooter>
    <oddFooter>&amp;L&amp;F 
&amp;A&amp;C&amp;P&amp;R&amp;D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5"/>
  <sheetViews>
    <sheetView zoomScale="90" zoomScaleNormal="90" workbookViewId="0">
      <selection activeCell="L14" sqref="L14"/>
    </sheetView>
  </sheetViews>
  <sheetFormatPr defaultColWidth="9.140625" defaultRowHeight="15" x14ac:dyDescent="0.25"/>
  <cols>
    <col min="1" max="1" width="2.140625" style="189" customWidth="1"/>
    <col min="2" max="2" width="2.42578125" style="189" customWidth="1"/>
    <col min="3" max="3" width="34.85546875" style="189" customWidth="1"/>
    <col min="4" max="5" width="11.85546875" style="189" customWidth="1"/>
    <col min="6" max="6" width="2.7109375" style="201" customWidth="1"/>
    <col min="7" max="8" width="11.85546875" style="189" customWidth="1"/>
    <col min="9" max="16384" width="9.140625" style="189"/>
  </cols>
  <sheetData>
    <row r="1" spans="2:8" x14ac:dyDescent="0.25">
      <c r="B1" s="251" t="s">
        <v>12</v>
      </c>
      <c r="C1" s="251"/>
      <c r="D1" s="251"/>
      <c r="E1" s="251"/>
      <c r="F1" s="251"/>
      <c r="G1" s="251"/>
      <c r="H1" s="251"/>
    </row>
    <row r="2" spans="2:8" x14ac:dyDescent="0.25">
      <c r="B2" s="251" t="str">
        <f>'Rate Impacts Sch 129'!B2</f>
        <v>2023 Gas Schedule 129 Low Income Program Rates Filing</v>
      </c>
      <c r="C2" s="251"/>
      <c r="D2" s="251"/>
      <c r="E2" s="251"/>
      <c r="F2" s="251"/>
      <c r="G2" s="251"/>
      <c r="H2" s="251"/>
    </row>
    <row r="3" spans="2:8" x14ac:dyDescent="0.25">
      <c r="B3" s="247" t="s">
        <v>208</v>
      </c>
      <c r="C3" s="247"/>
      <c r="D3" s="247"/>
      <c r="E3" s="247"/>
      <c r="F3" s="247"/>
      <c r="G3" s="247"/>
      <c r="H3" s="247"/>
    </row>
    <row r="4" spans="2:8" x14ac:dyDescent="0.25">
      <c r="B4" s="247" t="str">
        <f>'Rate Impacts Sch 129'!B4</f>
        <v>Proposed Rates Effective October 1, 2023</v>
      </c>
      <c r="C4" s="247"/>
      <c r="D4" s="247"/>
      <c r="E4" s="247"/>
      <c r="F4" s="247"/>
      <c r="G4" s="247"/>
      <c r="H4" s="247"/>
    </row>
    <row r="6" spans="2:8" x14ac:dyDescent="0.25">
      <c r="G6" s="252" t="s">
        <v>381</v>
      </c>
      <c r="H6" s="252"/>
    </row>
    <row r="7" spans="2:8" x14ac:dyDescent="0.25">
      <c r="D7" s="190" t="s">
        <v>209</v>
      </c>
      <c r="E7" s="190"/>
      <c r="F7" s="191"/>
      <c r="G7" s="190" t="s">
        <v>238</v>
      </c>
      <c r="H7" s="190"/>
    </row>
    <row r="8" spans="2:8" ht="17.25" x14ac:dyDescent="0.25">
      <c r="D8" s="573" t="s">
        <v>210</v>
      </c>
      <c r="E8" s="573" t="s">
        <v>81</v>
      </c>
      <c r="F8" s="192"/>
      <c r="G8" s="573" t="s">
        <v>82</v>
      </c>
      <c r="H8" s="573" t="s">
        <v>81</v>
      </c>
    </row>
    <row r="9" spans="2:8" x14ac:dyDescent="0.25">
      <c r="B9" s="189" t="s">
        <v>211</v>
      </c>
      <c r="D9" s="193">
        <v>64</v>
      </c>
      <c r="E9" s="194"/>
      <c r="F9" s="195"/>
      <c r="G9" s="193">
        <v>64</v>
      </c>
      <c r="H9" s="194"/>
    </row>
    <row r="10" spans="2:8" x14ac:dyDescent="0.25">
      <c r="D10" s="193"/>
      <c r="E10" s="194"/>
      <c r="F10" s="195"/>
      <c r="G10" s="193"/>
      <c r="H10" s="194"/>
    </row>
    <row r="11" spans="2:8" x14ac:dyDescent="0.25">
      <c r="B11" s="189" t="s">
        <v>212</v>
      </c>
      <c r="D11" s="193"/>
      <c r="E11" s="194"/>
      <c r="F11" s="195"/>
      <c r="G11" s="193"/>
      <c r="H11" s="194"/>
    </row>
    <row r="12" spans="2:8" x14ac:dyDescent="0.25">
      <c r="C12" s="189" t="s">
        <v>239</v>
      </c>
      <c r="D12" s="303">
        <v>12.5</v>
      </c>
      <c r="E12" s="194">
        <f>D12</f>
        <v>12.5</v>
      </c>
      <c r="F12" s="196"/>
      <c r="G12" s="197">
        <f>$D$12</f>
        <v>12.5</v>
      </c>
      <c r="H12" s="194">
        <f>G12</f>
        <v>12.5</v>
      </c>
    </row>
    <row r="13" spans="2:8" x14ac:dyDescent="0.25">
      <c r="C13" s="189" t="s">
        <v>1</v>
      </c>
      <c r="D13" s="199">
        <f>SUM(D12:D12)</f>
        <v>12.5</v>
      </c>
      <c r="E13" s="199">
        <f>SUM(E12:E12)</f>
        <v>12.5</v>
      </c>
      <c r="F13" s="196"/>
      <c r="G13" s="199">
        <f>SUM(G12:G12)</f>
        <v>12.5</v>
      </c>
      <c r="H13" s="199">
        <f>SUM(H12:H12)</f>
        <v>12.5</v>
      </c>
    </row>
    <row r="14" spans="2:8" x14ac:dyDescent="0.25">
      <c r="D14" s="200"/>
      <c r="E14" s="194"/>
      <c r="F14" s="196"/>
      <c r="G14" s="197"/>
      <c r="H14" s="194"/>
    </row>
    <row r="15" spans="2:8" x14ac:dyDescent="0.25">
      <c r="B15" s="189" t="s">
        <v>213</v>
      </c>
      <c r="E15" s="194"/>
      <c r="H15" s="194"/>
    </row>
    <row r="16" spans="2:8" x14ac:dyDescent="0.25">
      <c r="C16" s="189" t="s">
        <v>240</v>
      </c>
      <c r="D16" s="304">
        <v>0.45612999999999998</v>
      </c>
      <c r="E16" s="194"/>
      <c r="F16" s="203"/>
      <c r="G16" s="204">
        <f>$D$16</f>
        <v>0.45612999999999998</v>
      </c>
      <c r="H16" s="194"/>
    </row>
    <row r="17" spans="3:8" x14ac:dyDescent="0.25">
      <c r="C17" s="189" t="s">
        <v>333</v>
      </c>
      <c r="D17" s="571">
        <f>'Sch. 129'!$E$9</f>
        <v>3.16E-3</v>
      </c>
      <c r="E17" s="194"/>
      <c r="F17" s="203"/>
      <c r="G17" s="202">
        <f>'Sch. 129'!$F$9</f>
        <v>5.4999999999999997E-3</v>
      </c>
      <c r="H17" s="194"/>
    </row>
    <row r="18" spans="3:8" x14ac:dyDescent="0.25">
      <c r="C18" s="189" t="s">
        <v>334</v>
      </c>
      <c r="D18" s="305">
        <v>0</v>
      </c>
      <c r="E18" s="194"/>
      <c r="F18" s="203"/>
      <c r="G18" s="205">
        <f>$D$18</f>
        <v>0</v>
      </c>
      <c r="H18" s="194"/>
    </row>
    <row r="19" spans="3:8" x14ac:dyDescent="0.25">
      <c r="C19" s="189" t="s">
        <v>335</v>
      </c>
      <c r="D19" s="304">
        <v>2.2849999999999999E-2</v>
      </c>
      <c r="E19" s="194"/>
      <c r="F19" s="203"/>
      <c r="G19" s="205">
        <f>$D$19</f>
        <v>2.2849999999999999E-2</v>
      </c>
      <c r="H19" s="194"/>
    </row>
    <row r="20" spans="3:8" x14ac:dyDescent="0.25">
      <c r="C20" s="189" t="s">
        <v>336</v>
      </c>
      <c r="D20" s="304">
        <v>3.2599999999999999E-3</v>
      </c>
      <c r="E20" s="194"/>
      <c r="F20" s="203"/>
      <c r="G20" s="205">
        <f>$D$20</f>
        <v>3.2599999999999999E-3</v>
      </c>
      <c r="H20" s="194"/>
    </row>
    <row r="21" spans="3:8" x14ac:dyDescent="0.25">
      <c r="C21" s="189" t="s">
        <v>337</v>
      </c>
      <c r="D21" s="304">
        <v>-1.6999999999999999E-3</v>
      </c>
      <c r="E21" s="194"/>
      <c r="F21" s="203"/>
      <c r="G21" s="205">
        <f>$D$21</f>
        <v>-1.6999999999999999E-3</v>
      </c>
      <c r="H21" s="194"/>
    </row>
    <row r="22" spans="3:8" x14ac:dyDescent="0.25">
      <c r="C22" s="189" t="s">
        <v>338</v>
      </c>
      <c r="D22" s="304">
        <v>4.8649999999999999E-2</v>
      </c>
      <c r="E22" s="194"/>
      <c r="F22" s="203"/>
      <c r="G22" s="205">
        <f>$D$22</f>
        <v>4.8649999999999999E-2</v>
      </c>
      <c r="H22" s="194"/>
    </row>
    <row r="23" spans="3:8" x14ac:dyDescent="0.25">
      <c r="C23" s="189" t="s">
        <v>241</v>
      </c>
      <c r="D23" s="304">
        <v>-1.3699999999999999E-3</v>
      </c>
      <c r="E23" s="194"/>
      <c r="F23" s="203"/>
      <c r="G23" s="205">
        <f>$D$23</f>
        <v>-1.3699999999999999E-3</v>
      </c>
      <c r="H23" s="194"/>
    </row>
    <row r="24" spans="3:8" x14ac:dyDescent="0.25">
      <c r="C24" s="189" t="s">
        <v>242</v>
      </c>
      <c r="D24" s="304">
        <v>4.64E-3</v>
      </c>
      <c r="E24" s="194"/>
      <c r="F24" s="203"/>
      <c r="G24" s="205">
        <f>$D$24</f>
        <v>4.64E-3</v>
      </c>
      <c r="H24" s="194"/>
    </row>
    <row r="25" spans="3:8" x14ac:dyDescent="0.25">
      <c r="C25" s="189" t="s">
        <v>1</v>
      </c>
      <c r="D25" s="206">
        <f>SUM(D16:D24)</f>
        <v>0.53561999999999999</v>
      </c>
      <c r="E25" s="194">
        <f>ROUND(D25*D$9,2)</f>
        <v>34.28</v>
      </c>
      <c r="F25" s="203"/>
      <c r="G25" s="206">
        <f>SUM(G16:G24)</f>
        <v>0.53795999999999999</v>
      </c>
      <c r="H25" s="194">
        <f>ROUND(G25*G$9,2)</f>
        <v>34.43</v>
      </c>
    </row>
    <row r="27" spans="3:8" x14ac:dyDescent="0.25">
      <c r="C27" s="189" t="s">
        <v>243</v>
      </c>
      <c r="D27" s="304">
        <v>2.8750000000000001E-2</v>
      </c>
      <c r="E27" s="194">
        <f>ROUND(D27*D$9,2)</f>
        <v>1.84</v>
      </c>
      <c r="F27" s="203"/>
      <c r="G27" s="207">
        <f>$D$27</f>
        <v>2.8750000000000001E-2</v>
      </c>
      <c r="H27" s="194">
        <f>ROUND(G27*G$9,2)</f>
        <v>1.84</v>
      </c>
    </row>
    <row r="28" spans="3:8" x14ac:dyDescent="0.25">
      <c r="D28" s="304"/>
      <c r="E28" s="194"/>
      <c r="F28" s="203"/>
      <c r="G28" s="204"/>
      <c r="H28" s="194"/>
    </row>
    <row r="29" spans="3:8" x14ac:dyDescent="0.25">
      <c r="C29" s="189" t="s">
        <v>244</v>
      </c>
      <c r="D29" s="304">
        <v>0.69018999999999997</v>
      </c>
      <c r="E29" s="194"/>
      <c r="F29" s="203"/>
      <c r="G29" s="205">
        <f>$D$29</f>
        <v>0.69018999999999997</v>
      </c>
      <c r="H29" s="194"/>
    </row>
    <row r="30" spans="3:8" x14ac:dyDescent="0.25">
      <c r="C30" s="189" t="s">
        <v>245</v>
      </c>
      <c r="D30" s="304">
        <v>4.036E-2</v>
      </c>
      <c r="E30" s="194"/>
      <c r="F30" s="203"/>
      <c r="G30" s="205">
        <f>$D$30</f>
        <v>4.036E-2</v>
      </c>
      <c r="H30" s="194"/>
    </row>
    <row r="31" spans="3:8" x14ac:dyDescent="0.25">
      <c r="C31" s="189" t="s">
        <v>1</v>
      </c>
      <c r="D31" s="206">
        <f>SUM(D29:D30)</f>
        <v>0.73054999999999992</v>
      </c>
      <c r="E31" s="194">
        <f>ROUND(D31*D$9,2)</f>
        <v>46.76</v>
      </c>
      <c r="F31" s="203"/>
      <c r="G31" s="206">
        <f>SUM(G29:G30)</f>
        <v>0.73054999999999992</v>
      </c>
      <c r="H31" s="194">
        <f>ROUND(G31*G$9,2)</f>
        <v>46.76</v>
      </c>
    </row>
    <row r="32" spans="3:8" x14ac:dyDescent="0.25">
      <c r="C32" s="189" t="s">
        <v>214</v>
      </c>
      <c r="D32" s="206">
        <f>D25+D27+D31</f>
        <v>1.2949199999999998</v>
      </c>
      <c r="E32" s="208">
        <f>SUM(E25,E27,E31)</f>
        <v>82.88</v>
      </c>
      <c r="F32" s="209"/>
      <c r="G32" s="206">
        <f>G25+G27+G31</f>
        <v>1.2972600000000001</v>
      </c>
      <c r="H32" s="208">
        <f>SUM(H25,H27,H31)</f>
        <v>83.03</v>
      </c>
    </row>
    <row r="33" spans="2:8" x14ac:dyDescent="0.25">
      <c r="E33" s="194"/>
      <c r="H33" s="194"/>
    </row>
    <row r="34" spans="2:8" x14ac:dyDescent="0.25">
      <c r="B34" s="189" t="s">
        <v>215</v>
      </c>
      <c r="D34" s="197"/>
      <c r="E34" s="194">
        <f>E13+E32</f>
        <v>95.38</v>
      </c>
      <c r="F34" s="198"/>
      <c r="G34" s="197"/>
      <c r="H34" s="194">
        <f>H13+H32</f>
        <v>95.53</v>
      </c>
    </row>
    <row r="35" spans="2:8" x14ac:dyDescent="0.25">
      <c r="B35" s="189" t="s">
        <v>216</v>
      </c>
      <c r="D35" s="197"/>
      <c r="E35" s="194"/>
      <c r="F35" s="198"/>
      <c r="G35" s="197"/>
      <c r="H35" s="194">
        <f>H34-$E34</f>
        <v>0.15000000000000568</v>
      </c>
    </row>
    <row r="36" spans="2:8" x14ac:dyDescent="0.25">
      <c r="B36" s="189" t="s">
        <v>217</v>
      </c>
      <c r="D36" s="210"/>
      <c r="E36" s="210"/>
      <c r="F36" s="211"/>
      <c r="G36" s="210"/>
      <c r="H36" s="212">
        <f>H35/$E34</f>
        <v>1.5726567414552914E-3</v>
      </c>
    </row>
    <row r="37" spans="2:8" x14ac:dyDescent="0.25">
      <c r="E37" s="194"/>
    </row>
    <row r="38" spans="2:8" x14ac:dyDescent="0.25">
      <c r="B38" s="189" t="s">
        <v>218</v>
      </c>
      <c r="D38" s="204">
        <f>D25+D27</f>
        <v>0.56437000000000004</v>
      </c>
      <c r="E38" s="194"/>
      <c r="F38" s="209"/>
      <c r="G38" s="204">
        <f>G25+G27</f>
        <v>0.56671000000000005</v>
      </c>
    </row>
    <row r="40" spans="2:8" ht="17.25" x14ac:dyDescent="0.25">
      <c r="B40" s="213" t="s">
        <v>339</v>
      </c>
      <c r="D40" s="213"/>
      <c r="E40" s="213"/>
      <c r="F40" s="214"/>
      <c r="G40" s="214"/>
      <c r="H40" s="214"/>
    </row>
    <row r="45" spans="2:8" ht="14.25" customHeight="1" x14ac:dyDescent="0.25"/>
  </sheetData>
  <printOptions horizontalCentered="1"/>
  <pageMargins left="0.5" right="0.5" top="1" bottom="1" header="0.5" footer="0.5"/>
  <pageSetup scale="78" orientation="landscape" blackAndWhite="1" r:id="rId1"/>
  <headerFooter alignWithMargins="0">
    <oddFooter>&amp;L&amp;F  
&amp;A&amp;C&amp;P&amp;R&amp;D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="90" zoomScaleNormal="90" workbookViewId="0">
      <pane ySplit="8" topLeftCell="A9" activePane="bottomLeft" state="frozen"/>
      <selection activeCell="N39" sqref="N39"/>
      <selection pane="bottomLeft" activeCell="L25" sqref="L25"/>
    </sheetView>
  </sheetViews>
  <sheetFormatPr defaultColWidth="9.140625" defaultRowHeight="15" x14ac:dyDescent="0.25"/>
  <cols>
    <col min="1" max="1" width="3.5703125" style="189" customWidth="1"/>
    <col min="2" max="2" width="19.85546875" style="189" customWidth="1"/>
    <col min="3" max="3" width="8.7109375" style="189" bestFit="1" customWidth="1"/>
    <col min="4" max="4" width="18.5703125" style="189" bestFit="1" customWidth="1"/>
    <col min="5" max="5" width="13.7109375" style="189" customWidth="1"/>
    <col min="6" max="6" width="13.7109375" style="235" customWidth="1"/>
    <col min="7" max="9" width="14.42578125" style="189" customWidth="1"/>
    <col min="10" max="10" width="8.28515625" style="189" customWidth="1"/>
    <col min="11" max="11" width="11.85546875" style="189" bestFit="1" customWidth="1"/>
    <col min="12" max="12" width="11.28515625" style="189" bestFit="1" customWidth="1"/>
    <col min="13" max="13" width="10.5703125" style="189" customWidth="1"/>
    <col min="14" max="16384" width="9.140625" style="189"/>
  </cols>
  <sheetData>
    <row r="1" spans="1:10" ht="15" customHeight="1" x14ac:dyDescent="0.25">
      <c r="A1" s="1" t="s">
        <v>12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5">
      <c r="A2" s="1" t="s">
        <v>382</v>
      </c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x14ac:dyDescent="0.25">
      <c r="A3" s="1" t="s">
        <v>383</v>
      </c>
      <c r="B3" s="1"/>
      <c r="C3" s="1"/>
      <c r="D3" s="1"/>
      <c r="E3" s="1"/>
      <c r="F3" s="1"/>
      <c r="G3" s="1"/>
      <c r="H3" s="1"/>
      <c r="I3" s="1"/>
      <c r="J3" s="1"/>
    </row>
    <row r="4" spans="1:10" ht="15" customHeight="1" x14ac:dyDescent="0.25">
      <c r="A4" s="664" t="s">
        <v>321</v>
      </c>
      <c r="B4" s="664"/>
      <c r="C4" s="664"/>
      <c r="D4" s="664"/>
      <c r="E4" s="664"/>
      <c r="F4" s="664"/>
      <c r="G4" s="664"/>
      <c r="H4" s="664"/>
      <c r="I4" s="664"/>
      <c r="J4" s="664"/>
    </row>
    <row r="6" spans="1:10" x14ac:dyDescent="0.25">
      <c r="D6" s="215" t="s">
        <v>177</v>
      </c>
      <c r="E6" s="567"/>
      <c r="F6" s="245"/>
      <c r="G6" s="567" t="s">
        <v>177</v>
      </c>
      <c r="H6" s="567" t="s">
        <v>177</v>
      </c>
      <c r="I6" s="567" t="s">
        <v>384</v>
      </c>
    </row>
    <row r="7" spans="1:10" x14ac:dyDescent="0.25">
      <c r="C7" s="567" t="s">
        <v>11</v>
      </c>
      <c r="D7" s="215" t="s">
        <v>219</v>
      </c>
      <c r="E7" s="567" t="s">
        <v>86</v>
      </c>
      <c r="F7" s="245" t="s">
        <v>26</v>
      </c>
      <c r="G7" s="567" t="s">
        <v>6</v>
      </c>
      <c r="H7" s="567" t="s">
        <v>6</v>
      </c>
      <c r="I7" s="567" t="s">
        <v>6</v>
      </c>
      <c r="J7" s="215" t="s">
        <v>72</v>
      </c>
    </row>
    <row r="8" spans="1:10" x14ac:dyDescent="0.25">
      <c r="A8" s="665" t="s">
        <v>25</v>
      </c>
      <c r="B8" s="665"/>
      <c r="C8" s="573" t="s">
        <v>7</v>
      </c>
      <c r="D8" s="572" t="str">
        <f>'Rate Impacts Sch 129'!$T$7</f>
        <v>12ME Sept. 2024</v>
      </c>
      <c r="E8" s="573" t="s">
        <v>220</v>
      </c>
      <c r="F8" s="218" t="s">
        <v>11</v>
      </c>
      <c r="G8" s="573" t="s">
        <v>209</v>
      </c>
      <c r="H8" s="573" t="s">
        <v>117</v>
      </c>
      <c r="I8" s="573" t="s">
        <v>73</v>
      </c>
      <c r="J8" s="153" t="s">
        <v>73</v>
      </c>
    </row>
    <row r="9" spans="1:10" x14ac:dyDescent="0.25">
      <c r="A9" s="189" t="s">
        <v>5</v>
      </c>
      <c r="C9" s="567" t="s">
        <v>24</v>
      </c>
      <c r="D9" s="300">
        <v>559577786</v>
      </c>
      <c r="E9" s="219">
        <v>3.16E-3</v>
      </c>
      <c r="F9" s="243">
        <f>Rates!$J$9</f>
        <v>5.4999999999999997E-3</v>
      </c>
      <c r="G9" s="217">
        <f>D9*(E9)</f>
        <v>1768265.80376</v>
      </c>
      <c r="H9" s="217">
        <f>D9*(F9)</f>
        <v>3077677.8229999999</v>
      </c>
      <c r="I9" s="220">
        <f>H9-G9</f>
        <v>1309412.0192399998</v>
      </c>
      <c r="J9" s="210">
        <f>I9/G9</f>
        <v>0.74050632911392389</v>
      </c>
    </row>
    <row r="10" spans="1:10" x14ac:dyDescent="0.25">
      <c r="C10" s="567"/>
      <c r="D10" s="300"/>
      <c r="E10" s="219"/>
      <c r="F10" s="243"/>
      <c r="G10" s="217"/>
      <c r="H10" s="217"/>
      <c r="I10" s="220"/>
    </row>
    <row r="11" spans="1:10" x14ac:dyDescent="0.25">
      <c r="A11" s="189" t="s">
        <v>23</v>
      </c>
      <c r="C11" s="567">
        <v>31</v>
      </c>
      <c r="D11" s="301">
        <v>231737444</v>
      </c>
      <c r="E11" s="219">
        <v>2.6700000000000001E-3</v>
      </c>
      <c r="F11" s="243">
        <f>Rates!$J$11</f>
        <v>4.7200000000000002E-3</v>
      </c>
      <c r="G11" s="217">
        <f>D11*(E11)</f>
        <v>618738.97548000002</v>
      </c>
      <c r="H11" s="217">
        <f>D11*(F11)</f>
        <v>1093800.7356800002</v>
      </c>
      <c r="I11" s="220">
        <f t="shared" ref="I11:I47" si="0">H11-G11</f>
        <v>475061.76020000014</v>
      </c>
      <c r="J11" s="210">
        <f t="shared" ref="J11" si="1">I11/G11</f>
        <v>0.76779026217228485</v>
      </c>
    </row>
    <row r="12" spans="1:10" x14ac:dyDescent="0.25">
      <c r="A12" s="189" t="s">
        <v>23</v>
      </c>
      <c r="C12" s="567" t="s">
        <v>199</v>
      </c>
      <c r="D12" s="301">
        <v>0</v>
      </c>
      <c r="E12" s="219">
        <v>2.6700000000000001E-3</v>
      </c>
      <c r="F12" s="243">
        <f>Rates!$J$11</f>
        <v>4.7200000000000002E-3</v>
      </c>
      <c r="G12" s="217">
        <f>D12*(E12)</f>
        <v>0</v>
      </c>
      <c r="H12" s="217">
        <f>D12*(F12)</f>
        <v>0</v>
      </c>
      <c r="I12" s="220">
        <f t="shared" si="0"/>
        <v>0</v>
      </c>
      <c r="J12" s="663">
        <f>(F12-E12)/E12</f>
        <v>0.76779026217228474</v>
      </c>
    </row>
    <row r="13" spans="1:10" x14ac:dyDescent="0.25">
      <c r="C13" s="567"/>
      <c r="D13" s="300"/>
      <c r="E13" s="219"/>
      <c r="F13" s="243"/>
      <c r="G13" s="217"/>
      <c r="H13" s="217"/>
      <c r="I13" s="220"/>
    </row>
    <row r="14" spans="1:10" x14ac:dyDescent="0.25">
      <c r="A14" s="189" t="s">
        <v>22</v>
      </c>
      <c r="C14" s="567">
        <v>41</v>
      </c>
      <c r="D14" s="301">
        <v>62192142</v>
      </c>
      <c r="E14" s="219">
        <v>1.2899999999999999E-3</v>
      </c>
      <c r="F14" s="243">
        <f>Rates!$J$13</f>
        <v>2.31E-3</v>
      </c>
      <c r="G14" s="217">
        <f>D14*(E14)</f>
        <v>80227.86318</v>
      </c>
      <c r="H14" s="217">
        <f>D14*(F14)</f>
        <v>143663.84802</v>
      </c>
      <c r="I14" s="220">
        <f t="shared" si="0"/>
        <v>63435.984840000005</v>
      </c>
      <c r="J14" s="210">
        <f t="shared" ref="J14:J15" si="2">I14/G14</f>
        <v>0.79069767441860472</v>
      </c>
    </row>
    <row r="15" spans="1:10" x14ac:dyDescent="0.25">
      <c r="A15" s="189" t="s">
        <v>22</v>
      </c>
      <c r="C15" s="567" t="s">
        <v>201</v>
      </c>
      <c r="D15" s="302">
        <v>21445451</v>
      </c>
      <c r="E15" s="219">
        <v>1.2899999999999999E-3</v>
      </c>
      <c r="F15" s="243">
        <f>Rates!$J$13</f>
        <v>2.31E-3</v>
      </c>
      <c r="G15" s="217">
        <f>D15*(E15)</f>
        <v>27664.631789999999</v>
      </c>
      <c r="H15" s="217">
        <f>D15*(F15)</f>
        <v>49538.99181</v>
      </c>
      <c r="I15" s="220">
        <f t="shared" si="0"/>
        <v>21874.36002</v>
      </c>
      <c r="J15" s="210">
        <f t="shared" si="2"/>
        <v>0.79069767441860472</v>
      </c>
    </row>
    <row r="16" spans="1:10" x14ac:dyDescent="0.25">
      <c r="C16" s="567"/>
      <c r="D16" s="300"/>
      <c r="E16" s="219"/>
      <c r="F16" s="243"/>
      <c r="G16" s="217"/>
      <c r="H16" s="217"/>
      <c r="I16" s="220"/>
    </row>
    <row r="17" spans="1:10" x14ac:dyDescent="0.25">
      <c r="A17" s="189" t="s">
        <v>4</v>
      </c>
      <c r="C17" s="567">
        <v>85</v>
      </c>
      <c r="D17" s="300"/>
      <c r="E17" s="219"/>
      <c r="F17" s="243"/>
      <c r="G17" s="217"/>
      <c r="H17" s="217"/>
      <c r="I17" s="220"/>
    </row>
    <row r="18" spans="1:10" x14ac:dyDescent="0.25">
      <c r="B18" s="189" t="s">
        <v>18</v>
      </c>
      <c r="C18" s="567"/>
      <c r="D18" s="300">
        <v>7147333.7914174534</v>
      </c>
      <c r="E18" s="222">
        <v>9.1E-4</v>
      </c>
      <c r="F18" s="244">
        <f>Rates!J16</f>
        <v>1.66E-3</v>
      </c>
      <c r="G18" s="217">
        <f t="shared" ref="G18:G47" si="3">D18*(E18)</f>
        <v>6504.073750189883</v>
      </c>
      <c r="H18" s="217">
        <f t="shared" ref="H18:H47" si="4">D18*(F18)</f>
        <v>11864.574093752974</v>
      </c>
      <c r="I18" s="220">
        <f t="shared" si="0"/>
        <v>5360.5003435630906</v>
      </c>
      <c r="J18" s="210">
        <f t="shared" ref="J18:J21" si="5">I18/G18</f>
        <v>0.82417582417582425</v>
      </c>
    </row>
    <row r="19" spans="1:10" x14ac:dyDescent="0.25">
      <c r="B19" s="189" t="s">
        <v>17</v>
      </c>
      <c r="C19" s="567"/>
      <c r="D19" s="300">
        <v>3762122.0596059216</v>
      </c>
      <c r="E19" s="222">
        <v>5.5999999999999995E-4</v>
      </c>
      <c r="F19" s="244">
        <f>Rates!J17</f>
        <v>1.01E-3</v>
      </c>
      <c r="G19" s="217">
        <f t="shared" si="3"/>
        <v>2106.788353379316</v>
      </c>
      <c r="H19" s="217">
        <f t="shared" si="4"/>
        <v>3799.7432802019812</v>
      </c>
      <c r="I19" s="220">
        <f t="shared" si="0"/>
        <v>1692.9549268226651</v>
      </c>
      <c r="J19" s="210">
        <f t="shared" si="5"/>
        <v>0.80357142857142883</v>
      </c>
    </row>
    <row r="20" spans="1:10" x14ac:dyDescent="0.25">
      <c r="B20" s="189" t="s">
        <v>21</v>
      </c>
      <c r="C20" s="567"/>
      <c r="D20" s="300">
        <v>6391256.1489766259</v>
      </c>
      <c r="E20" s="222">
        <v>3.2000000000000003E-4</v>
      </c>
      <c r="F20" s="244">
        <f>Rates!J18</f>
        <v>5.5000000000000003E-4</v>
      </c>
      <c r="G20" s="217">
        <f t="shared" si="3"/>
        <v>2045.2019676725204</v>
      </c>
      <c r="H20" s="217">
        <f t="shared" si="4"/>
        <v>3515.1908819371442</v>
      </c>
      <c r="I20" s="220">
        <f t="shared" si="0"/>
        <v>1469.9889142646239</v>
      </c>
      <c r="J20" s="210">
        <f t="shared" si="5"/>
        <v>0.71874999999999989</v>
      </c>
    </row>
    <row r="21" spans="1:10" x14ac:dyDescent="0.25">
      <c r="B21" s="189" t="s">
        <v>0</v>
      </c>
      <c r="C21" s="567"/>
      <c r="D21" s="223">
        <f>SUM(D18:D20)</f>
        <v>17300712</v>
      </c>
      <c r="E21" s="219"/>
      <c r="F21" s="243"/>
      <c r="G21" s="224">
        <f>SUM(G18:G20)</f>
        <v>10656.064071241719</v>
      </c>
      <c r="H21" s="224">
        <f t="shared" ref="H21:I21" si="6">SUM(H18:H20)</f>
        <v>19179.508255892099</v>
      </c>
      <c r="I21" s="224">
        <f t="shared" si="6"/>
        <v>8523.4441846503796</v>
      </c>
      <c r="J21" s="225">
        <f t="shared" si="5"/>
        <v>0.79986795571670855</v>
      </c>
    </row>
    <row r="22" spans="1:10" x14ac:dyDescent="0.25">
      <c r="C22" s="567"/>
      <c r="D22" s="221"/>
      <c r="E22" s="219"/>
      <c r="F22" s="243"/>
      <c r="G22" s="217"/>
      <c r="H22" s="217"/>
      <c r="I22" s="220"/>
    </row>
    <row r="23" spans="1:10" x14ac:dyDescent="0.25">
      <c r="A23" s="189" t="s">
        <v>4</v>
      </c>
      <c r="C23" s="567">
        <v>86</v>
      </c>
      <c r="D23" s="301">
        <v>4924285</v>
      </c>
      <c r="E23" s="219">
        <v>1.1199999999999999E-3</v>
      </c>
      <c r="F23" s="243">
        <f>Rates!$J$21</f>
        <v>1.7099999999999999E-3</v>
      </c>
      <c r="G23" s="217">
        <f t="shared" si="3"/>
        <v>5515.1991999999991</v>
      </c>
      <c r="H23" s="217">
        <f t="shared" si="4"/>
        <v>8420.5273500000003</v>
      </c>
      <c r="I23" s="220">
        <f t="shared" si="0"/>
        <v>2905.3281500000012</v>
      </c>
      <c r="J23" s="210">
        <f t="shared" ref="J23:J24" si="7">I23/G23</f>
        <v>0.52678571428571463</v>
      </c>
    </row>
    <row r="24" spans="1:10" x14ac:dyDescent="0.25">
      <c r="A24" s="189" t="s">
        <v>4</v>
      </c>
      <c r="C24" s="567" t="s">
        <v>204</v>
      </c>
      <c r="D24" s="302">
        <v>1207071</v>
      </c>
      <c r="E24" s="219">
        <v>1.1199999999999999E-3</v>
      </c>
      <c r="F24" s="243">
        <f>Rates!$J$21</f>
        <v>1.7099999999999999E-3</v>
      </c>
      <c r="G24" s="217">
        <f t="shared" si="3"/>
        <v>1351.9195199999999</v>
      </c>
      <c r="H24" s="217">
        <f t="shared" si="4"/>
        <v>2064.09141</v>
      </c>
      <c r="I24" s="220">
        <f t="shared" si="0"/>
        <v>712.17189000000008</v>
      </c>
      <c r="J24" s="210">
        <f t="shared" si="7"/>
        <v>0.52678571428571441</v>
      </c>
    </row>
    <row r="25" spans="1:10" x14ac:dyDescent="0.25">
      <c r="C25" s="567"/>
      <c r="D25" s="300"/>
      <c r="E25" s="219"/>
      <c r="F25" s="243"/>
      <c r="G25" s="217"/>
      <c r="H25" s="217"/>
      <c r="I25" s="220"/>
    </row>
    <row r="26" spans="1:10" x14ac:dyDescent="0.25">
      <c r="A26" s="189" t="s">
        <v>4</v>
      </c>
      <c r="C26" s="567">
        <v>87</v>
      </c>
      <c r="D26" s="300"/>
      <c r="E26" s="219"/>
      <c r="F26" s="243"/>
      <c r="G26" s="217"/>
      <c r="H26" s="217"/>
      <c r="I26" s="220"/>
    </row>
    <row r="27" spans="1:10" x14ac:dyDescent="0.25">
      <c r="B27" s="189" t="s">
        <v>18</v>
      </c>
      <c r="C27" s="567"/>
      <c r="D27" s="300">
        <v>1448566.2208698611</v>
      </c>
      <c r="E27" s="222">
        <v>9.1E-4</v>
      </c>
      <c r="F27" s="244">
        <f>Rates!J24</f>
        <v>1.66E-3</v>
      </c>
      <c r="G27" s="217">
        <f t="shared" si="3"/>
        <v>1318.1952609915736</v>
      </c>
      <c r="H27" s="217">
        <f t="shared" si="4"/>
        <v>2404.6199266439694</v>
      </c>
      <c r="I27" s="220">
        <f t="shared" si="0"/>
        <v>1086.4246656523958</v>
      </c>
      <c r="J27" s="210">
        <f t="shared" ref="J27:J33" si="8">I27/G27</f>
        <v>0.82417582417582413</v>
      </c>
    </row>
    <row r="28" spans="1:10" x14ac:dyDescent="0.25">
      <c r="B28" s="189" t="s">
        <v>17</v>
      </c>
      <c r="C28" s="567"/>
      <c r="D28" s="300">
        <v>1339193.4233399543</v>
      </c>
      <c r="E28" s="222">
        <v>5.5999999999999995E-4</v>
      </c>
      <c r="F28" s="244">
        <f>Rates!J25</f>
        <v>1.01E-3</v>
      </c>
      <c r="G28" s="217">
        <f t="shared" si="3"/>
        <v>749.9483170703744</v>
      </c>
      <c r="H28" s="217">
        <f t="shared" si="4"/>
        <v>1352.585357573354</v>
      </c>
      <c r="I28" s="220">
        <f t="shared" si="0"/>
        <v>602.63704050297963</v>
      </c>
      <c r="J28" s="210">
        <f t="shared" si="8"/>
        <v>0.80357142857142883</v>
      </c>
    </row>
    <row r="29" spans="1:10" x14ac:dyDescent="0.25">
      <c r="B29" s="189" t="s">
        <v>16</v>
      </c>
      <c r="C29" s="567"/>
      <c r="D29" s="300">
        <v>2219405.0167759866</v>
      </c>
      <c r="E29" s="222">
        <v>3.6999999999999999E-4</v>
      </c>
      <c r="F29" s="244">
        <f>Rates!J26</f>
        <v>6.6E-4</v>
      </c>
      <c r="G29" s="217">
        <f t="shared" si="3"/>
        <v>821.17985620711499</v>
      </c>
      <c r="H29" s="217">
        <f t="shared" si="4"/>
        <v>1464.8073110721512</v>
      </c>
      <c r="I29" s="220">
        <f t="shared" si="0"/>
        <v>643.62745486503616</v>
      </c>
      <c r="J29" s="210">
        <f t="shared" si="8"/>
        <v>0.78378378378378388</v>
      </c>
    </row>
    <row r="30" spans="1:10" x14ac:dyDescent="0.25">
      <c r="B30" s="189" t="s">
        <v>15</v>
      </c>
      <c r="C30" s="567"/>
      <c r="D30" s="300">
        <v>2917125.1601762543</v>
      </c>
      <c r="E30" s="222">
        <v>2.5000000000000001E-4</v>
      </c>
      <c r="F30" s="244">
        <f>Rates!J27</f>
        <v>4.2999999999999999E-4</v>
      </c>
      <c r="G30" s="217">
        <f t="shared" si="3"/>
        <v>729.28129004406355</v>
      </c>
      <c r="H30" s="217">
        <f t="shared" si="4"/>
        <v>1254.3638188757893</v>
      </c>
      <c r="I30" s="220">
        <f t="shared" si="0"/>
        <v>525.08252883172577</v>
      </c>
      <c r="J30" s="210">
        <f t="shared" si="8"/>
        <v>0.72</v>
      </c>
    </row>
    <row r="31" spans="1:10" x14ac:dyDescent="0.25">
      <c r="B31" s="189" t="s">
        <v>14</v>
      </c>
      <c r="C31" s="567"/>
      <c r="D31" s="300">
        <v>3632488.871049352</v>
      </c>
      <c r="E31" s="222">
        <v>1.9000000000000001E-4</v>
      </c>
      <c r="F31" s="244">
        <f>Rates!J28</f>
        <v>3.2000000000000003E-4</v>
      </c>
      <c r="G31" s="217">
        <f t="shared" si="3"/>
        <v>690.17288549937689</v>
      </c>
      <c r="H31" s="217">
        <f t="shared" si="4"/>
        <v>1162.3964387357928</v>
      </c>
      <c r="I31" s="220">
        <f t="shared" si="0"/>
        <v>472.22355323641591</v>
      </c>
      <c r="J31" s="210">
        <f t="shared" si="8"/>
        <v>0.68421052631578971</v>
      </c>
    </row>
    <row r="32" spans="1:10" x14ac:dyDescent="0.25">
      <c r="B32" s="189" t="s">
        <v>19</v>
      </c>
      <c r="C32" s="567"/>
      <c r="D32" s="300">
        <v>9344605.30778859</v>
      </c>
      <c r="E32" s="222">
        <v>1.4999999999999999E-4</v>
      </c>
      <c r="F32" s="244">
        <f>Rates!J29</f>
        <v>2.1000000000000001E-4</v>
      </c>
      <c r="G32" s="217">
        <f t="shared" si="3"/>
        <v>1401.6907961682884</v>
      </c>
      <c r="H32" s="217">
        <f t="shared" si="4"/>
        <v>1962.3671146356039</v>
      </c>
      <c r="I32" s="220">
        <f t="shared" si="0"/>
        <v>560.67631846731547</v>
      </c>
      <c r="J32" s="210">
        <f t="shared" si="8"/>
        <v>0.40000000000000008</v>
      </c>
    </row>
    <row r="33" spans="1:10" x14ac:dyDescent="0.25">
      <c r="B33" s="189" t="s">
        <v>0</v>
      </c>
      <c r="C33" s="567"/>
      <c r="D33" s="223">
        <f>SUM(D27:D32)</f>
        <v>20901384</v>
      </c>
      <c r="E33" s="219"/>
      <c r="F33" s="243"/>
      <c r="G33" s="224">
        <f>SUM(G27:G32)</f>
        <v>5710.4684059807914</v>
      </c>
      <c r="H33" s="224">
        <f t="shared" ref="H33:I33" si="9">SUM(H27:H32)</f>
        <v>9601.1399675366611</v>
      </c>
      <c r="I33" s="224">
        <f t="shared" si="9"/>
        <v>3890.6715615558687</v>
      </c>
      <c r="J33" s="225">
        <f t="shared" si="8"/>
        <v>0.68132266654010731</v>
      </c>
    </row>
    <row r="34" spans="1:10" x14ac:dyDescent="0.25">
      <c r="C34" s="567"/>
      <c r="D34" s="226"/>
      <c r="E34" s="219"/>
      <c r="F34" s="243"/>
      <c r="G34" s="217"/>
      <c r="H34" s="217"/>
      <c r="I34" s="220"/>
      <c r="J34" s="227"/>
    </row>
    <row r="35" spans="1:10" x14ac:dyDescent="0.25">
      <c r="A35" s="189" t="s">
        <v>20</v>
      </c>
      <c r="C35" s="567" t="s">
        <v>3</v>
      </c>
      <c r="D35" s="226"/>
      <c r="E35" s="219"/>
      <c r="F35" s="243"/>
      <c r="G35" s="217"/>
      <c r="H35" s="217"/>
      <c r="I35" s="220"/>
      <c r="J35" s="227"/>
    </row>
    <row r="36" spans="1:10" x14ac:dyDescent="0.25">
      <c r="B36" s="189" t="s">
        <v>18</v>
      </c>
      <c r="C36" s="567"/>
      <c r="D36" s="301">
        <v>22676913.731819376</v>
      </c>
      <c r="E36" s="222">
        <v>9.1E-4</v>
      </c>
      <c r="F36" s="244">
        <f>Rates!J33</f>
        <v>1.66E-3</v>
      </c>
      <c r="G36" s="217">
        <f t="shared" si="3"/>
        <v>20635.991495955634</v>
      </c>
      <c r="H36" s="217">
        <f t="shared" si="4"/>
        <v>37643.676794820167</v>
      </c>
      <c r="I36" s="220">
        <f t="shared" si="0"/>
        <v>17007.685298864533</v>
      </c>
      <c r="J36" s="210">
        <f t="shared" ref="J36:J39" si="10">I36/G36</f>
        <v>0.82417582417582413</v>
      </c>
    </row>
    <row r="37" spans="1:10" x14ac:dyDescent="0.25">
      <c r="B37" s="189" t="s">
        <v>17</v>
      </c>
      <c r="C37" s="567"/>
      <c r="D37" s="301">
        <v>16135377.683696801</v>
      </c>
      <c r="E37" s="222">
        <v>5.5999999999999995E-4</v>
      </c>
      <c r="F37" s="244">
        <f>Rates!J34</f>
        <v>1.01E-3</v>
      </c>
      <c r="G37" s="217">
        <f t="shared" si="3"/>
        <v>9035.8115028702068</v>
      </c>
      <c r="H37" s="217">
        <f t="shared" si="4"/>
        <v>16296.731460533769</v>
      </c>
      <c r="I37" s="220">
        <f t="shared" si="0"/>
        <v>7260.9199576635619</v>
      </c>
      <c r="J37" s="210">
        <f t="shared" si="10"/>
        <v>0.80357142857142894</v>
      </c>
    </row>
    <row r="38" spans="1:10" x14ac:dyDescent="0.25">
      <c r="B38" s="189" t="s">
        <v>21</v>
      </c>
      <c r="C38" s="567"/>
      <c r="D38" s="301">
        <v>25329135.584483825</v>
      </c>
      <c r="E38" s="222">
        <v>3.2000000000000003E-4</v>
      </c>
      <c r="F38" s="244">
        <f>Rates!J35</f>
        <v>5.5000000000000003E-4</v>
      </c>
      <c r="G38" s="217">
        <f t="shared" si="3"/>
        <v>8105.3233870348249</v>
      </c>
      <c r="H38" s="217">
        <f t="shared" si="4"/>
        <v>13931.024571466105</v>
      </c>
      <c r="I38" s="220">
        <f t="shared" si="0"/>
        <v>5825.7011844312801</v>
      </c>
      <c r="J38" s="210">
        <f t="shared" si="10"/>
        <v>0.71875</v>
      </c>
    </row>
    <row r="39" spans="1:10" x14ac:dyDescent="0.25">
      <c r="B39" s="189" t="s">
        <v>0</v>
      </c>
      <c r="C39" s="567"/>
      <c r="D39" s="223">
        <f>SUM(D36:D38)</f>
        <v>64141427</v>
      </c>
      <c r="E39" s="219"/>
      <c r="F39" s="243"/>
      <c r="G39" s="224">
        <f>SUM(G36:G38)</f>
        <v>37777.126385860669</v>
      </c>
      <c r="H39" s="224">
        <f t="shared" ref="H39:I39" si="11">SUM(H36:H38)</f>
        <v>67871.432826820033</v>
      </c>
      <c r="I39" s="224">
        <f t="shared" si="11"/>
        <v>30094.306440959375</v>
      </c>
      <c r="J39" s="225">
        <f t="shared" si="10"/>
        <v>0.79662773006003862</v>
      </c>
    </row>
    <row r="40" spans="1:10" x14ac:dyDescent="0.25">
      <c r="C40" s="567"/>
      <c r="D40" s="226"/>
      <c r="E40" s="219"/>
      <c r="F40" s="243"/>
      <c r="G40" s="217"/>
      <c r="H40" s="217"/>
      <c r="I40" s="220"/>
      <c r="J40" s="227"/>
    </row>
    <row r="41" spans="1:10" x14ac:dyDescent="0.25">
      <c r="A41" s="189" t="s">
        <v>20</v>
      </c>
      <c r="C41" s="567" t="s">
        <v>2</v>
      </c>
      <c r="D41" s="226"/>
      <c r="E41" s="219"/>
      <c r="F41" s="243"/>
      <c r="G41" s="217"/>
      <c r="H41" s="217"/>
      <c r="I41" s="220"/>
    </row>
    <row r="42" spans="1:10" x14ac:dyDescent="0.25">
      <c r="B42" s="189" t="s">
        <v>18</v>
      </c>
      <c r="C42" s="567"/>
      <c r="D42" s="301">
        <v>3828915.0117487842</v>
      </c>
      <c r="E42" s="222">
        <v>9.1E-4</v>
      </c>
      <c r="F42" s="244">
        <f>Rates!J39</f>
        <v>1.66E-3</v>
      </c>
      <c r="G42" s="217">
        <f t="shared" si="3"/>
        <v>3484.3126606913938</v>
      </c>
      <c r="H42" s="217">
        <f t="shared" si="4"/>
        <v>6355.9989195029821</v>
      </c>
      <c r="I42" s="220">
        <f t="shared" si="0"/>
        <v>2871.6862588115882</v>
      </c>
      <c r="J42" s="210">
        <f t="shared" ref="J42:J48" si="12">I42/G42</f>
        <v>0.82417582417582413</v>
      </c>
    </row>
    <row r="43" spans="1:10" x14ac:dyDescent="0.25">
      <c r="B43" s="189" t="s">
        <v>17</v>
      </c>
      <c r="C43" s="567"/>
      <c r="D43" s="301">
        <v>3830460.385454894</v>
      </c>
      <c r="E43" s="222">
        <v>5.5999999999999995E-4</v>
      </c>
      <c r="F43" s="244">
        <f>Rates!J40</f>
        <v>1.01E-3</v>
      </c>
      <c r="G43" s="217">
        <f t="shared" si="3"/>
        <v>2145.0578158547405</v>
      </c>
      <c r="H43" s="217">
        <f t="shared" si="4"/>
        <v>3868.7649893094431</v>
      </c>
      <c r="I43" s="220">
        <f t="shared" si="0"/>
        <v>1723.7071734547026</v>
      </c>
      <c r="J43" s="210">
        <f t="shared" si="12"/>
        <v>0.80357142857142871</v>
      </c>
    </row>
    <row r="44" spans="1:10" x14ac:dyDescent="0.25">
      <c r="B44" s="189" t="s">
        <v>16</v>
      </c>
      <c r="C44" s="567"/>
      <c r="D44" s="301">
        <v>7660920.7709097881</v>
      </c>
      <c r="E44" s="222">
        <v>3.6999999999999999E-4</v>
      </c>
      <c r="F44" s="244">
        <f>Rates!J41</f>
        <v>6.6E-4</v>
      </c>
      <c r="G44" s="217">
        <f t="shared" si="3"/>
        <v>2834.5406852366214</v>
      </c>
      <c r="H44" s="217">
        <f t="shared" si="4"/>
        <v>5056.2077088004598</v>
      </c>
      <c r="I44" s="220">
        <f t="shared" si="0"/>
        <v>2221.6670235638385</v>
      </c>
      <c r="J44" s="210">
        <f t="shared" si="12"/>
        <v>0.78378378378378377</v>
      </c>
    </row>
    <row r="45" spans="1:10" x14ac:dyDescent="0.25">
      <c r="B45" s="189" t="s">
        <v>15</v>
      </c>
      <c r="C45" s="567"/>
      <c r="D45" s="301">
        <v>14637071.441068338</v>
      </c>
      <c r="E45" s="222">
        <v>2.5000000000000001E-4</v>
      </c>
      <c r="F45" s="244">
        <f>Rates!J42</f>
        <v>4.2999999999999999E-4</v>
      </c>
      <c r="G45" s="217">
        <f t="shared" si="3"/>
        <v>3659.2678602670844</v>
      </c>
      <c r="H45" s="217">
        <f t="shared" si="4"/>
        <v>6293.9407196593856</v>
      </c>
      <c r="I45" s="220">
        <f t="shared" si="0"/>
        <v>2634.6728593923012</v>
      </c>
      <c r="J45" s="210">
        <f t="shared" si="12"/>
        <v>0.72000000000000008</v>
      </c>
    </row>
    <row r="46" spans="1:10" x14ac:dyDescent="0.25">
      <c r="B46" s="189" t="s">
        <v>14</v>
      </c>
      <c r="C46" s="567"/>
      <c r="D46" s="301">
        <v>32871226.224957295</v>
      </c>
      <c r="E46" s="222">
        <v>1.9000000000000001E-4</v>
      </c>
      <c r="F46" s="244">
        <f>Rates!J43</f>
        <v>3.2000000000000003E-4</v>
      </c>
      <c r="G46" s="217">
        <f t="shared" si="3"/>
        <v>6245.5329827418864</v>
      </c>
      <c r="H46" s="217">
        <f t="shared" si="4"/>
        <v>10518.792391986335</v>
      </c>
      <c r="I46" s="220">
        <f t="shared" si="0"/>
        <v>4273.2594092444488</v>
      </c>
      <c r="J46" s="210">
        <f t="shared" si="12"/>
        <v>0.68421052631578949</v>
      </c>
    </row>
    <row r="47" spans="1:10" x14ac:dyDescent="0.25">
      <c r="B47" s="189" t="s">
        <v>19</v>
      </c>
      <c r="C47" s="567"/>
      <c r="D47" s="301">
        <v>61661912.165860899</v>
      </c>
      <c r="E47" s="222">
        <v>1.4999999999999999E-4</v>
      </c>
      <c r="F47" s="244">
        <f>Rates!J44</f>
        <v>2.1000000000000001E-4</v>
      </c>
      <c r="G47" s="217">
        <f t="shared" si="3"/>
        <v>9249.2868248791347</v>
      </c>
      <c r="H47" s="217">
        <f t="shared" si="4"/>
        <v>12949.001554830789</v>
      </c>
      <c r="I47" s="220">
        <f t="shared" si="0"/>
        <v>3699.7147299516546</v>
      </c>
      <c r="J47" s="210">
        <f t="shared" si="12"/>
        <v>0.40000000000000008</v>
      </c>
    </row>
    <row r="48" spans="1:10" x14ac:dyDescent="0.25">
      <c r="B48" s="189" t="s">
        <v>0</v>
      </c>
      <c r="C48" s="567"/>
      <c r="D48" s="223">
        <f>SUM(D42:D47)</f>
        <v>124490506</v>
      </c>
      <c r="E48" s="219"/>
      <c r="F48" s="228"/>
      <c r="G48" s="224">
        <f>SUM(G42:G47)</f>
        <v>27617.998829670862</v>
      </c>
      <c r="H48" s="224">
        <f t="shared" ref="H48:I48" si="13">SUM(H42:H47)</f>
        <v>45042.706284089392</v>
      </c>
      <c r="I48" s="224">
        <f t="shared" si="13"/>
        <v>17424.707454418534</v>
      </c>
      <c r="J48" s="225">
        <f t="shared" si="12"/>
        <v>0.63091853837355649</v>
      </c>
    </row>
    <row r="49" spans="2:12" x14ac:dyDescent="0.25">
      <c r="D49" s="229"/>
      <c r="E49" s="230"/>
      <c r="F49" s="230"/>
      <c r="G49" s="231"/>
      <c r="H49" s="216"/>
      <c r="I49" s="220"/>
      <c r="J49" s="201"/>
    </row>
    <row r="50" spans="2:12" x14ac:dyDescent="0.25">
      <c r="B50" s="189" t="s">
        <v>0</v>
      </c>
      <c r="D50" s="232">
        <f>D9+D11+D14+D21+D23+D33+D39+D48+D12+D15+D24</f>
        <v>1107918208</v>
      </c>
      <c r="E50" s="219"/>
      <c r="F50" s="228"/>
      <c r="G50" s="166">
        <f>G9+G11+G14+G21+G23+G33+G39+G48+G12+G15+G24</f>
        <v>2583526.0506227538</v>
      </c>
      <c r="H50" s="166">
        <f>H9+H11+H14+H21+H23+H33+H39+H48+H12+H15+H24</f>
        <v>4516860.8046043376</v>
      </c>
      <c r="I50" s="166">
        <f>I9+I11+I14+I21+I23+I33+I39+I48+I12+I15+I24</f>
        <v>1933334.7539815845</v>
      </c>
      <c r="J50" s="225">
        <f>I50/G50</f>
        <v>0.74833182096830719</v>
      </c>
    </row>
    <row r="51" spans="2:12" x14ac:dyDescent="0.25">
      <c r="D51" s="201"/>
      <c r="E51" s="201"/>
      <c r="F51" s="233"/>
      <c r="G51" s="201"/>
      <c r="H51" s="201"/>
      <c r="J51" s="227"/>
    </row>
    <row r="52" spans="2:12" x14ac:dyDescent="0.25">
      <c r="D52" s="201"/>
      <c r="E52" s="201"/>
      <c r="F52" s="233"/>
      <c r="G52" s="234"/>
      <c r="H52" s="234"/>
    </row>
    <row r="53" spans="2:12" x14ac:dyDescent="0.25">
      <c r="L53" s="227"/>
    </row>
    <row r="54" spans="2:12" x14ac:dyDescent="0.25">
      <c r="B54" s="236"/>
      <c r="D54" s="237"/>
      <c r="E54" s="237"/>
      <c r="F54" s="238"/>
      <c r="G54" s="220"/>
      <c r="H54" s="220"/>
    </row>
    <row r="55" spans="2:12" x14ac:dyDescent="0.25">
      <c r="C55" s="233"/>
      <c r="D55" s="239"/>
      <c r="E55" s="201"/>
      <c r="F55" s="233"/>
    </row>
    <row r="56" spans="2:12" x14ac:dyDescent="0.25">
      <c r="C56" s="233"/>
      <c r="D56" s="201"/>
      <c r="E56" s="233"/>
      <c r="F56" s="233"/>
    </row>
    <row r="57" spans="2:12" x14ac:dyDescent="0.25">
      <c r="C57" s="233"/>
      <c r="D57" s="201"/>
      <c r="E57" s="240"/>
      <c r="F57" s="241"/>
    </row>
    <row r="58" spans="2:12" x14ac:dyDescent="0.25">
      <c r="C58" s="237"/>
      <c r="D58" s="237"/>
      <c r="E58" s="240"/>
      <c r="F58" s="241"/>
    </row>
    <row r="59" spans="2:12" x14ac:dyDescent="0.25">
      <c r="E59" s="240"/>
      <c r="F59" s="241"/>
    </row>
    <row r="60" spans="2:12" x14ac:dyDescent="0.25">
      <c r="E60" s="201"/>
      <c r="F60" s="233"/>
    </row>
    <row r="61" spans="2:12" x14ac:dyDescent="0.25">
      <c r="E61" s="201"/>
      <c r="F61" s="233"/>
    </row>
    <row r="62" spans="2:12" x14ac:dyDescent="0.25">
      <c r="E62" s="201"/>
      <c r="F62" s="233"/>
    </row>
  </sheetData>
  <mergeCells count="5">
    <mergeCell ref="A1:J1"/>
    <mergeCell ref="A2:J2"/>
    <mergeCell ref="A3:J3"/>
    <mergeCell ref="A4:J4"/>
    <mergeCell ref="A8:B8"/>
  </mergeCells>
  <printOptions horizontalCentered="1"/>
  <pageMargins left="0.75" right="0.75" top="1" bottom="1" header="0.5" footer="0.5"/>
  <pageSetup scale="64" orientation="landscape" blackAndWhite="1" horizontalDpi="300" verticalDpi="300" r:id="rId1"/>
  <headerFooter alignWithMargins="0">
    <oddFooter>&amp;L&amp;F 
&amp;A&amp;C&amp;P&amp;R&amp;D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H32" sqref="H32"/>
    </sheetView>
  </sheetViews>
  <sheetFormatPr defaultRowHeight="15" x14ac:dyDescent="0.25"/>
  <sheetData/>
  <pageMargins left="0.7" right="0.7" top="0.75" bottom="0.75" header="0.3" footer="0.3"/>
  <customProperties>
    <customPr name="_pios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2"/>
  <sheetViews>
    <sheetView zoomScale="90" zoomScaleNormal="90" workbookViewId="0">
      <pane ySplit="8" topLeftCell="A9" activePane="bottomLeft" state="frozen"/>
      <selection activeCell="Q23" sqref="Q23"/>
      <selection pane="bottomLeft" activeCell="P29" sqref="P29"/>
    </sheetView>
  </sheetViews>
  <sheetFormatPr defaultColWidth="8.85546875" defaultRowHeight="12.75" x14ac:dyDescent="0.2"/>
  <cols>
    <col min="1" max="1" width="1.5703125" style="44" customWidth="1"/>
    <col min="2" max="2" width="4.5703125" style="44" customWidth="1"/>
    <col min="3" max="3" width="3.140625" style="44" customWidth="1"/>
    <col min="4" max="4" width="25.7109375" style="44" customWidth="1"/>
    <col min="5" max="5" width="12.140625" style="44" customWidth="1"/>
    <col min="6" max="6" width="9" style="44" bestFit="1" customWidth="1"/>
    <col min="7" max="7" width="13.7109375" style="44" customWidth="1"/>
    <col min="8" max="8" width="13.28515625" style="44" customWidth="1"/>
    <col min="9" max="9" width="13.28515625" style="44" bestFit="1" customWidth="1"/>
    <col min="10" max="11" width="12.5703125" style="44" bestFit="1" customWidth="1"/>
    <col min="12" max="12" width="11.42578125" style="44" customWidth="1"/>
    <col min="13" max="13" width="10.85546875" style="44" customWidth="1"/>
    <col min="14" max="14" width="9.28515625" style="44" bestFit="1" customWidth="1"/>
    <col min="15" max="15" width="10" style="44" bestFit="1" customWidth="1"/>
    <col min="16" max="16" width="19.5703125" style="44" customWidth="1"/>
    <col min="17" max="22" width="15.7109375" style="44" customWidth="1"/>
    <col min="23" max="16384" width="8.85546875" style="44"/>
  </cols>
  <sheetData>
    <row r="1" spans="2:22" x14ac:dyDescent="0.2">
      <c r="B1" s="666" t="s">
        <v>12</v>
      </c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</row>
    <row r="2" spans="2:22" x14ac:dyDescent="0.2">
      <c r="B2" s="145" t="str">
        <f>Rates!$B$2</f>
        <v>2023 Gas Schedule 129 Low Income Program Rate Filing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3" spans="2:22" x14ac:dyDescent="0.2">
      <c r="B3" s="667" t="s">
        <v>343</v>
      </c>
      <c r="C3" s="667"/>
      <c r="D3" s="667"/>
      <c r="E3" s="667"/>
      <c r="F3" s="667"/>
      <c r="G3" s="667"/>
      <c r="H3" s="667"/>
      <c r="I3" s="667"/>
      <c r="J3" s="667"/>
      <c r="K3" s="667"/>
      <c r="L3" s="667"/>
      <c r="M3" s="667"/>
      <c r="N3" s="667"/>
    </row>
    <row r="4" spans="2:22" x14ac:dyDescent="0.2">
      <c r="B4" s="61" t="str">
        <f>Rates!B4</f>
        <v>Proposed Effective October 1, 2023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12"/>
    </row>
    <row r="6" spans="2:22" x14ac:dyDescent="0.2">
      <c r="E6" s="246"/>
      <c r="F6" s="246"/>
      <c r="G6" s="246" t="s">
        <v>59</v>
      </c>
      <c r="H6" s="246"/>
      <c r="J6" s="246" t="s">
        <v>38</v>
      </c>
      <c r="K6" s="246" t="s">
        <v>58</v>
      </c>
      <c r="L6" s="246" t="s">
        <v>38</v>
      </c>
      <c r="M6" s="246"/>
      <c r="P6" s="44" t="s">
        <v>118</v>
      </c>
    </row>
    <row r="7" spans="2:22" ht="14.25" x14ac:dyDescent="0.2">
      <c r="E7" s="246" t="s">
        <v>62</v>
      </c>
      <c r="F7" s="246"/>
      <c r="G7" s="246" t="s">
        <v>63</v>
      </c>
      <c r="H7" s="246"/>
      <c r="I7" s="246" t="s">
        <v>44</v>
      </c>
      <c r="J7" s="246" t="s">
        <v>6</v>
      </c>
      <c r="K7" s="246" t="s">
        <v>6</v>
      </c>
      <c r="L7" s="246" t="s">
        <v>57</v>
      </c>
      <c r="M7" s="246" t="s">
        <v>27</v>
      </c>
      <c r="Q7" s="308" t="s">
        <v>317</v>
      </c>
      <c r="R7" s="246" t="s">
        <v>318</v>
      </c>
      <c r="S7" s="308" t="s">
        <v>317</v>
      </c>
      <c r="T7" s="308" t="s">
        <v>317</v>
      </c>
      <c r="U7" s="246" t="s">
        <v>173</v>
      </c>
    </row>
    <row r="8" spans="2:22" ht="14.25" x14ac:dyDescent="0.2">
      <c r="B8" s="80" t="s">
        <v>36</v>
      </c>
      <c r="C8" s="2" t="s">
        <v>56</v>
      </c>
      <c r="D8" s="2"/>
      <c r="E8" s="19" t="s">
        <v>54</v>
      </c>
      <c r="F8" s="19" t="s">
        <v>55</v>
      </c>
      <c r="G8" s="19" t="s">
        <v>54</v>
      </c>
      <c r="H8" s="19" t="s">
        <v>67</v>
      </c>
      <c r="I8" s="19" t="s">
        <v>53</v>
      </c>
      <c r="J8" s="19" t="s">
        <v>34</v>
      </c>
      <c r="K8" s="19" t="s">
        <v>34</v>
      </c>
      <c r="L8" s="19" t="s">
        <v>52</v>
      </c>
      <c r="M8" s="19" t="s">
        <v>6</v>
      </c>
      <c r="Q8" s="246" t="s">
        <v>83</v>
      </c>
      <c r="R8" s="246" t="s">
        <v>84</v>
      </c>
      <c r="S8" s="246" t="s">
        <v>315</v>
      </c>
      <c r="T8" s="246" t="s">
        <v>316</v>
      </c>
      <c r="U8" s="246" t="s">
        <v>174</v>
      </c>
      <c r="V8" s="246"/>
    </row>
    <row r="9" spans="2:22" x14ac:dyDescent="0.2">
      <c r="B9" s="246">
        <v>1</v>
      </c>
      <c r="C9" s="44" t="s">
        <v>51</v>
      </c>
      <c r="E9" s="36"/>
      <c r="F9" s="36"/>
      <c r="G9" s="36"/>
      <c r="Q9" s="246" t="s">
        <v>68</v>
      </c>
      <c r="R9" s="246" t="s">
        <v>70</v>
      </c>
      <c r="S9" s="246" t="s">
        <v>301</v>
      </c>
      <c r="T9" s="246" t="s">
        <v>301</v>
      </c>
      <c r="U9" s="246" t="s">
        <v>172</v>
      </c>
      <c r="V9" s="246" t="s">
        <v>0</v>
      </c>
    </row>
    <row r="10" spans="2:22" x14ac:dyDescent="0.2">
      <c r="B10" s="246">
        <v>2</v>
      </c>
      <c r="D10" s="44" t="s">
        <v>18</v>
      </c>
      <c r="E10" s="565">
        <v>8648056</v>
      </c>
      <c r="F10" s="33">
        <f>+E10/$E$17</f>
        <v>0.42033530953159554</v>
      </c>
      <c r="G10" s="26">
        <f t="shared" ref="G10:G15" si="0">+F10*$G$17</f>
        <v>8773235.6159016266</v>
      </c>
      <c r="H10" s="28">
        <f>H$39</f>
        <v>0.23672000000000001</v>
      </c>
      <c r="I10" s="25">
        <f t="shared" ref="I10:I15" si="1">ROUND(G10*H10,0)</f>
        <v>2076800</v>
      </c>
      <c r="K10" s="25">
        <f>ROUND(I10*$J$48,0)</f>
        <v>14587</v>
      </c>
      <c r="L10" s="28">
        <f>L29</f>
        <v>1.66E-3</v>
      </c>
      <c r="M10" s="25">
        <f>G10*L10</f>
        <v>14563.571122396701</v>
      </c>
      <c r="P10" s="44" t="s">
        <v>18</v>
      </c>
      <c r="Q10" s="60">
        <f>'Exh JDT-5 (JDT-INTRPL-RD)'!H128</f>
        <v>0.20754</v>
      </c>
      <c r="R10" s="60">
        <f>'Margin Revenue'!$H$25</f>
        <v>3.7699999999999999E-3</v>
      </c>
      <c r="S10" s="60">
        <f>'Exh JDT-5 (JDT-MYRP)'!H203</f>
        <v>-9.1E-4</v>
      </c>
      <c r="T10" s="60">
        <f>'Exh JDT-5 (JDT-MYRP)'!I203</f>
        <v>2.6460000000000001E-2</v>
      </c>
      <c r="U10" s="60">
        <f>'Margin Revenue'!$L$25</f>
        <v>-1.3999999999999999E-4</v>
      </c>
      <c r="V10" s="43">
        <f>SUM(Q10:U10)</f>
        <v>0.23672000000000001</v>
      </c>
    </row>
    <row r="11" spans="2:22" x14ac:dyDescent="0.2">
      <c r="B11" s="246">
        <v>3</v>
      </c>
      <c r="D11" s="44" t="s">
        <v>17</v>
      </c>
      <c r="E11" s="565">
        <v>5071669</v>
      </c>
      <c r="F11" s="33">
        <f t="shared" ref="F11:F15" si="2">+E11/$E$17</f>
        <v>0.24650644710866784</v>
      </c>
      <c r="G11" s="26">
        <f t="shared" si="0"/>
        <v>5145080.8254322344</v>
      </c>
      <c r="H11" s="28">
        <f>H$40</f>
        <v>0.14448</v>
      </c>
      <c r="I11" s="25">
        <f t="shared" si="1"/>
        <v>743361</v>
      </c>
      <c r="K11" s="25">
        <f t="shared" ref="K11:K15" si="3">ROUND(I11*$J$48,0)</f>
        <v>5221</v>
      </c>
      <c r="L11" s="28">
        <f>L30</f>
        <v>1.01E-3</v>
      </c>
      <c r="M11" s="25">
        <f>G11*L11</f>
        <v>5196.5316336865571</v>
      </c>
      <c r="P11" s="44" t="s">
        <v>17</v>
      </c>
      <c r="Q11" s="60">
        <f>'Exh JDT-5 (JDT-INTRPL-RD)'!H129</f>
        <v>0.12540999999999999</v>
      </c>
      <c r="R11" s="60">
        <f>'Margin Revenue'!$H$25</f>
        <v>3.7699999999999999E-3</v>
      </c>
      <c r="S11" s="60">
        <f>'Exh JDT-5 (JDT-MYRP)'!H204</f>
        <v>-5.5000000000000003E-4</v>
      </c>
      <c r="T11" s="60">
        <f>'Exh JDT-5 (JDT-MYRP)'!I204</f>
        <v>1.5990000000000001E-2</v>
      </c>
      <c r="U11" s="60">
        <f>'Margin Revenue'!$L$25</f>
        <v>-1.3999999999999999E-4</v>
      </c>
      <c r="V11" s="43">
        <f t="shared" ref="V11:V15" si="4">SUM(Q11:U11)</f>
        <v>0.14448</v>
      </c>
    </row>
    <row r="12" spans="2:22" x14ac:dyDescent="0.2">
      <c r="B12" s="246">
        <v>4</v>
      </c>
      <c r="D12" s="44" t="s">
        <v>16</v>
      </c>
      <c r="E12" s="565">
        <v>4417039</v>
      </c>
      <c r="F12" s="33">
        <f t="shared" si="2"/>
        <v>0.2146884172903285</v>
      </c>
      <c r="G12" s="26">
        <f t="shared" si="0"/>
        <v>4480975.1314776987</v>
      </c>
      <c r="H12" s="28">
        <f>H$41</f>
        <v>9.3259999999999996E-2</v>
      </c>
      <c r="I12" s="25">
        <f t="shared" si="1"/>
        <v>417896</v>
      </c>
      <c r="K12" s="25">
        <f t="shared" si="3"/>
        <v>2935</v>
      </c>
      <c r="L12" s="28"/>
      <c r="P12" s="44" t="s">
        <v>16</v>
      </c>
      <c r="Q12" s="60">
        <f>'Exh JDT-5 (JDT-INTRPL-RD)'!H130</f>
        <v>7.9810000000000006E-2</v>
      </c>
      <c r="R12" s="60">
        <f>'Margin Revenue'!$H$25</f>
        <v>3.7699999999999999E-3</v>
      </c>
      <c r="S12" s="60">
        <f>'Exh JDT-5 (JDT-MYRP)'!H205</f>
        <v>-3.5E-4</v>
      </c>
      <c r="T12" s="60">
        <f>'Exh JDT-5 (JDT-MYRP)'!I205</f>
        <v>1.017E-2</v>
      </c>
      <c r="U12" s="60">
        <f>'Margin Revenue'!$L$25</f>
        <v>-1.3999999999999999E-4</v>
      </c>
      <c r="V12" s="43">
        <f t="shared" si="4"/>
        <v>9.3259999999999996E-2</v>
      </c>
    </row>
    <row r="13" spans="2:22" x14ac:dyDescent="0.2">
      <c r="B13" s="246">
        <v>5</v>
      </c>
      <c r="D13" s="44" t="s">
        <v>15</v>
      </c>
      <c r="E13" s="565">
        <v>1867245</v>
      </c>
      <c r="F13" s="33">
        <f t="shared" si="2"/>
        <v>9.075669781119873E-2</v>
      </c>
      <c r="G13" s="26">
        <f t="shared" si="0"/>
        <v>1894273.1566047019</v>
      </c>
      <c r="H13" s="28">
        <f>H$42</f>
        <v>6.1100000000000002E-2</v>
      </c>
      <c r="I13" s="25">
        <f t="shared" si="1"/>
        <v>115740</v>
      </c>
      <c r="K13" s="25">
        <f t="shared" si="3"/>
        <v>813</v>
      </c>
      <c r="L13" s="28"/>
      <c r="P13" s="44" t="s">
        <v>15</v>
      </c>
      <c r="Q13" s="60">
        <f>'Exh JDT-5 (JDT-INTRPL-RD)'!H131</f>
        <v>5.117E-2</v>
      </c>
      <c r="R13" s="60">
        <f>'Margin Revenue'!$H$25</f>
        <v>3.7699999999999999E-3</v>
      </c>
      <c r="S13" s="60">
        <f>'Exh JDT-5 (JDT-MYRP)'!H206</f>
        <v>-2.2000000000000001E-4</v>
      </c>
      <c r="T13" s="60">
        <f>'Exh JDT-5 (JDT-MYRP)'!I206</f>
        <v>6.5199999999999998E-3</v>
      </c>
      <c r="U13" s="60">
        <f>'Margin Revenue'!$L$25</f>
        <v>-1.3999999999999999E-4</v>
      </c>
      <c r="V13" s="43">
        <f t="shared" si="4"/>
        <v>6.1100000000000002E-2</v>
      </c>
    </row>
    <row r="14" spans="2:22" x14ac:dyDescent="0.2">
      <c r="B14" s="246">
        <v>6</v>
      </c>
      <c r="D14" s="44" t="s">
        <v>14</v>
      </c>
      <c r="E14" s="565">
        <v>570175</v>
      </c>
      <c r="F14" s="33">
        <f t="shared" si="2"/>
        <v>2.7713128258209416E-2</v>
      </c>
      <c r="G14" s="26">
        <f t="shared" si="0"/>
        <v>578428.21754353924</v>
      </c>
      <c r="H14" s="28">
        <f>H$43</f>
        <v>4.5000000000000005E-2</v>
      </c>
      <c r="I14" s="25">
        <f t="shared" si="1"/>
        <v>26029</v>
      </c>
      <c r="K14" s="25">
        <f t="shared" si="3"/>
        <v>183</v>
      </c>
      <c r="L14" s="28"/>
      <c r="P14" s="44" t="s">
        <v>14</v>
      </c>
      <c r="Q14" s="60">
        <f>'Exh JDT-5 (JDT-INTRPL-RD)'!H132</f>
        <v>3.6830000000000002E-2</v>
      </c>
      <c r="R14" s="60">
        <f>'Margin Revenue'!$H$25</f>
        <v>3.7699999999999999E-3</v>
      </c>
      <c r="S14" s="60">
        <f>'Exh JDT-5 (JDT-MYRP)'!H207</f>
        <v>-1.6000000000000001E-4</v>
      </c>
      <c r="T14" s="60">
        <f>'Exh JDT-5 (JDT-MYRP)'!I207</f>
        <v>4.7000000000000002E-3</v>
      </c>
      <c r="U14" s="60">
        <f>'Margin Revenue'!$L$25</f>
        <v>-1.3999999999999999E-4</v>
      </c>
      <c r="V14" s="43">
        <f t="shared" si="4"/>
        <v>4.5000000000000005E-2</v>
      </c>
    </row>
    <row r="15" spans="2:22" x14ac:dyDescent="0.2">
      <c r="B15" s="246">
        <v>7</v>
      </c>
      <c r="D15" s="44" t="s">
        <v>19</v>
      </c>
      <c r="E15" s="565">
        <v>0</v>
      </c>
      <c r="F15" s="33">
        <f t="shared" si="2"/>
        <v>0</v>
      </c>
      <c r="G15" s="26">
        <f t="shared" si="0"/>
        <v>0</v>
      </c>
      <c r="H15" s="28">
        <f>H$44</f>
        <v>2.9219999999999999E-2</v>
      </c>
      <c r="I15" s="25">
        <f t="shared" si="1"/>
        <v>0</v>
      </c>
      <c r="K15" s="25">
        <f t="shared" si="3"/>
        <v>0</v>
      </c>
      <c r="L15" s="28"/>
      <c r="P15" s="44" t="s">
        <v>19</v>
      </c>
      <c r="Q15" s="60">
        <f>'Exh JDT-5 (JDT-INTRPL-RD)'!H133</f>
        <v>2.4830000000000001E-2</v>
      </c>
      <c r="R15" s="60">
        <f>'Margin Revenue'!$H$25</f>
        <v>3.7699999999999999E-3</v>
      </c>
      <c r="S15" s="60">
        <f>'Exh JDT-5 (JDT-MYRP)'!H208</f>
        <v>-3.0000000000000001E-5</v>
      </c>
      <c r="T15" s="60">
        <f>'Exh JDT-5 (JDT-MYRP)'!I208</f>
        <v>7.9000000000000001E-4</v>
      </c>
      <c r="U15" s="60">
        <f>'Margin Revenue'!$L$25</f>
        <v>-1.3999999999999999E-4</v>
      </c>
      <c r="V15" s="43">
        <f t="shared" si="4"/>
        <v>2.9219999999999999E-2</v>
      </c>
    </row>
    <row r="16" spans="2:22" x14ac:dyDescent="0.2">
      <c r="B16" s="246">
        <v>8</v>
      </c>
      <c r="D16" s="44" t="s">
        <v>48</v>
      </c>
      <c r="E16" s="30">
        <f>SUM(E12:E15)</f>
        <v>6854459</v>
      </c>
      <c r="F16" s="274"/>
      <c r="G16" s="30">
        <f>SUM(G12:G15)</f>
        <v>6953676.5056259399</v>
      </c>
      <c r="H16" s="28"/>
      <c r="I16" s="29">
        <f>SUM(I12:I15)</f>
        <v>559665</v>
      </c>
      <c r="K16" s="29">
        <f>SUM(K12:K15)</f>
        <v>3931</v>
      </c>
      <c r="L16" s="28">
        <f>L35</f>
        <v>5.5000000000000003E-4</v>
      </c>
      <c r="M16" s="27">
        <f>G16*L16</f>
        <v>3824.5220780942673</v>
      </c>
      <c r="O16" s="28"/>
    </row>
    <row r="17" spans="2:14" x14ac:dyDescent="0.2">
      <c r="B17" s="246">
        <v>9</v>
      </c>
      <c r="D17" s="44" t="s">
        <v>0</v>
      </c>
      <c r="E17" s="275">
        <f>SUM(E10:E15)</f>
        <v>20574184</v>
      </c>
      <c r="F17" s="32">
        <f>SUM(F10:F15)</f>
        <v>1</v>
      </c>
      <c r="G17" s="57">
        <f>'Margin Revenue'!N19</f>
        <v>20871992.946959801</v>
      </c>
      <c r="H17" s="28"/>
      <c r="I17" s="29">
        <f>SUM(I10:I15)</f>
        <v>3379826</v>
      </c>
      <c r="J17" s="53">
        <f>Rates!I19</f>
        <v>21114.385790262793</v>
      </c>
      <c r="K17" s="29">
        <f>SUM(K10:K15)</f>
        <v>23739</v>
      </c>
      <c r="M17" s="29">
        <f>SUM(M10:M16)</f>
        <v>23584.624834177528</v>
      </c>
      <c r="N17" s="25">
        <f>M17-J17</f>
        <v>2470.2390439147348</v>
      </c>
    </row>
    <row r="18" spans="2:14" x14ac:dyDescent="0.2">
      <c r="B18" s="246"/>
      <c r="E18" s="58"/>
      <c r="F18" s="58"/>
      <c r="G18" s="36"/>
      <c r="H18" s="28"/>
    </row>
    <row r="19" spans="2:14" x14ac:dyDescent="0.2">
      <c r="B19" s="246">
        <v>10</v>
      </c>
      <c r="C19" s="44" t="s">
        <v>50</v>
      </c>
      <c r="E19" s="58"/>
      <c r="F19" s="58"/>
      <c r="G19" s="36"/>
      <c r="H19" s="28"/>
    </row>
    <row r="20" spans="2:14" x14ac:dyDescent="0.2">
      <c r="B20" s="246">
        <v>11</v>
      </c>
      <c r="D20" s="44" t="s">
        <v>18</v>
      </c>
      <c r="E20" s="565">
        <v>1200000</v>
      </c>
      <c r="F20" s="33">
        <f t="shared" ref="F20:F25" si="5">+E20/$E$26</f>
        <v>5.4984692261674351E-2</v>
      </c>
      <c r="G20" s="26">
        <f t="shared" ref="G20:G25" si="6">+F20*$G$26</f>
        <v>1184420.7770205315</v>
      </c>
      <c r="H20" s="28">
        <f>H$39</f>
        <v>0.23672000000000001</v>
      </c>
      <c r="I20" s="25">
        <f t="shared" ref="I20:I25" si="7">ROUND(G20*H20,0)</f>
        <v>280376</v>
      </c>
      <c r="K20" s="25">
        <f t="shared" ref="K20:K25" si="8">ROUND(I20*$J$48,0)</f>
        <v>1969</v>
      </c>
      <c r="L20" s="28">
        <f t="shared" ref="L20:L25" si="9">L39</f>
        <v>1.66E-3</v>
      </c>
      <c r="M20" s="25">
        <f t="shared" ref="M20:M25" si="10">G20*L20</f>
        <v>1966.1384898540823</v>
      </c>
    </row>
    <row r="21" spans="2:14" x14ac:dyDescent="0.2">
      <c r="B21" s="246">
        <v>12</v>
      </c>
      <c r="D21" s="44" t="s">
        <v>17</v>
      </c>
      <c r="E21" s="565">
        <v>1200000</v>
      </c>
      <c r="F21" s="33">
        <f t="shared" si="5"/>
        <v>5.4984692261674351E-2</v>
      </c>
      <c r="G21" s="26">
        <f t="shared" si="6"/>
        <v>1184420.7770205315</v>
      </c>
      <c r="H21" s="28">
        <f>H$40</f>
        <v>0.14448</v>
      </c>
      <c r="I21" s="25">
        <f t="shared" si="7"/>
        <v>171125</v>
      </c>
      <c r="K21" s="25">
        <f t="shared" si="8"/>
        <v>1202</v>
      </c>
      <c r="L21" s="28">
        <f t="shared" si="9"/>
        <v>1.01E-3</v>
      </c>
      <c r="M21" s="25">
        <f t="shared" si="10"/>
        <v>1196.2649847907369</v>
      </c>
    </row>
    <row r="22" spans="2:14" x14ac:dyDescent="0.2">
      <c r="B22" s="246">
        <v>13</v>
      </c>
      <c r="D22" s="44" t="s">
        <v>16</v>
      </c>
      <c r="E22" s="565">
        <v>2248939</v>
      </c>
      <c r="F22" s="33">
        <f t="shared" si="5"/>
        <v>0.10304768235856471</v>
      </c>
      <c r="G22" s="26">
        <f t="shared" si="6"/>
        <v>2219741.7315431475</v>
      </c>
      <c r="H22" s="28">
        <f>H$41</f>
        <v>9.3259999999999996E-2</v>
      </c>
      <c r="I22" s="25">
        <f t="shared" si="7"/>
        <v>207013</v>
      </c>
      <c r="K22" s="25">
        <f t="shared" si="8"/>
        <v>1454</v>
      </c>
      <c r="L22" s="28">
        <f t="shared" si="9"/>
        <v>6.6E-4</v>
      </c>
      <c r="M22" s="25">
        <f t="shared" si="10"/>
        <v>1465.0295428184772</v>
      </c>
    </row>
    <row r="23" spans="2:14" x14ac:dyDescent="0.2">
      <c r="B23" s="246">
        <v>14</v>
      </c>
      <c r="D23" s="44" t="s">
        <v>15</v>
      </c>
      <c r="E23" s="565">
        <v>3145551</v>
      </c>
      <c r="F23" s="33">
        <f t="shared" si="5"/>
        <v>0.14413096144033502</v>
      </c>
      <c r="G23" s="26">
        <f t="shared" si="6"/>
        <v>3104713.2996480921</v>
      </c>
      <c r="H23" s="28">
        <f>H$42</f>
        <v>6.1100000000000002E-2</v>
      </c>
      <c r="I23" s="25">
        <f t="shared" si="7"/>
        <v>189698</v>
      </c>
      <c r="K23" s="25">
        <f t="shared" si="8"/>
        <v>1332</v>
      </c>
      <c r="L23" s="28">
        <f t="shared" si="9"/>
        <v>4.2999999999999999E-4</v>
      </c>
      <c r="M23" s="25">
        <f t="shared" si="10"/>
        <v>1335.0267188486796</v>
      </c>
    </row>
    <row r="24" spans="2:14" x14ac:dyDescent="0.2">
      <c r="B24" s="246">
        <v>15</v>
      </c>
      <c r="D24" s="44" t="s">
        <v>14</v>
      </c>
      <c r="E24" s="565">
        <v>3837529</v>
      </c>
      <c r="F24" s="33">
        <f t="shared" si="5"/>
        <v>0.17583779259187576</v>
      </c>
      <c r="G24" s="26">
        <f t="shared" si="6"/>
        <v>3787707.5666823532</v>
      </c>
      <c r="H24" s="28">
        <f>H$43</f>
        <v>4.5000000000000005E-2</v>
      </c>
      <c r="I24" s="25">
        <f t="shared" si="7"/>
        <v>170447</v>
      </c>
      <c r="K24" s="25">
        <f t="shared" si="8"/>
        <v>1197</v>
      </c>
      <c r="L24" s="28">
        <f t="shared" si="9"/>
        <v>3.2000000000000003E-4</v>
      </c>
      <c r="M24" s="25">
        <f t="shared" si="10"/>
        <v>1212.0664213383532</v>
      </c>
    </row>
    <row r="25" spans="2:14" x14ac:dyDescent="0.2">
      <c r="B25" s="246">
        <v>16</v>
      </c>
      <c r="D25" s="44" t="s">
        <v>19</v>
      </c>
      <c r="E25" s="566">
        <v>10192237</v>
      </c>
      <c r="F25" s="34">
        <f t="shared" si="5"/>
        <v>0.46701417908587584</v>
      </c>
      <c r="G25" s="26">
        <f t="shared" si="6"/>
        <v>10059914.389264509</v>
      </c>
      <c r="H25" s="28">
        <f>H$44</f>
        <v>2.9219999999999999E-2</v>
      </c>
      <c r="I25" s="25">
        <f t="shared" si="7"/>
        <v>293951</v>
      </c>
      <c r="K25" s="25">
        <f t="shared" si="8"/>
        <v>2065</v>
      </c>
      <c r="L25" s="28">
        <f t="shared" si="9"/>
        <v>2.1000000000000001E-4</v>
      </c>
      <c r="M25" s="25">
        <f t="shared" si="10"/>
        <v>2112.5820217455471</v>
      </c>
    </row>
    <row r="26" spans="2:14" x14ac:dyDescent="0.2">
      <c r="B26" s="246">
        <v>17</v>
      </c>
      <c r="D26" s="44" t="s">
        <v>0</v>
      </c>
      <c r="E26" s="58">
        <f>SUM(E20:E25)</f>
        <v>21824256</v>
      </c>
      <c r="F26" s="33">
        <f>SUM(F20:F25)</f>
        <v>1</v>
      </c>
      <c r="G26" s="57">
        <f>'Margin Revenue'!N20</f>
        <v>21540918.541179165</v>
      </c>
      <c r="H26" s="28"/>
      <c r="I26" s="29">
        <f>SUM(I20:I25)</f>
        <v>1312610</v>
      </c>
      <c r="J26" s="53">
        <f>Rates!I30</f>
        <v>12725.830340034348</v>
      </c>
      <c r="K26" s="29">
        <f>SUM(K20:K25)</f>
        <v>9219</v>
      </c>
      <c r="M26" s="29">
        <f>SUM(M20:M25)</f>
        <v>9287.1081793958765</v>
      </c>
      <c r="N26" s="25">
        <f>M26-J26</f>
        <v>-3438.7221606384719</v>
      </c>
    </row>
    <row r="27" spans="2:14" x14ac:dyDescent="0.2">
      <c r="B27" s="246"/>
      <c r="E27" s="58"/>
      <c r="F27" s="58"/>
      <c r="G27" s="5"/>
      <c r="H27" s="28"/>
      <c r="I27" s="8"/>
      <c r="J27" s="4"/>
      <c r="K27" s="8"/>
      <c r="M27" s="8"/>
    </row>
    <row r="28" spans="2:14" x14ac:dyDescent="0.2">
      <c r="B28" s="246">
        <f>B26+1</f>
        <v>18</v>
      </c>
      <c r="C28" s="44" t="s">
        <v>49</v>
      </c>
      <c r="E28" s="58"/>
      <c r="F28" s="58"/>
      <c r="G28" s="5"/>
      <c r="H28" s="28"/>
      <c r="I28" s="8"/>
      <c r="J28" s="4"/>
      <c r="K28" s="8"/>
      <c r="M28" s="8"/>
    </row>
    <row r="29" spans="2:14" x14ac:dyDescent="0.2">
      <c r="B29" s="246">
        <f t="shared" ref="B29:B36" si="11">B28+1</f>
        <v>19</v>
      </c>
      <c r="D29" s="44" t="s">
        <v>18</v>
      </c>
      <c r="E29" s="565">
        <v>23616796</v>
      </c>
      <c r="F29" s="33">
        <f t="shared" ref="F29:F34" si="12">+E29/$E$36</f>
        <v>0.35201829765688414</v>
      </c>
      <c r="G29" s="26">
        <f t="shared" ref="G29:G34" si="13">+F29*$G$36</f>
        <v>23538157.823504049</v>
      </c>
      <c r="H29" s="28">
        <f>H$39</f>
        <v>0.23672000000000001</v>
      </c>
      <c r="I29" s="25">
        <f t="shared" ref="I29:I34" si="14">ROUND(G29*H29,0)</f>
        <v>5571953</v>
      </c>
      <c r="J29" s="4"/>
      <c r="K29" s="25">
        <f t="shared" ref="K29:K34" si="15">ROUND(I29*$J$48,0)</f>
        <v>39137</v>
      </c>
      <c r="L29" s="28">
        <f>L39</f>
        <v>1.66E-3</v>
      </c>
      <c r="M29" s="25">
        <f>G29*L29</f>
        <v>39073.34198701672</v>
      </c>
    </row>
    <row r="30" spans="2:14" x14ac:dyDescent="0.2">
      <c r="B30" s="246">
        <f t="shared" si="11"/>
        <v>20</v>
      </c>
      <c r="D30" s="44" t="s">
        <v>17</v>
      </c>
      <c r="E30" s="565">
        <v>16279525</v>
      </c>
      <c r="F30" s="33">
        <f t="shared" si="12"/>
        <v>0.24265318111579093</v>
      </c>
      <c r="G30" s="26">
        <f t="shared" si="13"/>
        <v>16225318.148222974</v>
      </c>
      <c r="H30" s="28">
        <f>H$40</f>
        <v>0.14448</v>
      </c>
      <c r="I30" s="25">
        <f t="shared" si="14"/>
        <v>2344234</v>
      </c>
      <c r="J30" s="4"/>
      <c r="K30" s="25">
        <f t="shared" si="15"/>
        <v>16466</v>
      </c>
      <c r="L30" s="28">
        <f>L40</f>
        <v>1.01E-3</v>
      </c>
      <c r="M30" s="25">
        <f>G30*L30</f>
        <v>16387.571329705203</v>
      </c>
    </row>
    <row r="31" spans="2:14" x14ac:dyDescent="0.2">
      <c r="B31" s="246">
        <f t="shared" si="11"/>
        <v>21</v>
      </c>
      <c r="D31" s="44" t="s">
        <v>16</v>
      </c>
      <c r="E31" s="565">
        <v>16126561</v>
      </c>
      <c r="F31" s="33">
        <f t="shared" si="12"/>
        <v>0.24037318822925427</v>
      </c>
      <c r="G31" s="26">
        <f t="shared" si="13"/>
        <v>16072863.481073609</v>
      </c>
      <c r="H31" s="28">
        <f>H$41</f>
        <v>9.3259999999999996E-2</v>
      </c>
      <c r="I31" s="25">
        <f t="shared" si="14"/>
        <v>1498955</v>
      </c>
      <c r="J31" s="4"/>
      <c r="K31" s="25">
        <f t="shared" si="15"/>
        <v>10529</v>
      </c>
      <c r="M31" s="8"/>
    </row>
    <row r="32" spans="2:14" x14ac:dyDescent="0.2">
      <c r="B32" s="246">
        <f t="shared" si="11"/>
        <v>22</v>
      </c>
      <c r="D32" s="44" t="s">
        <v>15</v>
      </c>
      <c r="E32" s="565">
        <v>8289679</v>
      </c>
      <c r="F32" s="33">
        <f t="shared" si="12"/>
        <v>0.12356115917256608</v>
      </c>
      <c r="G32" s="26">
        <f t="shared" si="13"/>
        <v>8262076.3886933364</v>
      </c>
      <c r="H32" s="28">
        <f>H$42</f>
        <v>6.1100000000000002E-2</v>
      </c>
      <c r="I32" s="25">
        <f t="shared" si="14"/>
        <v>504813</v>
      </c>
      <c r="J32" s="4"/>
      <c r="K32" s="25">
        <f t="shared" si="15"/>
        <v>3546</v>
      </c>
      <c r="M32" s="8"/>
    </row>
    <row r="33" spans="2:16" x14ac:dyDescent="0.2">
      <c r="B33" s="246">
        <f t="shared" si="11"/>
        <v>23</v>
      </c>
      <c r="D33" s="44" t="s">
        <v>14</v>
      </c>
      <c r="E33" s="565">
        <v>2523943</v>
      </c>
      <c r="F33" s="33">
        <f t="shared" si="12"/>
        <v>3.7620434128448635E-2</v>
      </c>
      <c r="G33" s="26">
        <f t="shared" si="13"/>
        <v>2515538.8847635505</v>
      </c>
      <c r="H33" s="28">
        <f>H$43</f>
        <v>4.5000000000000005E-2</v>
      </c>
      <c r="I33" s="25">
        <f t="shared" si="14"/>
        <v>113199</v>
      </c>
      <c r="J33" s="4"/>
      <c r="K33" s="25">
        <f t="shared" si="15"/>
        <v>795</v>
      </c>
      <c r="M33" s="8"/>
    </row>
    <row r="34" spans="2:16" x14ac:dyDescent="0.2">
      <c r="B34" s="246">
        <f t="shared" si="11"/>
        <v>24</v>
      </c>
      <c r="D34" s="44" t="s">
        <v>19</v>
      </c>
      <c r="E34" s="565">
        <v>253179</v>
      </c>
      <c r="F34" s="33">
        <f t="shared" si="12"/>
        <v>3.7737396970559541E-3</v>
      </c>
      <c r="G34" s="26">
        <f t="shared" si="13"/>
        <v>252335.97561654559</v>
      </c>
      <c r="H34" s="28">
        <f>H$44</f>
        <v>2.9219999999999999E-2</v>
      </c>
      <c r="I34" s="25">
        <f t="shared" si="14"/>
        <v>7373</v>
      </c>
      <c r="J34" s="4"/>
      <c r="K34" s="25">
        <f t="shared" si="15"/>
        <v>52</v>
      </c>
      <c r="M34" s="8"/>
    </row>
    <row r="35" spans="2:16" x14ac:dyDescent="0.2">
      <c r="B35" s="246">
        <f t="shared" si="11"/>
        <v>25</v>
      </c>
      <c r="D35" s="44" t="s">
        <v>48</v>
      </c>
      <c r="E35" s="59">
        <f>SUM(E31:E34)</f>
        <v>27193362</v>
      </c>
      <c r="F35" s="62"/>
      <c r="G35" s="59">
        <f>SUM(G31:G34)</f>
        <v>27102814.730147038</v>
      </c>
      <c r="H35" s="28"/>
      <c r="I35" s="27">
        <f>SUM(I31:I34)</f>
        <v>2124340</v>
      </c>
      <c r="K35" s="27">
        <f>SUM(K31:K34)</f>
        <v>14922</v>
      </c>
      <c r="L35" s="28">
        <f>ROUND((K35+K16)/(G35+G16),5)</f>
        <v>5.5000000000000003E-4</v>
      </c>
      <c r="M35" s="27">
        <f>G35*L35</f>
        <v>14906.548101580871</v>
      </c>
    </row>
    <row r="36" spans="2:16" x14ac:dyDescent="0.2">
      <c r="B36" s="246">
        <f t="shared" si="11"/>
        <v>26</v>
      </c>
      <c r="D36" s="44" t="s">
        <v>0</v>
      </c>
      <c r="E36" s="58">
        <f>SUM(E29:E34)</f>
        <v>67089683</v>
      </c>
      <c r="F36" s="33">
        <f>SUM(F29:F34)</f>
        <v>0.99999999999999989</v>
      </c>
      <c r="G36" s="57">
        <f>'Margin Revenue'!N24</f>
        <v>66866290.701874062</v>
      </c>
      <c r="H36" s="28"/>
      <c r="I36" s="8">
        <f>SUM(I29:I34)</f>
        <v>10040527</v>
      </c>
      <c r="J36" s="53">
        <f>Rates!I36</f>
        <v>63085.893660223315</v>
      </c>
      <c r="K36" s="8">
        <f>SUM(K29:K34)</f>
        <v>70525</v>
      </c>
      <c r="M36" s="29">
        <f>SUM(M29:M35)</f>
        <v>70367.461418302802</v>
      </c>
      <c r="N36" s="25">
        <f>M36-J36</f>
        <v>7281.5677580794872</v>
      </c>
    </row>
    <row r="37" spans="2:16" x14ac:dyDescent="0.2">
      <c r="B37" s="246"/>
      <c r="E37" s="58"/>
      <c r="F37" s="58"/>
      <c r="G37" s="5"/>
      <c r="H37" s="28"/>
      <c r="I37" s="8"/>
      <c r="J37" s="4"/>
      <c r="K37" s="8"/>
      <c r="M37" s="8"/>
    </row>
    <row r="38" spans="2:16" x14ac:dyDescent="0.2">
      <c r="B38" s="246">
        <f>B36+1</f>
        <v>27</v>
      </c>
      <c r="C38" s="44" t="s">
        <v>47</v>
      </c>
      <c r="E38" s="58"/>
      <c r="F38" s="58"/>
      <c r="G38" s="5"/>
      <c r="H38" s="28"/>
      <c r="I38" s="25"/>
      <c r="J38" s="4"/>
      <c r="K38" s="8"/>
      <c r="M38" s="8"/>
    </row>
    <row r="39" spans="2:16" x14ac:dyDescent="0.2">
      <c r="B39" s="246">
        <f t="shared" ref="B39:B45" si="16">B38+1</f>
        <v>28</v>
      </c>
      <c r="D39" s="44" t="s">
        <v>18</v>
      </c>
      <c r="E39" s="565">
        <v>2975000</v>
      </c>
      <c r="F39" s="33">
        <f t="shared" ref="F39:F44" si="17">+E39/$E$45</f>
        <v>3.1870374242824184E-2</v>
      </c>
      <c r="G39" s="26">
        <f t="shared" ref="G39:G44" si="18">+F39*$G$45</f>
        <v>3035477.9696629848</v>
      </c>
      <c r="H39" s="28">
        <f>V10</f>
        <v>0.23672000000000001</v>
      </c>
      <c r="I39" s="25">
        <f t="shared" ref="I39:I44" si="19">ROUND(G39*H39,0)</f>
        <v>718558</v>
      </c>
      <c r="J39" s="4"/>
      <c r="K39" s="25">
        <f t="shared" ref="K39:K44" si="20">ROUND(I39*$J$48,0)</f>
        <v>5047</v>
      </c>
      <c r="L39" s="28">
        <f t="shared" ref="L39:L44" si="21">ROUND(K39/G39,5)</f>
        <v>1.66E-3</v>
      </c>
      <c r="M39" s="25">
        <f t="shared" ref="M39:M44" si="22">G39*L39</f>
        <v>5038.893429640555</v>
      </c>
      <c r="P39" s="28"/>
    </row>
    <row r="40" spans="2:16" x14ac:dyDescent="0.2">
      <c r="B40" s="246">
        <f t="shared" si="16"/>
        <v>29</v>
      </c>
      <c r="D40" s="44" t="s">
        <v>17</v>
      </c>
      <c r="E40" s="565">
        <v>2975000</v>
      </c>
      <c r="F40" s="33">
        <f t="shared" si="17"/>
        <v>3.1870374242824184E-2</v>
      </c>
      <c r="G40" s="26">
        <f t="shared" si="18"/>
        <v>3035477.9696629848</v>
      </c>
      <c r="H40" s="28">
        <f t="shared" ref="H40:H44" si="23">V11</f>
        <v>0.14448</v>
      </c>
      <c r="I40" s="25">
        <f t="shared" si="19"/>
        <v>438566</v>
      </c>
      <c r="J40" s="4"/>
      <c r="K40" s="25">
        <f t="shared" si="20"/>
        <v>3080</v>
      </c>
      <c r="L40" s="28">
        <f t="shared" si="21"/>
        <v>1.01E-3</v>
      </c>
      <c r="M40" s="25">
        <f t="shared" si="22"/>
        <v>3065.8327493596148</v>
      </c>
      <c r="P40" s="28"/>
    </row>
    <row r="41" spans="2:16" x14ac:dyDescent="0.2">
      <c r="B41" s="246">
        <f t="shared" si="16"/>
        <v>30</v>
      </c>
      <c r="D41" s="44" t="s">
        <v>16</v>
      </c>
      <c r="E41" s="565">
        <v>5950000</v>
      </c>
      <c r="F41" s="33">
        <f t="shared" si="17"/>
        <v>6.3740748485648369E-2</v>
      </c>
      <c r="G41" s="26">
        <f t="shared" si="18"/>
        <v>6070955.9393259697</v>
      </c>
      <c r="H41" s="28">
        <f>V12</f>
        <v>9.3259999999999996E-2</v>
      </c>
      <c r="I41" s="25">
        <f t="shared" si="19"/>
        <v>566177</v>
      </c>
      <c r="J41" s="4"/>
      <c r="K41" s="25">
        <f t="shared" si="20"/>
        <v>3977</v>
      </c>
      <c r="L41" s="28">
        <f t="shared" si="21"/>
        <v>6.6E-4</v>
      </c>
      <c r="M41" s="25">
        <f t="shared" si="22"/>
        <v>4006.83091995514</v>
      </c>
      <c r="P41" s="28"/>
    </row>
    <row r="42" spans="2:16" x14ac:dyDescent="0.2">
      <c r="B42" s="246">
        <f t="shared" si="16"/>
        <v>31</v>
      </c>
      <c r="D42" s="44" t="s">
        <v>15</v>
      </c>
      <c r="E42" s="565">
        <v>11174541</v>
      </c>
      <c r="F42" s="33">
        <f t="shared" si="17"/>
        <v>0.11970984997034716</v>
      </c>
      <c r="G42" s="26">
        <f t="shared" si="18"/>
        <v>11401705.21902379</v>
      </c>
      <c r="H42" s="28">
        <f t="shared" si="23"/>
        <v>6.1100000000000002E-2</v>
      </c>
      <c r="I42" s="25">
        <f t="shared" si="19"/>
        <v>696644</v>
      </c>
      <c r="J42" s="4"/>
      <c r="K42" s="25">
        <f t="shared" si="20"/>
        <v>4893</v>
      </c>
      <c r="L42" s="28">
        <f t="shared" si="21"/>
        <v>4.2999999999999999E-4</v>
      </c>
      <c r="M42" s="25">
        <f t="shared" si="22"/>
        <v>4902.73324418023</v>
      </c>
      <c r="P42" s="28"/>
    </row>
    <row r="43" spans="2:16" x14ac:dyDescent="0.2">
      <c r="B43" s="246">
        <f t="shared" si="16"/>
        <v>32</v>
      </c>
      <c r="D43" s="44" t="s">
        <v>14</v>
      </c>
      <c r="E43" s="565">
        <v>25311434</v>
      </c>
      <c r="F43" s="33">
        <f t="shared" si="17"/>
        <v>0.27115457956388045</v>
      </c>
      <c r="G43" s="26">
        <f t="shared" si="18"/>
        <v>25825983.289942399</v>
      </c>
      <c r="H43" s="28">
        <f t="shared" si="23"/>
        <v>4.5000000000000005E-2</v>
      </c>
      <c r="I43" s="25">
        <f t="shared" si="19"/>
        <v>1162169</v>
      </c>
      <c r="J43" s="4"/>
      <c r="K43" s="25">
        <f t="shared" si="20"/>
        <v>8163</v>
      </c>
      <c r="L43" s="28">
        <f t="shared" si="21"/>
        <v>3.2000000000000003E-4</v>
      </c>
      <c r="M43" s="25">
        <f t="shared" si="22"/>
        <v>8264.3146527815679</v>
      </c>
      <c r="P43" s="28"/>
    </row>
    <row r="44" spans="2:16" x14ac:dyDescent="0.2">
      <c r="B44" s="246">
        <f t="shared" si="16"/>
        <v>33</v>
      </c>
      <c r="D44" s="44" t="s">
        <v>19</v>
      </c>
      <c r="E44" s="566">
        <v>44960905</v>
      </c>
      <c r="F44" s="34">
        <f t="shared" si="17"/>
        <v>0.48165407349447564</v>
      </c>
      <c r="G44" s="26">
        <f t="shared" si="18"/>
        <v>45874903.066759773</v>
      </c>
      <c r="H44" s="28">
        <f t="shared" si="23"/>
        <v>2.9219999999999999E-2</v>
      </c>
      <c r="I44" s="25">
        <f t="shared" si="19"/>
        <v>1340465</v>
      </c>
      <c r="J44" s="4"/>
      <c r="K44" s="24">
        <f t="shared" si="20"/>
        <v>9415</v>
      </c>
      <c r="L44" s="28">
        <f t="shared" si="21"/>
        <v>2.1000000000000001E-4</v>
      </c>
      <c r="M44" s="24">
        <f t="shared" si="22"/>
        <v>9633.7296440195532</v>
      </c>
      <c r="P44" s="28"/>
    </row>
    <row r="45" spans="2:16" x14ac:dyDescent="0.2">
      <c r="B45" s="246">
        <f t="shared" si="16"/>
        <v>34</v>
      </c>
      <c r="D45" s="44" t="s">
        <v>0</v>
      </c>
      <c r="E45" s="58">
        <f>SUM(E39:E44)</f>
        <v>93346880</v>
      </c>
      <c r="F45" s="33">
        <f>SUM(F39:F44)</f>
        <v>1</v>
      </c>
      <c r="G45" s="57">
        <f>'Margin Revenue'!N25</f>
        <v>95244503.454377905</v>
      </c>
      <c r="H45" s="28"/>
      <c r="I45" s="29">
        <f>SUM(I39:I44)</f>
        <v>4922579</v>
      </c>
      <c r="J45" s="53">
        <f>Rates!I45</f>
        <v>41133.231345334221</v>
      </c>
      <c r="K45" s="29">
        <f>SUM(K39:K44)</f>
        <v>34575</v>
      </c>
      <c r="M45" s="8">
        <f>SUM(M39:M44)</f>
        <v>34912.334639936656</v>
      </c>
      <c r="N45" s="25">
        <f>M45-J45</f>
        <v>-6220.8967053975648</v>
      </c>
    </row>
    <row r="46" spans="2:16" x14ac:dyDescent="0.2">
      <c r="B46" s="246"/>
      <c r="E46" s="58"/>
      <c r="F46" s="58"/>
      <c r="G46" s="5"/>
      <c r="I46" s="8"/>
      <c r="J46" s="54"/>
      <c r="K46" s="8"/>
      <c r="M46" s="8"/>
    </row>
    <row r="47" spans="2:16" x14ac:dyDescent="0.2">
      <c r="B47" s="246"/>
      <c r="C47" s="44" t="s">
        <v>0</v>
      </c>
      <c r="E47" s="58">
        <f>E17+E26+E36+E45</f>
        <v>202835003</v>
      </c>
      <c r="F47" s="58"/>
      <c r="G47" s="58">
        <f>G17+G26+G36+G45</f>
        <v>204523705.64439094</v>
      </c>
      <c r="I47" s="8">
        <f>I17+I26+I36+I45</f>
        <v>19655542</v>
      </c>
      <c r="J47" s="8">
        <f>J17+J26+J36+J45</f>
        <v>138059.34113585466</v>
      </c>
      <c r="K47" s="8">
        <f>K17+K26+K36+K45</f>
        <v>138058</v>
      </c>
      <c r="M47" s="8">
        <f>M17+M26+M36+M45</f>
        <v>138151.52907181287</v>
      </c>
      <c r="N47" s="23">
        <f>M47-J47</f>
        <v>92.187935958208982</v>
      </c>
    </row>
    <row r="48" spans="2:16" x14ac:dyDescent="0.2">
      <c r="B48" s="246"/>
      <c r="C48" s="44" t="s">
        <v>46</v>
      </c>
      <c r="E48" s="257"/>
      <c r="F48" s="257"/>
      <c r="G48" s="5"/>
      <c r="I48" s="8"/>
      <c r="J48" s="55">
        <f>J47/I47</f>
        <v>7.0239396672884752E-3</v>
      </c>
      <c r="K48" s="8"/>
      <c r="M48" s="8"/>
      <c r="N48" s="51">
        <f>N47/K47</f>
        <v>6.6774787377920134E-4</v>
      </c>
    </row>
    <row r="49" spans="2:14" x14ac:dyDescent="0.2">
      <c r="B49" s="246"/>
      <c r="E49" s="257"/>
      <c r="F49" s="257"/>
      <c r="G49" s="5"/>
      <c r="I49" s="8"/>
      <c r="J49" s="55"/>
      <c r="K49" s="8"/>
      <c r="M49" s="8"/>
      <c r="N49" s="51"/>
    </row>
    <row r="50" spans="2:14" x14ac:dyDescent="0.2">
      <c r="B50" s="246"/>
    </row>
    <row r="51" spans="2:14" ht="12.75" customHeight="1" x14ac:dyDescent="0.2">
      <c r="B51" s="276" t="s">
        <v>30</v>
      </c>
      <c r="C51" s="271" t="s">
        <v>319</v>
      </c>
    </row>
    <row r="52" spans="2:14" ht="12.75" customHeight="1" x14ac:dyDescent="0.2">
      <c r="B52" s="270" t="s">
        <v>29</v>
      </c>
      <c r="C52" s="271" t="str">
        <f>'Margin Revenue'!C37</f>
        <v>Weather normalized volume for the year ending December 31, 2022 from the 2022 Commission Basis Report (CBR).</v>
      </c>
      <c r="D52" s="277"/>
      <c r="E52" s="277"/>
      <c r="F52" s="277"/>
      <c r="G52" s="277"/>
      <c r="H52" s="277"/>
      <c r="I52" s="277"/>
      <c r="J52" s="277"/>
      <c r="K52" s="277"/>
      <c r="L52" s="277"/>
      <c r="M52" s="277"/>
    </row>
    <row r="53" spans="2:14" ht="12.6" customHeight="1" x14ac:dyDescent="0.2">
      <c r="B53" s="270" t="s">
        <v>28</v>
      </c>
      <c r="C53" s="12" t="s">
        <v>320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</row>
    <row r="54" spans="2:14" ht="13.5" thickBot="1" x14ac:dyDescent="0.25"/>
    <row r="55" spans="2:14" x14ac:dyDescent="0.2">
      <c r="G55" s="22" t="s">
        <v>13</v>
      </c>
    </row>
    <row r="56" spans="2:14" x14ac:dyDescent="0.2">
      <c r="G56" s="21">
        <f>G17-SUM(G10:G15)</f>
        <v>0</v>
      </c>
    </row>
    <row r="57" spans="2:14" x14ac:dyDescent="0.2">
      <c r="G57" s="21">
        <f>G26-SUM(G20:G25)</f>
        <v>0</v>
      </c>
    </row>
    <row r="58" spans="2:14" x14ac:dyDescent="0.2">
      <c r="G58" s="21">
        <f>G36-SUM(G29:G34)</f>
        <v>0</v>
      </c>
    </row>
    <row r="59" spans="2:14" ht="13.5" thickBot="1" x14ac:dyDescent="0.25">
      <c r="G59" s="20">
        <f>G45-SUM(G39:G44)</f>
        <v>0</v>
      </c>
    </row>
    <row r="63" spans="2:14" x14ac:dyDescent="0.2">
      <c r="I63" s="56"/>
      <c r="J63" s="56"/>
    </row>
    <row r="64" spans="2:14" x14ac:dyDescent="0.2">
      <c r="G64" s="56"/>
    </row>
    <row r="68" spans="7:10" x14ac:dyDescent="0.2">
      <c r="G68" s="56"/>
    </row>
    <row r="70" spans="7:10" x14ac:dyDescent="0.2">
      <c r="J70" s="56"/>
    </row>
    <row r="72" spans="7:10" x14ac:dyDescent="0.2">
      <c r="J72" s="56"/>
    </row>
  </sheetData>
  <mergeCells count="3">
    <mergeCell ref="C8:D8"/>
    <mergeCell ref="B1:N1"/>
    <mergeCell ref="B3:N3"/>
  </mergeCells>
  <printOptions horizontalCentered="1"/>
  <pageMargins left="0.75" right="0.75" top="1" bottom="1" header="0.5" footer="0.5"/>
  <pageSetup scale="71" orientation="landscape" blackAndWhite="1" horizontalDpi="300" verticalDpi="300" r:id="rId1"/>
  <headerFooter alignWithMargins="0">
    <oddFooter>&amp;L&amp;F 
&amp;A&amp;C&amp;P&amp;R&amp;D</oddFooter>
  </headerFooter>
  <rowBreaks count="1" manualBreakCount="1">
    <brk id="53" min="1" max="13" man="1"/>
  </rowBreaks>
  <colBreaks count="1" manualBreakCount="1">
    <brk id="13" max="1048575" man="1"/>
  </colBreaks>
  <customProperties>
    <customPr name="_pios_id" r:id="rId2"/>
  </customProperties>
  <ignoredErrors>
    <ignoredError sqref="E16 E35" formulaRange="1"/>
    <ignoredError sqref="J17 J26 J36 J4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2"/>
  <sheetViews>
    <sheetView zoomScale="90" zoomScaleNormal="90" workbookViewId="0">
      <selection activeCell="N45" sqref="N45"/>
    </sheetView>
  </sheetViews>
  <sheetFormatPr defaultColWidth="8.85546875" defaultRowHeight="12.75" x14ac:dyDescent="0.2"/>
  <cols>
    <col min="1" max="1" width="3.140625" style="44" customWidth="1"/>
    <col min="2" max="2" width="3.42578125" style="44" customWidth="1"/>
    <col min="3" max="3" width="24.140625" style="44" customWidth="1"/>
    <col min="4" max="4" width="9" style="44" bestFit="1" customWidth="1"/>
    <col min="5" max="5" width="13.85546875" style="44" customWidth="1"/>
    <col min="6" max="6" width="14.5703125" style="44" customWidth="1"/>
    <col min="7" max="7" width="13.5703125" style="44" customWidth="1"/>
    <col min="8" max="10" width="13.5703125" style="63" customWidth="1"/>
    <col min="11" max="13" width="13.5703125" style="44" customWidth="1"/>
    <col min="14" max="14" width="13.85546875" style="44" customWidth="1"/>
    <col min="15" max="15" width="15.42578125" style="44" bestFit="1" customWidth="1"/>
    <col min="16" max="23" width="9.140625" style="44" customWidth="1"/>
    <col min="24" max="16384" width="8.85546875" style="44"/>
  </cols>
  <sheetData>
    <row r="1" spans="2:20" ht="15" customHeight="1" x14ac:dyDescent="0.2">
      <c r="B1" s="145" t="s">
        <v>12</v>
      </c>
      <c r="C1" s="61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278"/>
      <c r="Q1" s="61"/>
      <c r="R1" s="12"/>
      <c r="S1" s="12"/>
      <c r="T1" s="12"/>
    </row>
    <row r="2" spans="2:20" ht="15" customHeight="1" x14ac:dyDescent="0.2">
      <c r="B2" s="145" t="str">
        <f>Rates!$B$2</f>
        <v>2023 Gas Schedule 129 Low Income Program Rate Filing</v>
      </c>
      <c r="C2" s="145"/>
      <c r="D2" s="145"/>
      <c r="E2" s="145"/>
      <c r="F2" s="145"/>
      <c r="G2" s="145"/>
      <c r="H2" s="145"/>
      <c r="I2" s="145"/>
      <c r="J2" s="145"/>
      <c r="K2" s="253"/>
      <c r="L2" s="253"/>
      <c r="M2" s="253"/>
      <c r="N2" s="253"/>
      <c r="O2" s="253"/>
      <c r="P2" s="278"/>
      <c r="Q2" s="61"/>
      <c r="R2" s="12"/>
      <c r="S2" s="12"/>
      <c r="T2" s="12"/>
    </row>
    <row r="3" spans="2:20" ht="15" customHeight="1" x14ac:dyDescent="0.2">
      <c r="B3" s="61" t="s">
        <v>310</v>
      </c>
      <c r="C3" s="61"/>
      <c r="D3" s="61"/>
      <c r="E3" s="61"/>
      <c r="F3" s="61"/>
      <c r="G3" s="61"/>
      <c r="H3" s="61"/>
      <c r="I3" s="61"/>
      <c r="J3" s="61"/>
      <c r="K3" s="71"/>
      <c r="L3" s="71"/>
      <c r="M3" s="71"/>
      <c r="N3" s="71"/>
      <c r="O3" s="71"/>
      <c r="P3" s="12"/>
      <c r="Q3" s="61"/>
      <c r="R3" s="12"/>
      <c r="S3" s="12"/>
      <c r="T3" s="12"/>
    </row>
    <row r="5" spans="2:20" x14ac:dyDescent="0.2">
      <c r="G5" s="246"/>
      <c r="J5" s="279"/>
    </row>
    <row r="6" spans="2:20" x14ac:dyDescent="0.2">
      <c r="E6" s="254" t="s">
        <v>293</v>
      </c>
      <c r="F6" s="246" t="str">
        <f>$E$6</f>
        <v>UG-220067</v>
      </c>
      <c r="G6" s="246" t="str">
        <f>$E$6</f>
        <v>UG-220067</v>
      </c>
      <c r="H6" s="246" t="s">
        <v>69</v>
      </c>
      <c r="I6" s="246" t="s">
        <v>297</v>
      </c>
      <c r="J6" s="307" t="s">
        <v>298</v>
      </c>
      <c r="K6" s="307" t="s">
        <v>299</v>
      </c>
      <c r="L6" s="307" t="s">
        <v>170</v>
      </c>
      <c r="M6" s="246" t="s">
        <v>0</v>
      </c>
      <c r="N6" s="564">
        <v>2022</v>
      </c>
      <c r="O6" s="46">
        <f>+N6</f>
        <v>2022</v>
      </c>
      <c r="P6" s="46"/>
    </row>
    <row r="7" spans="2:20" x14ac:dyDescent="0.2">
      <c r="D7" s="246" t="s">
        <v>11</v>
      </c>
      <c r="E7" s="46" t="s">
        <v>10</v>
      </c>
      <c r="F7" s="46" t="s">
        <v>68</v>
      </c>
      <c r="G7" s="46" t="s">
        <v>311</v>
      </c>
      <c r="H7" s="46" t="s">
        <v>70</v>
      </c>
      <c r="I7" s="46" t="s">
        <v>300</v>
      </c>
      <c r="J7" s="46" t="s">
        <v>301</v>
      </c>
      <c r="K7" s="46" t="s">
        <v>301</v>
      </c>
      <c r="L7" s="46" t="s">
        <v>172</v>
      </c>
      <c r="M7" s="46" t="s">
        <v>45</v>
      </c>
      <c r="N7" s="46" t="s">
        <v>10</v>
      </c>
      <c r="O7" s="46" t="s">
        <v>37</v>
      </c>
      <c r="P7" s="46"/>
    </row>
    <row r="8" spans="2:20" ht="14.25" x14ac:dyDescent="0.2">
      <c r="B8" s="19" t="s">
        <v>36</v>
      </c>
      <c r="C8" s="19" t="s">
        <v>8</v>
      </c>
      <c r="D8" s="19" t="s">
        <v>7</v>
      </c>
      <c r="E8" s="19" t="s">
        <v>66</v>
      </c>
      <c r="F8" s="19" t="s">
        <v>71</v>
      </c>
      <c r="G8" s="19" t="s">
        <v>181</v>
      </c>
      <c r="H8" s="19" t="s">
        <v>221</v>
      </c>
      <c r="I8" s="19" t="s">
        <v>222</v>
      </c>
      <c r="J8" s="19" t="s">
        <v>223</v>
      </c>
      <c r="K8" s="19" t="s">
        <v>224</v>
      </c>
      <c r="L8" s="306" t="s">
        <v>302</v>
      </c>
      <c r="M8" s="19" t="s">
        <v>43</v>
      </c>
      <c r="N8" s="19" t="s">
        <v>303</v>
      </c>
      <c r="O8" s="19" t="s">
        <v>304</v>
      </c>
      <c r="P8" s="46"/>
    </row>
    <row r="9" spans="2:20" x14ac:dyDescent="0.2">
      <c r="B9" s="246">
        <v>1</v>
      </c>
      <c r="C9" s="11" t="s">
        <v>5</v>
      </c>
      <c r="D9" s="246" t="s">
        <v>24</v>
      </c>
      <c r="E9" s="273">
        <f>'Exh JDT-5 (JDT-RES_RD)'!D13+'Exh JDT-5 (JDT-RES_RD)'!D21</f>
        <v>620836684.05687141</v>
      </c>
      <c r="F9" s="50">
        <f>'Exh JDT-5 (JDT-RES_RD)'!I16+'Exh JDT-5 (JDT-RES_RD)'!I24</f>
        <v>403613457.09474093</v>
      </c>
      <c r="G9" s="43">
        <f>F9/E9</f>
        <v>0.6501121268436002</v>
      </c>
      <c r="H9" s="280">
        <v>2.2849999999999999E-2</v>
      </c>
      <c r="I9" s="60">
        <f>'Exh JDT-5 (JDT-MYRP)'!J11</f>
        <v>3.2599999999999999E-3</v>
      </c>
      <c r="J9" s="60">
        <f>'Exh JDT-5 (JDT-MYRP)'!H11</f>
        <v>-1.6999999999999999E-3</v>
      </c>
      <c r="K9" s="60">
        <f>'Exh JDT-5 (JDT-MYRP)'!I11</f>
        <v>4.8649999999999999E-2</v>
      </c>
      <c r="L9" s="280">
        <v>-1.3699999999999999E-3</v>
      </c>
      <c r="M9" s="43">
        <f>SUM(G9:L9)</f>
        <v>0.72180212684360023</v>
      </c>
      <c r="N9" s="565">
        <v>605484515.28218365</v>
      </c>
      <c r="O9" s="281">
        <f>M9*N9</f>
        <v>437040010.90154654</v>
      </c>
      <c r="P9" s="9"/>
      <c r="S9" s="282"/>
    </row>
    <row r="10" spans="2:20" x14ac:dyDescent="0.2">
      <c r="B10" s="246"/>
      <c r="C10" s="11"/>
      <c r="D10" s="246"/>
      <c r="E10" s="273"/>
      <c r="F10" s="50"/>
      <c r="H10" s="280"/>
      <c r="I10" s="60"/>
      <c r="J10" s="60"/>
      <c r="K10" s="60"/>
      <c r="L10" s="280"/>
      <c r="N10" s="565"/>
      <c r="P10" s="47"/>
    </row>
    <row r="11" spans="2:20" x14ac:dyDescent="0.2">
      <c r="B11" s="246">
        <f>B9+1</f>
        <v>2</v>
      </c>
      <c r="C11" s="146" t="s">
        <v>23</v>
      </c>
      <c r="D11" s="246"/>
      <c r="E11" s="273"/>
      <c r="F11" s="50"/>
      <c r="H11" s="280"/>
      <c r="I11" s="60"/>
      <c r="J11" s="60"/>
      <c r="K11" s="60"/>
      <c r="L11" s="280"/>
      <c r="N11" s="565"/>
      <c r="P11" s="47"/>
    </row>
    <row r="12" spans="2:20" x14ac:dyDescent="0.2">
      <c r="B12" s="246">
        <f t="shared" ref="B12:B27" si="0">B11+1</f>
        <v>3</v>
      </c>
      <c r="C12" s="18" t="s">
        <v>42</v>
      </c>
      <c r="D12" s="246" t="s">
        <v>33</v>
      </c>
      <c r="E12" s="273">
        <f>'Exh JDT-5 (JDT-C&amp;I-RD)'!D32</f>
        <v>222203870.67539161</v>
      </c>
      <c r="F12" s="50">
        <f>'Exh JDT-5 (JDT-C&amp;I-RD)'!I36</f>
        <v>122144982.04000001</v>
      </c>
      <c r="G12" s="43">
        <f>F12/E12</f>
        <v>0.54969781430331843</v>
      </c>
      <c r="H12" s="280">
        <v>2.513E-2</v>
      </c>
      <c r="I12" s="60">
        <f>'Exh JDT-5 (JDT-MYRP)'!J40</f>
        <v>3.0100000000000001E-3</v>
      </c>
      <c r="J12" s="60">
        <f>'Exh JDT-5 (JDT-MYRP)'!H40</f>
        <v>-1.57E-3</v>
      </c>
      <c r="K12" s="60">
        <f>'Exh JDT-5 (JDT-MYRP)'!I40</f>
        <v>4.4909999999999999E-2</v>
      </c>
      <c r="L12" s="280">
        <v>-1.47E-3</v>
      </c>
      <c r="M12" s="43">
        <f>SUM(G12:L12)</f>
        <v>0.61970781430331845</v>
      </c>
      <c r="N12" s="565">
        <v>241041941.4711673</v>
      </c>
      <c r="O12" s="281">
        <f>M12*N12</f>
        <v>149375574.7045255</v>
      </c>
      <c r="P12" s="9"/>
      <c r="S12" s="282"/>
    </row>
    <row r="13" spans="2:20" x14ac:dyDescent="0.2">
      <c r="B13" s="246"/>
      <c r="C13" s="146"/>
      <c r="D13" s="46"/>
      <c r="E13" s="273"/>
      <c r="F13" s="50"/>
      <c r="H13" s="280"/>
      <c r="I13" s="60"/>
      <c r="J13" s="60"/>
      <c r="K13" s="60"/>
      <c r="L13" s="280"/>
      <c r="N13" s="565"/>
      <c r="O13" s="281"/>
      <c r="P13" s="9"/>
    </row>
    <row r="14" spans="2:20" x14ac:dyDescent="0.2">
      <c r="B14" s="246">
        <f>B12+1</f>
        <v>4</v>
      </c>
      <c r="C14" s="11" t="s">
        <v>22</v>
      </c>
      <c r="D14" s="246" t="s">
        <v>32</v>
      </c>
      <c r="E14" s="273">
        <f>'Exh JDT-5 (JDT-C&amp;I-RD)'!D82</f>
        <v>82012496.764967203</v>
      </c>
      <c r="F14" s="50">
        <f>'Exh JDT-5 (JDT-C&amp;I-RD)'!I86</f>
        <v>22261797.053338237</v>
      </c>
      <c r="G14" s="43">
        <f>F14/E14</f>
        <v>0.27144396197492282</v>
      </c>
      <c r="H14" s="280">
        <v>1.004E-2</v>
      </c>
      <c r="I14" s="60">
        <f>'Exh JDT-5 (JDT-MYRP)'!J64</f>
        <v>2.2699999999999999E-3</v>
      </c>
      <c r="J14" s="60">
        <f>'Exh JDT-5 (JDT-MYRP)'!H64</f>
        <v>-7.5000000000000002E-4</v>
      </c>
      <c r="K14" s="60">
        <f>'Exh JDT-5 (JDT-MYRP)'!I64</f>
        <v>2.147E-2</v>
      </c>
      <c r="L14" s="280">
        <v>-5.5999999999999995E-4</v>
      </c>
      <c r="M14" s="43">
        <f>SUM(G14:L14)</f>
        <v>0.30391396197492282</v>
      </c>
      <c r="N14" s="565">
        <v>88992709.206235796</v>
      </c>
      <c r="O14" s="281">
        <f>M14*N14</f>
        <v>27046126.84174931</v>
      </c>
      <c r="P14" s="9"/>
      <c r="S14" s="282"/>
    </row>
    <row r="15" spans="2:20" x14ac:dyDescent="0.2">
      <c r="B15" s="246"/>
      <c r="C15" s="11"/>
      <c r="D15" s="246"/>
      <c r="E15" s="273"/>
      <c r="F15" s="50"/>
      <c r="G15" s="43"/>
      <c r="H15" s="280"/>
      <c r="I15" s="60"/>
      <c r="J15" s="60"/>
      <c r="K15" s="60"/>
      <c r="L15" s="280"/>
      <c r="M15" s="43"/>
      <c r="N15" s="565"/>
      <c r="O15" s="281"/>
      <c r="P15" s="9"/>
    </row>
    <row r="16" spans="2:20" x14ac:dyDescent="0.2">
      <c r="B16" s="246">
        <f>B14+1</f>
        <v>5</v>
      </c>
      <c r="C16" s="11" t="s">
        <v>41</v>
      </c>
      <c r="D16" s="246" t="s">
        <v>31</v>
      </c>
      <c r="E16" s="273">
        <f>'Exh JDT-5 (JDT-INTRPL-RD)'!D96</f>
        <v>7491654.8276905464</v>
      </c>
      <c r="F16" s="50">
        <f>'Exh JDT-5 (JDT-INTRPL-RD)'!I98</f>
        <v>1560031.02</v>
      </c>
      <c r="G16" s="43">
        <f>F16/E16</f>
        <v>0.20823583785972571</v>
      </c>
      <c r="H16" s="280">
        <v>6.7299999999999999E-3</v>
      </c>
      <c r="I16" s="60">
        <f>'Exh JDT-5 (JDT-MYRP)'!J139</f>
        <v>4.8999999999999998E-4</v>
      </c>
      <c r="J16" s="60">
        <f>'Exh JDT-5 (JDT-MYRP)'!H139</f>
        <v>-3.6000000000000002E-4</v>
      </c>
      <c r="K16" s="60">
        <f>'Exh JDT-5 (JDT-MYRP)'!I139</f>
        <v>1.0410000000000001E-2</v>
      </c>
      <c r="L16" s="280">
        <v>-3.3E-4</v>
      </c>
      <c r="M16" s="43">
        <f>SUM(G16:L16)</f>
        <v>0.22517583785972572</v>
      </c>
      <c r="N16" s="565">
        <v>7836608.9315861296</v>
      </c>
      <c r="O16" s="281">
        <f>M16*N16</f>
        <v>1764614.9821489167</v>
      </c>
      <c r="P16" s="9"/>
      <c r="S16" s="282"/>
    </row>
    <row r="17" spans="1:26" x14ac:dyDescent="0.2">
      <c r="B17" s="246"/>
      <c r="C17" s="11"/>
      <c r="D17" s="246"/>
      <c r="E17" s="273"/>
      <c r="F17" s="50"/>
      <c r="H17" s="280"/>
      <c r="I17" s="60"/>
      <c r="J17" s="60"/>
      <c r="K17" s="60"/>
      <c r="L17" s="280"/>
      <c r="N17" s="565"/>
      <c r="O17" s="281"/>
      <c r="P17" s="9"/>
    </row>
    <row r="18" spans="1:26" x14ac:dyDescent="0.2">
      <c r="B18" s="246">
        <f>B16+1</f>
        <v>6</v>
      </c>
      <c r="C18" s="11" t="s">
        <v>4</v>
      </c>
      <c r="D18" s="246"/>
      <c r="E18" s="283"/>
      <c r="F18" s="283"/>
      <c r="H18" s="280"/>
      <c r="I18" s="60"/>
      <c r="J18" s="60"/>
      <c r="K18" s="60"/>
      <c r="L18" s="280"/>
      <c r="N18" s="565"/>
      <c r="O18" s="281"/>
      <c r="P18" s="9"/>
    </row>
    <row r="19" spans="1:26" x14ac:dyDescent="0.2">
      <c r="B19" s="246">
        <f t="shared" si="0"/>
        <v>7</v>
      </c>
      <c r="C19" s="284" t="s">
        <v>4</v>
      </c>
      <c r="D19" s="246">
        <v>85</v>
      </c>
      <c r="E19" s="273">
        <f>'Exh JDT-5 (JDT-INTRPL-RD)'!D21</f>
        <v>19992939.502740219</v>
      </c>
      <c r="F19" s="50">
        <f>'Exh JDT-5 (JDT-INTRPL-RD)'!I23</f>
        <v>2272313.06</v>
      </c>
      <c r="G19" s="43">
        <f>F19/E19</f>
        <v>0.11365577631486147</v>
      </c>
      <c r="H19" s="280">
        <v>5.2900000000000004E-3</v>
      </c>
      <c r="I19" s="60">
        <f>'Exh JDT-5 (JDT-MYRP)'!J102</f>
        <v>1.8400000000000001E-3</v>
      </c>
      <c r="J19" s="60">
        <f>'Exh JDT-5 (JDT-MYRP)'!H102</f>
        <v>-4.4999999999999999E-4</v>
      </c>
      <c r="K19" s="60">
        <f>'Exh JDT-5 (JDT-MYRP)'!I102</f>
        <v>1.277E-2</v>
      </c>
      <c r="L19" s="280">
        <v>-2.7E-4</v>
      </c>
      <c r="M19" s="43">
        <f>SUM(G19:L19)</f>
        <v>0.13283577631486146</v>
      </c>
      <c r="N19" s="565">
        <v>20871992.946959801</v>
      </c>
      <c r="O19" s="281">
        <f>M19*N19</f>
        <v>2772547.3863477181</v>
      </c>
      <c r="P19" s="9"/>
      <c r="S19" s="282"/>
    </row>
    <row r="20" spans="1:26" x14ac:dyDescent="0.2">
      <c r="B20" s="246">
        <f t="shared" si="0"/>
        <v>8</v>
      </c>
      <c r="C20" s="18" t="s">
        <v>40</v>
      </c>
      <c r="D20" s="46">
        <v>87</v>
      </c>
      <c r="E20" s="273">
        <f>'Exh JDT-5 (JDT-INTRPL-RD)'!D116</f>
        <v>21819455.762355208</v>
      </c>
      <c r="F20" s="285">
        <f>'Exh JDT-5 (JDT-INTRPL-RD)'!I118</f>
        <v>1509849.77</v>
      </c>
      <c r="G20" s="43">
        <f>F20/E20</f>
        <v>6.9197407416775353E-2</v>
      </c>
      <c r="H20" s="287">
        <v>3.7699999999999999E-3</v>
      </c>
      <c r="I20" s="286">
        <f>'Exh JDT-5 (JDT-MYRP)'!J173/'Exh JDT-5 (JDT-MYRP)'!E191</f>
        <v>7.970934206126785E-4</v>
      </c>
      <c r="J20" s="286">
        <f>'Exh JDT-5 (JDT-MYRP)'!H173/'Exh JDT-5 (JDT-MYRP)'!E173</f>
        <v>-1.4267451744747877E-4</v>
      </c>
      <c r="K20" s="286">
        <f>'Exh JDT-5 (JDT-MYRP)'!I173/'Exh JDT-5 (JDT-MYRP)'!E173</f>
        <v>4.0932900241988229E-3</v>
      </c>
      <c r="L20" s="287">
        <v>-1.3999999999999999E-4</v>
      </c>
      <c r="M20" s="43">
        <f>SUM(G20:L20)</f>
        <v>7.7575116344139369E-2</v>
      </c>
      <c r="N20" s="565">
        <v>21540918.541179165</v>
      </c>
      <c r="O20" s="281">
        <f>M20*N20</f>
        <v>1671039.2619916026</v>
      </c>
      <c r="P20" s="9"/>
      <c r="S20" s="282"/>
    </row>
    <row r="21" spans="1:26" x14ac:dyDescent="0.2">
      <c r="B21" s="246">
        <f t="shared" si="0"/>
        <v>9</v>
      </c>
      <c r="C21" s="18" t="s">
        <v>1</v>
      </c>
      <c r="D21" s="46"/>
      <c r="E21" s="17">
        <f t="shared" ref="E21" si="1">SUM(E19:E20)</f>
        <v>41812395.265095428</v>
      </c>
      <c r="F21" s="13">
        <f t="shared" ref="F21" si="2">SUM(F19:F20)</f>
        <v>3782162.83</v>
      </c>
      <c r="G21" s="43"/>
      <c r="H21" s="287"/>
      <c r="I21" s="287"/>
      <c r="J21" s="287"/>
      <c r="K21" s="287"/>
      <c r="L21" s="287"/>
      <c r="M21" s="43"/>
      <c r="N21" s="17">
        <f>SUM(N19:N20)</f>
        <v>42412911.488138966</v>
      </c>
      <c r="O21" s="13">
        <f>SUM(O19:O20)</f>
        <v>4443586.6483393209</v>
      </c>
      <c r="P21" s="9"/>
      <c r="S21" s="282"/>
    </row>
    <row r="22" spans="1:26" x14ac:dyDescent="0.2">
      <c r="B22" s="246"/>
      <c r="C22" s="18"/>
      <c r="D22" s="46"/>
      <c r="E22" s="41"/>
      <c r="F22" s="9"/>
      <c r="G22" s="43"/>
      <c r="H22" s="287"/>
      <c r="I22" s="287"/>
      <c r="J22" s="287"/>
      <c r="K22" s="287"/>
      <c r="L22" s="287"/>
      <c r="M22" s="43"/>
      <c r="N22" s="41"/>
      <c r="O22" s="9"/>
      <c r="P22" s="9"/>
    </row>
    <row r="23" spans="1:26" x14ac:dyDescent="0.2">
      <c r="B23" s="246">
        <f>B21+1</f>
        <v>10</v>
      </c>
      <c r="C23" s="146" t="s">
        <v>20</v>
      </c>
      <c r="D23" s="46"/>
      <c r="E23" s="16"/>
      <c r="F23" s="10"/>
      <c r="H23" s="287"/>
      <c r="I23" s="287"/>
      <c r="J23" s="287"/>
      <c r="K23" s="287"/>
      <c r="L23" s="287"/>
      <c r="N23" s="36"/>
      <c r="O23" s="281"/>
      <c r="P23" s="9"/>
    </row>
    <row r="24" spans="1:26" x14ac:dyDescent="0.2">
      <c r="B24" s="246">
        <f t="shared" si="0"/>
        <v>11</v>
      </c>
      <c r="C24" s="284" t="s">
        <v>4</v>
      </c>
      <c r="D24" s="46" t="s">
        <v>3</v>
      </c>
      <c r="E24" s="273">
        <f>'Exh JDT-5 (JDT-INTRPL-RD)'!D36</f>
        <v>68886791.019958794</v>
      </c>
      <c r="F24" s="285">
        <f>'Exh JDT-5 (JDT-INTRPL-RD)'!I38</f>
        <v>7339677.3100000005</v>
      </c>
      <c r="G24" s="43">
        <f t="shared" ref="G24:G25" si="3">F24/E24</f>
        <v>0.1065469475544804</v>
      </c>
      <c r="H24" s="267">
        <f t="shared" ref="H24:K25" si="4">H19</f>
        <v>5.2900000000000004E-3</v>
      </c>
      <c r="I24" s="267"/>
      <c r="J24" s="267">
        <f t="shared" si="4"/>
        <v>-4.4999999999999999E-4</v>
      </c>
      <c r="K24" s="267">
        <f t="shared" si="4"/>
        <v>1.277E-2</v>
      </c>
      <c r="L24" s="267">
        <f t="shared" ref="L24" si="5">L19</f>
        <v>-2.7E-4</v>
      </c>
      <c r="M24" s="43">
        <f>SUM(G24:L24)</f>
        <v>0.12388694755448039</v>
      </c>
      <c r="N24" s="565">
        <v>66866290.701874062</v>
      </c>
      <c r="O24" s="281">
        <f>M24*N24</f>
        <v>8283860.6493457118</v>
      </c>
      <c r="P24" s="9"/>
      <c r="S24" s="282"/>
    </row>
    <row r="25" spans="1:26" x14ac:dyDescent="0.2">
      <c r="B25" s="246">
        <f t="shared" si="0"/>
        <v>12</v>
      </c>
      <c r="C25" s="18" t="s">
        <v>40</v>
      </c>
      <c r="D25" s="46" t="s">
        <v>2</v>
      </c>
      <c r="E25" s="273">
        <f>'Exh JDT-5 (JDT-INTRPL-RD)'!D134</f>
        <v>97500425.645479575</v>
      </c>
      <c r="F25" s="285">
        <f>'Exh JDT-5 (JDT-INTRPL-RD)'!I136</f>
        <v>4790056.76</v>
      </c>
      <c r="G25" s="43">
        <f t="shared" si="3"/>
        <v>4.9128572806616068E-2</v>
      </c>
      <c r="H25" s="267">
        <f t="shared" si="4"/>
        <v>3.7699999999999999E-3</v>
      </c>
      <c r="I25" s="267"/>
      <c r="J25" s="267">
        <f t="shared" si="4"/>
        <v>-1.4267451744747877E-4</v>
      </c>
      <c r="K25" s="267">
        <f t="shared" si="4"/>
        <v>4.0932900241988229E-3</v>
      </c>
      <c r="L25" s="267">
        <f t="shared" ref="L25" si="6">L20</f>
        <v>-1.3999999999999999E-4</v>
      </c>
      <c r="M25" s="43">
        <f>SUM(G25:L25)</f>
        <v>5.6709188313367416E-2</v>
      </c>
      <c r="N25" s="565">
        <v>95244503.454377905</v>
      </c>
      <c r="O25" s="288">
        <f>M25*N25</f>
        <v>5401238.4822074901</v>
      </c>
      <c r="P25" s="9"/>
      <c r="S25" s="282"/>
    </row>
    <row r="26" spans="1:26" x14ac:dyDescent="0.2">
      <c r="B26" s="246">
        <f t="shared" si="0"/>
        <v>13</v>
      </c>
      <c r="C26" s="146" t="s">
        <v>39</v>
      </c>
      <c r="D26" s="46"/>
      <c r="E26" s="15">
        <f t="shared" ref="E26" si="7">SUM(E24:E25)</f>
        <v>166387216.66543835</v>
      </c>
      <c r="F26" s="14">
        <f t="shared" ref="F26" si="8">SUM(F24:F25)</f>
        <v>12129734.07</v>
      </c>
      <c r="G26" s="43"/>
      <c r="H26" s="242"/>
      <c r="I26" s="242"/>
      <c r="J26" s="242"/>
      <c r="M26" s="43"/>
      <c r="N26" s="15">
        <f>SUM(N24:N25)</f>
        <v>162110794.15625197</v>
      </c>
      <c r="O26" s="289">
        <f>SUM(O24:O25)</f>
        <v>13685099.131553203</v>
      </c>
      <c r="P26" s="290"/>
      <c r="S26" s="282"/>
    </row>
    <row r="27" spans="1:26" x14ac:dyDescent="0.2">
      <c r="B27" s="246">
        <f t="shared" si="0"/>
        <v>14</v>
      </c>
      <c r="C27" s="146" t="s">
        <v>0</v>
      </c>
      <c r="D27" s="146"/>
      <c r="E27" s="17">
        <f t="shared" ref="E27" si="9">E9+E12+E14+E16+E21+E26</f>
        <v>1140744318.2554548</v>
      </c>
      <c r="F27" s="13">
        <f t="shared" ref="F27" si="10">F9+F12+F14+F16+F21+F26</f>
        <v>565492164.10807931</v>
      </c>
      <c r="G27" s="43"/>
      <c r="H27" s="65"/>
      <c r="I27" s="65"/>
      <c r="J27" s="65"/>
      <c r="M27" s="43"/>
      <c r="N27" s="17">
        <f>N9+N12+N14+N16+N21+N26</f>
        <v>1147879480.5355637</v>
      </c>
      <c r="O27" s="13">
        <f>O9+O12+O14+O16+O21+O26</f>
        <v>633355013.20986271</v>
      </c>
      <c r="P27" s="9"/>
      <c r="S27" s="282"/>
    </row>
    <row r="28" spans="1:26" x14ac:dyDescent="0.2">
      <c r="C28" s="11"/>
      <c r="D28" s="11"/>
      <c r="E28" s="41"/>
      <c r="F28" s="149"/>
      <c r="G28" s="149"/>
      <c r="H28" s="66"/>
      <c r="I28" s="66"/>
      <c r="J28" s="66"/>
      <c r="P28" s="47"/>
    </row>
    <row r="29" spans="1:26" x14ac:dyDescent="0.2">
      <c r="C29" s="11"/>
      <c r="D29" s="11"/>
      <c r="E29" s="41"/>
      <c r="F29" s="149"/>
      <c r="G29" s="149"/>
      <c r="H29" s="66"/>
      <c r="I29" s="66"/>
      <c r="J29" s="66"/>
      <c r="K29" s="149"/>
      <c r="L29" s="149"/>
      <c r="P29" s="47"/>
    </row>
    <row r="30" spans="1:26" ht="14.25" x14ac:dyDescent="0.2">
      <c r="B30" s="270" t="s">
        <v>30</v>
      </c>
      <c r="C30" s="12" t="s">
        <v>294</v>
      </c>
      <c r="D30" s="12"/>
      <c r="E30" s="12"/>
      <c r="F30" s="12"/>
      <c r="G30" s="12"/>
      <c r="H30" s="150"/>
      <c r="I30" s="150"/>
      <c r="J30" s="150"/>
      <c r="K30" s="12"/>
      <c r="L30" s="12"/>
      <c r="M30" s="12"/>
      <c r="N30" s="12"/>
      <c r="O30" s="12"/>
      <c r="P30" s="12"/>
      <c r="Q30" s="12"/>
      <c r="U30" s="47"/>
      <c r="V30" s="47"/>
      <c r="W30" s="47"/>
      <c r="X30" s="47"/>
      <c r="Y30" s="47"/>
      <c r="Z30" s="47"/>
    </row>
    <row r="31" spans="1:26" ht="14.25" x14ac:dyDescent="0.2">
      <c r="B31" s="270" t="s">
        <v>29</v>
      </c>
      <c r="C31" s="12" t="s">
        <v>295</v>
      </c>
      <c r="D31" s="277"/>
      <c r="E31" s="277"/>
      <c r="F31" s="277"/>
      <c r="G31" s="277"/>
      <c r="H31" s="64"/>
      <c r="I31" s="64"/>
      <c r="J31" s="64"/>
      <c r="K31" s="277"/>
      <c r="L31" s="277"/>
      <c r="M31" s="277"/>
      <c r="N31" s="277"/>
      <c r="O31" s="277"/>
      <c r="P31" s="277"/>
      <c r="Q31" s="277"/>
      <c r="U31" s="47"/>
      <c r="V31" s="47"/>
      <c r="W31" s="47"/>
      <c r="X31" s="47"/>
      <c r="Y31" s="47"/>
      <c r="Z31" s="47"/>
    </row>
    <row r="32" spans="1:26" s="63" customFormat="1" ht="14.25" x14ac:dyDescent="0.2">
      <c r="A32" s="44"/>
      <c r="B32" s="270" t="s">
        <v>28</v>
      </c>
      <c r="C32" s="44" t="s">
        <v>296</v>
      </c>
      <c r="D32" s="291"/>
      <c r="E32" s="291"/>
      <c r="F32" s="291"/>
      <c r="G32" s="291"/>
      <c r="H32" s="64"/>
      <c r="I32" s="64"/>
      <c r="J32" s="64"/>
      <c r="K32" s="291"/>
      <c r="L32" s="291"/>
      <c r="M32" s="291"/>
      <c r="N32" s="277"/>
      <c r="O32" s="291"/>
      <c r="P32" s="291"/>
      <c r="Q32" s="291"/>
      <c r="U32" s="148"/>
      <c r="V32" s="148"/>
      <c r="W32" s="148"/>
      <c r="X32" s="148"/>
      <c r="Y32" s="148"/>
      <c r="Z32" s="148"/>
    </row>
    <row r="33" spans="1:26" s="63" customFormat="1" ht="14.25" x14ac:dyDescent="0.2">
      <c r="A33" s="44"/>
      <c r="B33" s="270" t="s">
        <v>167</v>
      </c>
      <c r="C33" s="44" t="s">
        <v>305</v>
      </c>
      <c r="D33" s="291"/>
      <c r="E33" s="291"/>
      <c r="F33" s="291"/>
      <c r="G33" s="291"/>
      <c r="H33" s="64"/>
      <c r="I33" s="64"/>
      <c r="J33" s="64"/>
      <c r="K33" s="291"/>
      <c r="L33" s="291"/>
      <c r="M33" s="291"/>
      <c r="N33" s="277"/>
      <c r="O33" s="291"/>
      <c r="P33" s="291"/>
      <c r="Q33" s="291"/>
      <c r="U33" s="148"/>
      <c r="V33" s="148"/>
      <c r="W33" s="148"/>
      <c r="X33" s="148"/>
      <c r="Y33" s="148"/>
      <c r="Z33" s="148"/>
    </row>
    <row r="34" spans="1:26" ht="14.25" x14ac:dyDescent="0.2">
      <c r="B34" s="270" t="s">
        <v>166</v>
      </c>
      <c r="C34" s="44" t="s">
        <v>306</v>
      </c>
      <c r="D34" s="277"/>
      <c r="E34" s="277"/>
      <c r="F34" s="277"/>
      <c r="G34" s="277"/>
      <c r="H34" s="7"/>
      <c r="I34" s="7"/>
      <c r="J34" s="7"/>
      <c r="K34" s="277"/>
      <c r="L34" s="277"/>
      <c r="M34" s="277"/>
      <c r="N34" s="277"/>
      <c r="O34" s="277"/>
      <c r="P34" s="277"/>
      <c r="Q34" s="277"/>
      <c r="U34" s="47"/>
      <c r="V34" s="47"/>
      <c r="W34" s="47"/>
      <c r="X34" s="47"/>
      <c r="Y34" s="47"/>
      <c r="Z34" s="47"/>
    </row>
    <row r="35" spans="1:26" ht="14.25" x14ac:dyDescent="0.2">
      <c r="B35" s="270" t="s">
        <v>168</v>
      </c>
      <c r="C35" s="44" t="s">
        <v>307</v>
      </c>
      <c r="D35" s="277"/>
      <c r="E35" s="277"/>
      <c r="F35" s="277"/>
      <c r="G35" s="277"/>
      <c r="H35" s="64"/>
      <c r="I35" s="64"/>
      <c r="J35" s="64"/>
      <c r="K35" s="277"/>
      <c r="L35" s="277"/>
      <c r="M35" s="277"/>
      <c r="N35" s="277"/>
      <c r="O35" s="277"/>
      <c r="P35" s="277"/>
      <c r="Q35" s="277"/>
      <c r="U35" s="47"/>
      <c r="V35" s="47"/>
      <c r="W35" s="47"/>
      <c r="X35" s="47"/>
      <c r="Y35" s="47"/>
      <c r="Z35" s="47"/>
    </row>
    <row r="36" spans="1:26" ht="14.25" x14ac:dyDescent="0.2">
      <c r="B36" s="270" t="s">
        <v>169</v>
      </c>
      <c r="C36" s="44" t="s">
        <v>175</v>
      </c>
      <c r="D36" s="246"/>
      <c r="E36" s="46"/>
      <c r="F36" s="46"/>
      <c r="G36" s="46"/>
      <c r="H36" s="147"/>
      <c r="I36" s="147"/>
      <c r="J36" s="147"/>
      <c r="K36" s="46"/>
      <c r="L36" s="46"/>
      <c r="M36" s="46"/>
      <c r="N36" s="11"/>
      <c r="O36" s="11"/>
      <c r="P36" s="11"/>
      <c r="Q36" s="11"/>
      <c r="U36" s="47"/>
      <c r="V36" s="47"/>
      <c r="W36" s="47"/>
      <c r="X36" s="47"/>
      <c r="Y36" s="47"/>
      <c r="Z36" s="47"/>
    </row>
    <row r="37" spans="1:26" ht="14.25" x14ac:dyDescent="0.2">
      <c r="B37" s="270" t="s">
        <v>171</v>
      </c>
      <c r="C37" s="44" t="s">
        <v>309</v>
      </c>
      <c r="D37" s="11"/>
      <c r="E37" s="11"/>
      <c r="F37" s="11"/>
      <c r="G37" s="11"/>
      <c r="H37" s="64"/>
      <c r="I37" s="64"/>
      <c r="J37" s="64"/>
      <c r="K37" s="11"/>
      <c r="L37" s="11"/>
      <c r="M37" s="11"/>
      <c r="N37" s="11"/>
      <c r="O37" s="11"/>
      <c r="P37" s="11"/>
      <c r="Q37" s="11"/>
      <c r="U37" s="47"/>
      <c r="V37" s="47"/>
      <c r="W37" s="47"/>
      <c r="X37" s="47"/>
      <c r="Y37" s="47"/>
      <c r="Z37" s="47"/>
    </row>
    <row r="38" spans="1:26" ht="14.25" x14ac:dyDescent="0.2">
      <c r="B38" s="270" t="s">
        <v>308</v>
      </c>
      <c r="C38" s="44" t="s">
        <v>247</v>
      </c>
      <c r="D38" s="11"/>
      <c r="E38" s="11"/>
      <c r="F38" s="11"/>
      <c r="G38" s="11"/>
      <c r="H38" s="64"/>
      <c r="I38" s="64"/>
      <c r="J38" s="64"/>
      <c r="K38" s="11"/>
      <c r="L38" s="11"/>
      <c r="M38" s="11"/>
      <c r="N38" s="11"/>
      <c r="O38" s="11"/>
      <c r="P38" s="11"/>
      <c r="Q38" s="11"/>
      <c r="U38" s="47"/>
      <c r="V38" s="47"/>
      <c r="W38" s="47"/>
      <c r="X38" s="47"/>
      <c r="Y38" s="47"/>
      <c r="Z38" s="47"/>
    </row>
    <row r="39" spans="1:26" x14ac:dyDescent="0.2">
      <c r="C39" s="11"/>
      <c r="D39" s="11"/>
      <c r="E39" s="11"/>
      <c r="F39" s="11"/>
      <c r="G39" s="11"/>
      <c r="H39" s="64"/>
      <c r="I39" s="64"/>
      <c r="J39" s="64"/>
      <c r="K39" s="11"/>
      <c r="L39" s="11"/>
      <c r="M39" s="11"/>
      <c r="N39" s="11"/>
      <c r="O39" s="11"/>
      <c r="P39" s="11"/>
      <c r="Q39" s="11"/>
      <c r="U39" s="47"/>
      <c r="V39" s="47"/>
      <c r="W39" s="47"/>
      <c r="X39" s="47"/>
      <c r="Y39" s="47"/>
      <c r="Z39" s="47"/>
    </row>
    <row r="40" spans="1:26" x14ac:dyDescent="0.2">
      <c r="C40" s="11"/>
      <c r="D40" s="11"/>
      <c r="E40" s="11"/>
      <c r="F40" s="11"/>
      <c r="G40" s="11"/>
      <c r="H40" s="64"/>
      <c r="I40" s="64"/>
      <c r="J40" s="64"/>
      <c r="K40" s="11"/>
      <c r="L40" s="11"/>
      <c r="M40" s="11"/>
      <c r="N40" s="11"/>
      <c r="O40" s="11"/>
      <c r="P40" s="11"/>
      <c r="Q40" s="11"/>
      <c r="U40" s="47"/>
      <c r="V40" s="47"/>
      <c r="W40" s="47"/>
      <c r="X40" s="47"/>
      <c r="Y40" s="47"/>
      <c r="Z40" s="47"/>
    </row>
    <row r="41" spans="1:26" x14ac:dyDescent="0.2">
      <c r="E41" s="7"/>
      <c r="F41" s="7"/>
      <c r="G41" s="7"/>
      <c r="H41" s="64"/>
      <c r="I41" s="64"/>
      <c r="J41" s="64"/>
      <c r="K41" s="7"/>
      <c r="L41" s="7"/>
      <c r="M41" s="7"/>
      <c r="N41" s="7"/>
      <c r="O41" s="7"/>
      <c r="P41" s="7"/>
      <c r="Q41" s="7"/>
      <c r="R41" s="47"/>
      <c r="S41" s="47"/>
      <c r="T41" s="47"/>
      <c r="U41" s="7"/>
      <c r="V41" s="47"/>
      <c r="W41" s="47"/>
      <c r="X41" s="47"/>
      <c r="Y41" s="47"/>
      <c r="Z41" s="47"/>
    </row>
    <row r="42" spans="1:26" x14ac:dyDescent="0.2">
      <c r="E42" s="7"/>
      <c r="F42" s="7"/>
      <c r="G42" s="7"/>
      <c r="H42" s="64"/>
      <c r="I42" s="64"/>
      <c r="J42" s="64"/>
      <c r="K42" s="7"/>
      <c r="L42" s="7"/>
      <c r="M42" s="7"/>
      <c r="N42" s="7"/>
      <c r="O42" s="7"/>
      <c r="P42" s="7"/>
      <c r="Q42" s="7"/>
      <c r="R42" s="47"/>
      <c r="S42" s="47"/>
      <c r="T42" s="7"/>
      <c r="U42" s="7"/>
      <c r="V42" s="47"/>
      <c r="W42" s="47"/>
      <c r="X42" s="47"/>
      <c r="Y42" s="47"/>
      <c r="Z42" s="47"/>
    </row>
    <row r="43" spans="1:26" x14ac:dyDescent="0.2">
      <c r="E43" s="7"/>
      <c r="F43" s="7"/>
      <c r="G43" s="7"/>
      <c r="H43" s="64"/>
      <c r="I43" s="64"/>
      <c r="J43" s="64"/>
      <c r="K43" s="7"/>
      <c r="L43" s="7"/>
      <c r="M43" s="7"/>
      <c r="N43" s="7"/>
      <c r="O43" s="7"/>
      <c r="P43" s="7"/>
      <c r="Q43" s="7"/>
      <c r="R43" s="47"/>
      <c r="S43" s="47"/>
      <c r="T43" s="41"/>
      <c r="U43" s="7"/>
      <c r="V43" s="47"/>
      <c r="W43" s="47"/>
      <c r="X43" s="47"/>
      <c r="Y43" s="47"/>
      <c r="Z43" s="47"/>
    </row>
    <row r="44" spans="1:26" x14ac:dyDescent="0.2">
      <c r="E44" s="7"/>
      <c r="F44" s="7"/>
      <c r="G44" s="7"/>
      <c r="H44" s="64"/>
      <c r="I44" s="64"/>
      <c r="J44" s="64"/>
      <c r="K44" s="7"/>
      <c r="L44" s="7"/>
      <c r="M44" s="7"/>
      <c r="N44" s="7"/>
      <c r="O44" s="7"/>
      <c r="P44" s="7"/>
      <c r="Q44" s="7"/>
      <c r="R44" s="47"/>
      <c r="S44" s="47"/>
      <c r="T44" s="7"/>
      <c r="U44" s="7"/>
      <c r="V44" s="47"/>
      <c r="W44" s="47"/>
      <c r="X44" s="47"/>
      <c r="Y44" s="47"/>
      <c r="Z44" s="47"/>
    </row>
    <row r="45" spans="1:26" x14ac:dyDescent="0.2">
      <c r="E45" s="7"/>
      <c r="F45" s="7"/>
      <c r="G45" s="7"/>
      <c r="H45" s="64"/>
      <c r="I45" s="64"/>
      <c r="J45" s="64"/>
      <c r="K45" s="7"/>
      <c r="L45" s="7"/>
      <c r="M45" s="7"/>
      <c r="N45" s="7"/>
      <c r="O45" s="7"/>
      <c r="P45" s="7"/>
      <c r="Q45" s="7"/>
      <c r="R45" s="47"/>
      <c r="S45" s="47"/>
      <c r="T45" s="7"/>
      <c r="U45" s="7"/>
      <c r="V45" s="47"/>
      <c r="W45" s="47"/>
      <c r="X45" s="47"/>
      <c r="Y45" s="47"/>
      <c r="Z45" s="47"/>
    </row>
    <row r="46" spans="1:26" x14ac:dyDescent="0.2">
      <c r="E46" s="7"/>
      <c r="F46" s="7"/>
      <c r="G46" s="7"/>
      <c r="H46" s="64"/>
      <c r="I46" s="64"/>
      <c r="J46" s="64"/>
      <c r="K46" s="7"/>
      <c r="L46" s="7"/>
      <c r="M46" s="7"/>
      <c r="N46" s="7"/>
      <c r="O46" s="7"/>
      <c r="P46" s="7"/>
      <c r="Q46" s="7"/>
      <c r="R46" s="47"/>
      <c r="S46" s="47"/>
      <c r="T46" s="41"/>
      <c r="U46" s="7"/>
      <c r="V46" s="47"/>
      <c r="W46" s="47"/>
      <c r="X46" s="47"/>
      <c r="Y46" s="47"/>
      <c r="Z46" s="47"/>
    </row>
    <row r="47" spans="1:26" x14ac:dyDescent="0.2">
      <c r="E47" s="7"/>
      <c r="F47" s="7"/>
      <c r="G47" s="7"/>
      <c r="H47" s="64"/>
      <c r="I47" s="64"/>
      <c r="J47" s="64"/>
      <c r="K47" s="7"/>
      <c r="L47" s="7"/>
      <c r="M47" s="7"/>
      <c r="N47" s="7"/>
      <c r="O47" s="7"/>
      <c r="P47" s="7"/>
      <c r="Q47" s="7"/>
      <c r="R47" s="47"/>
      <c r="S47" s="47"/>
      <c r="T47" s="47"/>
      <c r="U47" s="7"/>
    </row>
    <row r="48" spans="1:26" x14ac:dyDescent="0.2">
      <c r="E48" s="7"/>
      <c r="F48" s="7"/>
      <c r="G48" s="7"/>
      <c r="H48" s="64"/>
      <c r="I48" s="64"/>
      <c r="J48" s="64"/>
      <c r="K48" s="7"/>
      <c r="L48" s="7"/>
      <c r="M48" s="7"/>
      <c r="N48" s="7"/>
      <c r="O48" s="7"/>
      <c r="P48" s="7"/>
      <c r="Q48" s="7"/>
      <c r="R48" s="47"/>
      <c r="S48" s="47"/>
      <c r="T48" s="47"/>
      <c r="U48" s="7"/>
    </row>
    <row r="49" spans="5:21" x14ac:dyDescent="0.2">
      <c r="E49" s="7"/>
      <c r="F49" s="7"/>
      <c r="G49" s="7"/>
      <c r="H49" s="64"/>
      <c r="I49" s="64"/>
      <c r="J49" s="64"/>
      <c r="K49" s="7"/>
      <c r="L49" s="7"/>
      <c r="M49" s="7"/>
      <c r="N49" s="7"/>
      <c r="O49" s="7"/>
      <c r="P49" s="7"/>
      <c r="Q49" s="7"/>
      <c r="R49" s="47"/>
      <c r="S49" s="47"/>
      <c r="T49" s="47"/>
      <c r="U49" s="7"/>
    </row>
    <row r="50" spans="5:21" x14ac:dyDescent="0.2">
      <c r="E50" s="7"/>
      <c r="F50" s="7"/>
      <c r="G50" s="7"/>
      <c r="H50" s="64"/>
      <c r="I50" s="64"/>
      <c r="J50" s="64"/>
      <c r="K50" s="7"/>
      <c r="L50" s="7"/>
      <c r="M50" s="7"/>
      <c r="N50" s="7"/>
      <c r="O50" s="7"/>
      <c r="P50" s="7"/>
      <c r="Q50" s="7"/>
      <c r="R50" s="47"/>
      <c r="S50" s="47"/>
      <c r="T50" s="47"/>
      <c r="U50" s="7"/>
    </row>
    <row r="51" spans="5:21" x14ac:dyDescent="0.2">
      <c r="E51" s="7"/>
      <c r="F51" s="7"/>
      <c r="G51" s="7"/>
      <c r="H51" s="64"/>
      <c r="I51" s="64"/>
      <c r="J51" s="64"/>
      <c r="K51" s="7"/>
      <c r="L51" s="7"/>
      <c r="M51" s="7"/>
      <c r="N51" s="7"/>
      <c r="O51" s="7"/>
      <c r="P51" s="7"/>
      <c r="Q51" s="7"/>
      <c r="R51" s="47"/>
      <c r="S51" s="47"/>
      <c r="T51" s="47"/>
      <c r="U51" s="7"/>
    </row>
    <row r="52" spans="5:21" x14ac:dyDescent="0.2">
      <c r="E52" s="7"/>
      <c r="F52" s="7"/>
      <c r="G52" s="7"/>
      <c r="H52" s="64"/>
      <c r="I52" s="64"/>
      <c r="J52" s="64"/>
      <c r="K52" s="7"/>
      <c r="L52" s="7"/>
      <c r="M52" s="7"/>
      <c r="N52" s="7"/>
      <c r="O52" s="7"/>
      <c r="P52" s="7"/>
      <c r="Q52" s="7"/>
      <c r="R52" s="47"/>
      <c r="S52" s="47"/>
      <c r="T52" s="47"/>
      <c r="U52" s="7"/>
    </row>
    <row r="53" spans="5:21" x14ac:dyDescent="0.2">
      <c r="E53" s="7"/>
      <c r="F53" s="7"/>
      <c r="G53" s="7"/>
      <c r="H53" s="64"/>
      <c r="I53" s="64"/>
      <c r="J53" s="64"/>
      <c r="K53" s="7"/>
      <c r="L53" s="7"/>
      <c r="M53" s="7"/>
      <c r="N53" s="7"/>
      <c r="O53" s="7"/>
      <c r="P53" s="7"/>
      <c r="Q53" s="7"/>
      <c r="R53" s="47"/>
      <c r="S53" s="47"/>
      <c r="T53" s="47"/>
      <c r="U53" s="7"/>
    </row>
    <row r="54" spans="5:21" x14ac:dyDescent="0.2">
      <c r="E54" s="47"/>
      <c r="F54" s="10"/>
      <c r="G54" s="10"/>
      <c r="H54" s="67"/>
      <c r="I54" s="67"/>
      <c r="J54" s="67"/>
      <c r="K54" s="10"/>
      <c r="L54" s="10"/>
      <c r="M54" s="47"/>
      <c r="N54" s="47"/>
      <c r="O54" s="47"/>
      <c r="P54" s="47"/>
      <c r="Q54" s="47"/>
      <c r="R54" s="47"/>
      <c r="S54" s="47"/>
      <c r="T54" s="47"/>
      <c r="U54" s="7"/>
    </row>
    <row r="55" spans="5:21" x14ac:dyDescent="0.2">
      <c r="E55" s="47"/>
      <c r="F55" s="9"/>
      <c r="G55" s="9"/>
      <c r="H55" s="68"/>
      <c r="I55" s="68"/>
      <c r="J55" s="68"/>
      <c r="K55" s="9"/>
      <c r="L55" s="9"/>
      <c r="M55" s="47"/>
      <c r="N55" s="47"/>
      <c r="O55" s="47"/>
      <c r="P55" s="47"/>
      <c r="Q55" s="47"/>
      <c r="R55" s="47"/>
      <c r="S55" s="47"/>
      <c r="T55" s="47"/>
      <c r="U55" s="7"/>
    </row>
    <row r="56" spans="5:21" x14ac:dyDescent="0.2">
      <c r="E56" s="47"/>
      <c r="F56" s="47"/>
      <c r="G56" s="47"/>
      <c r="H56" s="148"/>
      <c r="I56" s="148"/>
      <c r="J56" s="148"/>
      <c r="K56" s="47"/>
      <c r="L56" s="47"/>
      <c r="M56" s="47"/>
      <c r="N56" s="47"/>
      <c r="O56" s="47"/>
      <c r="P56" s="7"/>
      <c r="Q56" s="7"/>
      <c r="R56" s="47"/>
      <c r="S56" s="47"/>
      <c r="T56" s="47"/>
      <c r="U56" s="7"/>
    </row>
    <row r="57" spans="5:21" x14ac:dyDescent="0.2">
      <c r="E57" s="47"/>
      <c r="F57" s="8"/>
      <c r="G57" s="8"/>
      <c r="H57" s="148"/>
      <c r="I57" s="148"/>
      <c r="J57" s="148"/>
      <c r="K57" s="8"/>
      <c r="L57" s="8"/>
      <c r="M57" s="47"/>
      <c r="N57" s="8"/>
      <c r="O57" s="47"/>
      <c r="P57" s="7"/>
      <c r="Q57" s="8"/>
      <c r="R57" s="47"/>
      <c r="S57" s="47"/>
      <c r="T57" s="47"/>
      <c r="U57" s="47"/>
    </row>
    <row r="58" spans="5:21" x14ac:dyDescent="0.2">
      <c r="E58" s="47"/>
      <c r="F58" s="8"/>
      <c r="G58" s="8"/>
      <c r="H58" s="148"/>
      <c r="I58" s="148"/>
      <c r="J58" s="148"/>
      <c r="K58" s="8"/>
      <c r="L58" s="8"/>
      <c r="M58" s="7"/>
      <c r="N58" s="8"/>
      <c r="O58" s="7"/>
      <c r="P58" s="7"/>
      <c r="Q58" s="8"/>
      <c r="R58" s="47"/>
      <c r="S58" s="47"/>
      <c r="T58" s="47"/>
      <c r="U58" s="47"/>
    </row>
    <row r="59" spans="5:21" x14ac:dyDescent="0.2">
      <c r="E59" s="47"/>
      <c r="F59" s="8"/>
      <c r="G59" s="8"/>
      <c r="H59" s="148"/>
      <c r="I59" s="148"/>
      <c r="J59" s="148"/>
      <c r="K59" s="8"/>
      <c r="L59" s="8"/>
      <c r="M59" s="7"/>
      <c r="N59" s="8"/>
      <c r="O59" s="7"/>
      <c r="P59" s="7"/>
      <c r="Q59" s="7"/>
      <c r="R59" s="47"/>
      <c r="S59" s="47"/>
      <c r="T59" s="47"/>
      <c r="U59" s="47"/>
    </row>
    <row r="60" spans="5:21" x14ac:dyDescent="0.2">
      <c r="E60" s="9"/>
      <c r="F60" s="47"/>
      <c r="G60" s="47"/>
      <c r="H60" s="148"/>
      <c r="I60" s="148"/>
      <c r="J60" s="148"/>
      <c r="K60" s="47"/>
      <c r="L60" s="47"/>
      <c r="M60" s="7"/>
      <c r="N60" s="8"/>
      <c r="O60" s="7"/>
      <c r="P60" s="7"/>
      <c r="Q60" s="7"/>
      <c r="R60" s="47"/>
      <c r="S60" s="47"/>
      <c r="T60" s="47"/>
      <c r="U60" s="47"/>
    </row>
    <row r="61" spans="5:21" x14ac:dyDescent="0.2">
      <c r="E61" s="47"/>
      <c r="F61" s="47"/>
      <c r="G61" s="47"/>
      <c r="H61" s="148"/>
      <c r="I61" s="148"/>
      <c r="J61" s="148"/>
      <c r="K61" s="47"/>
      <c r="L61" s="47"/>
      <c r="M61" s="7"/>
      <c r="N61" s="8"/>
      <c r="O61" s="7"/>
      <c r="P61" s="7"/>
      <c r="Q61" s="7"/>
      <c r="R61" s="47"/>
      <c r="S61" s="47"/>
      <c r="T61" s="47"/>
      <c r="U61" s="47"/>
    </row>
    <row r="62" spans="5:21" x14ac:dyDescent="0.2">
      <c r="E62" s="47"/>
      <c r="F62" s="47"/>
      <c r="G62" s="47"/>
      <c r="H62" s="148"/>
      <c r="I62" s="148"/>
      <c r="J62" s="148"/>
      <c r="K62" s="47"/>
      <c r="L62" s="47"/>
      <c r="M62" s="47"/>
      <c r="N62" s="8"/>
      <c r="O62" s="7"/>
      <c r="P62" s="7"/>
      <c r="Q62" s="7"/>
      <c r="R62" s="47"/>
      <c r="S62" s="47"/>
      <c r="T62" s="47"/>
      <c r="U62" s="47"/>
    </row>
    <row r="63" spans="5:21" x14ac:dyDescent="0.2">
      <c r="E63" s="47"/>
      <c r="F63" s="47"/>
      <c r="G63" s="47"/>
      <c r="H63" s="148"/>
      <c r="I63" s="148"/>
      <c r="J63" s="148"/>
      <c r="K63" s="47"/>
      <c r="L63" s="47"/>
      <c r="M63" s="47"/>
      <c r="N63" s="47"/>
      <c r="O63" s="7"/>
      <c r="P63" s="7"/>
      <c r="Q63" s="7"/>
      <c r="R63" s="47"/>
      <c r="S63" s="47"/>
      <c r="T63" s="47"/>
      <c r="U63" s="47"/>
    </row>
    <row r="64" spans="5:21" x14ac:dyDescent="0.2">
      <c r="E64" s="47"/>
      <c r="F64" s="47"/>
      <c r="G64" s="47"/>
      <c r="H64" s="148"/>
      <c r="I64" s="148"/>
      <c r="J64" s="148"/>
      <c r="K64" s="47"/>
      <c r="L64" s="47"/>
      <c r="M64" s="7"/>
      <c r="N64" s="7"/>
      <c r="O64" s="7"/>
      <c r="P64" s="7"/>
      <c r="Q64" s="7"/>
      <c r="R64" s="47"/>
      <c r="S64" s="47"/>
      <c r="T64" s="8"/>
      <c r="U64" s="47"/>
    </row>
    <row r="65" spans="5:21" x14ac:dyDescent="0.2">
      <c r="E65" s="47"/>
      <c r="F65" s="8"/>
      <c r="G65" s="8"/>
      <c r="H65" s="69"/>
      <c r="I65" s="69"/>
      <c r="J65" s="69"/>
      <c r="K65" s="8"/>
      <c r="L65" s="8"/>
      <c r="M65" s="8"/>
      <c r="N65" s="8"/>
      <c r="O65" s="8"/>
      <c r="P65" s="8"/>
      <c r="Q65" s="8"/>
      <c r="R65" s="8"/>
      <c r="S65" s="8"/>
      <c r="T65" s="292"/>
      <c r="U65" s="47"/>
    </row>
    <row r="66" spans="5:21" x14ac:dyDescent="0.2">
      <c r="E66" s="47"/>
      <c r="F66" s="8"/>
      <c r="G66" s="8"/>
      <c r="H66" s="69"/>
      <c r="I66" s="69"/>
      <c r="J66" s="69"/>
      <c r="K66" s="8"/>
      <c r="L66" s="8"/>
      <c r="M66" s="8"/>
      <c r="N66" s="8"/>
      <c r="O66" s="8"/>
      <c r="P66" s="8"/>
      <c r="Q66" s="8"/>
      <c r="R66" s="8"/>
      <c r="S66" s="8"/>
      <c r="T66" s="8"/>
      <c r="U66" s="47"/>
    </row>
    <row r="67" spans="5:21" x14ac:dyDescent="0.2">
      <c r="E67" s="47"/>
      <c r="F67" s="8"/>
      <c r="G67" s="8"/>
      <c r="H67" s="69"/>
      <c r="I67" s="69"/>
      <c r="J67" s="69"/>
      <c r="K67" s="8"/>
      <c r="L67" s="8"/>
      <c r="M67" s="8"/>
      <c r="N67" s="7"/>
      <c r="O67" s="8"/>
      <c r="P67" s="8"/>
      <c r="Q67" s="8"/>
      <c r="R67" s="8"/>
      <c r="S67" s="8"/>
      <c r="T67" s="8"/>
      <c r="U67" s="47"/>
    </row>
    <row r="68" spans="5:21" x14ac:dyDescent="0.2">
      <c r="E68" s="47"/>
      <c r="F68" s="8"/>
      <c r="G68" s="8"/>
      <c r="H68" s="70"/>
      <c r="I68" s="70"/>
      <c r="J68" s="70"/>
      <c r="K68" s="8"/>
      <c r="L68" s="8"/>
      <c r="M68" s="8"/>
      <c r="N68" s="8"/>
      <c r="O68" s="8"/>
      <c r="P68" s="8"/>
      <c r="Q68" s="8"/>
      <c r="R68" s="8"/>
      <c r="S68" s="8"/>
      <c r="T68" s="8"/>
      <c r="U68" s="47"/>
    </row>
    <row r="69" spans="5:21" x14ac:dyDescent="0.2">
      <c r="E69" s="47"/>
      <c r="F69" s="8"/>
      <c r="G69" s="8"/>
      <c r="H69" s="70"/>
      <c r="I69" s="70"/>
      <c r="J69" s="70"/>
      <c r="K69" s="8"/>
      <c r="L69" s="8"/>
      <c r="M69" s="8"/>
      <c r="N69" s="8"/>
      <c r="O69" s="8"/>
      <c r="P69" s="8"/>
      <c r="Q69" s="8"/>
      <c r="R69" s="8"/>
      <c r="S69" s="8"/>
      <c r="T69" s="47"/>
      <c r="U69" s="47"/>
    </row>
    <row r="70" spans="5:21" x14ac:dyDescent="0.2">
      <c r="E70" s="47"/>
      <c r="F70" s="47"/>
      <c r="G70" s="47"/>
      <c r="H70" s="147"/>
      <c r="I70" s="147"/>
      <c r="J70" s="147"/>
      <c r="K70" s="47"/>
      <c r="L70" s="47"/>
      <c r="M70" s="7"/>
      <c r="N70" s="7"/>
      <c r="O70" s="7"/>
      <c r="P70" s="7"/>
      <c r="Q70" s="7"/>
      <c r="R70" s="47"/>
      <c r="S70" s="47"/>
      <c r="T70" s="47"/>
      <c r="U70" s="47"/>
    </row>
    <row r="71" spans="5:21" x14ac:dyDescent="0.2">
      <c r="E71" s="47"/>
      <c r="F71" s="47"/>
      <c r="G71" s="47"/>
      <c r="H71" s="147"/>
      <c r="I71" s="147"/>
      <c r="J71" s="147"/>
      <c r="K71" s="47"/>
      <c r="L71" s="47"/>
      <c r="M71" s="7"/>
      <c r="N71" s="7"/>
      <c r="O71" s="7"/>
      <c r="P71" s="7"/>
      <c r="Q71" s="7"/>
      <c r="R71" s="7"/>
      <c r="S71" s="47"/>
      <c r="T71" s="47"/>
      <c r="U71" s="47"/>
    </row>
    <row r="72" spans="5:21" x14ac:dyDescent="0.2">
      <c r="M72" s="6"/>
      <c r="N72" s="6"/>
      <c r="O72" s="6"/>
      <c r="P72" s="6"/>
      <c r="Q72" s="6"/>
      <c r="R72" s="6"/>
    </row>
    <row r="73" spans="5:21" x14ac:dyDescent="0.2">
      <c r="M73" s="6"/>
      <c r="N73" s="6"/>
      <c r="O73" s="6"/>
      <c r="P73" s="6"/>
      <c r="Q73" s="6"/>
      <c r="R73" s="6"/>
    </row>
    <row r="74" spans="5:21" x14ac:dyDescent="0.2">
      <c r="M74" s="6"/>
      <c r="N74" s="6"/>
      <c r="O74" s="6"/>
      <c r="P74" s="6"/>
      <c r="Q74" s="6"/>
      <c r="R74" s="6"/>
    </row>
    <row r="75" spans="5:21" x14ac:dyDescent="0.2">
      <c r="F75" s="6"/>
      <c r="G75" s="6"/>
      <c r="K75" s="6"/>
      <c r="L75" s="6"/>
      <c r="M75" s="6"/>
      <c r="N75" s="6"/>
      <c r="O75" s="6"/>
      <c r="P75" s="6"/>
      <c r="Q75" s="6"/>
      <c r="R75" s="6"/>
    </row>
    <row r="76" spans="5:21" x14ac:dyDescent="0.2">
      <c r="F76" s="49"/>
      <c r="G76" s="49"/>
      <c r="K76" s="49"/>
      <c r="L76" s="49"/>
      <c r="M76" s="6"/>
      <c r="N76" s="6"/>
      <c r="O76" s="6"/>
      <c r="P76" s="6"/>
      <c r="Q76" s="6"/>
      <c r="R76" s="6"/>
    </row>
    <row r="77" spans="5:21" x14ac:dyDescent="0.2">
      <c r="F77" s="49"/>
      <c r="G77" s="49"/>
      <c r="K77" s="49"/>
      <c r="L77" s="49"/>
      <c r="M77" s="6"/>
      <c r="N77" s="6"/>
      <c r="O77" s="6"/>
      <c r="P77" s="6"/>
      <c r="Q77" s="6"/>
      <c r="R77" s="6"/>
    </row>
    <row r="78" spans="5:21" x14ac:dyDescent="0.2">
      <c r="F78" s="49"/>
      <c r="G78" s="49"/>
      <c r="K78" s="49"/>
      <c r="L78" s="49"/>
      <c r="M78" s="6"/>
      <c r="N78" s="6"/>
      <c r="O78" s="6"/>
      <c r="P78" s="6"/>
      <c r="Q78" s="6"/>
      <c r="R78" s="6"/>
    </row>
    <row r="79" spans="5:21" x14ac:dyDescent="0.2">
      <c r="M79" s="6"/>
      <c r="N79" s="6"/>
      <c r="O79" s="6"/>
      <c r="P79" s="6"/>
      <c r="Q79" s="6"/>
      <c r="R79" s="6"/>
    </row>
    <row r="80" spans="5:21" x14ac:dyDescent="0.2">
      <c r="M80" s="6"/>
      <c r="N80" s="6"/>
      <c r="O80" s="6"/>
      <c r="P80" s="6"/>
      <c r="Q80" s="6"/>
      <c r="R80" s="6"/>
    </row>
    <row r="81" spans="13:18" x14ac:dyDescent="0.2">
      <c r="M81" s="6"/>
      <c r="N81" s="6"/>
      <c r="O81" s="6"/>
      <c r="P81" s="6"/>
      <c r="Q81" s="6"/>
      <c r="R81" s="6"/>
    </row>
    <row r="82" spans="13:18" x14ac:dyDescent="0.2">
      <c r="M82" s="6"/>
      <c r="N82" s="6"/>
      <c r="O82" s="6"/>
      <c r="P82" s="6"/>
    </row>
  </sheetData>
  <printOptions horizontalCentered="1"/>
  <pageMargins left="0.5" right="0.5" top="1" bottom="1" header="0.5" footer="0.5"/>
  <pageSetup scale="68" orientation="landscape" blackAndWhite="1" horizontalDpi="300" verticalDpi="300" r:id="rId1"/>
  <headerFooter alignWithMargins="0">
    <oddFooter>&amp;L&amp;F 
&amp;A&amp;C&amp;P&amp;R&amp;D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zoomScale="90" zoomScaleNormal="9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J32" sqref="J32"/>
    </sheetView>
  </sheetViews>
  <sheetFormatPr defaultRowHeight="12.75" x14ac:dyDescent="0.2"/>
  <cols>
    <col min="1" max="1" width="8.5703125" style="577" customWidth="1"/>
    <col min="2" max="2" width="43.140625" style="577" customWidth="1"/>
    <col min="3" max="3" width="38.85546875" style="577" customWidth="1"/>
    <col min="4" max="5" width="10.42578125" style="577" customWidth="1"/>
    <col min="6" max="6" width="14.28515625" style="576" bestFit="1" customWidth="1"/>
    <col min="7" max="7" width="12.28515625" style="576" bestFit="1" customWidth="1"/>
    <col min="8" max="8" width="14.28515625" style="576" bestFit="1" customWidth="1"/>
    <col min="9" max="9" width="11.85546875" style="577" bestFit="1" customWidth="1"/>
    <col min="10" max="10" width="17.42578125" style="576" customWidth="1"/>
    <col min="11" max="21" width="9.140625" style="576"/>
    <col min="22" max="16384" width="9.140625" style="577"/>
  </cols>
  <sheetData>
    <row r="1" spans="1:21" ht="18" x14ac:dyDescent="0.25">
      <c r="A1" s="574" t="s">
        <v>344</v>
      </c>
      <c r="B1" s="575"/>
      <c r="C1" s="575"/>
      <c r="D1" s="575"/>
      <c r="E1" s="575"/>
      <c r="F1" s="575"/>
      <c r="G1" s="575"/>
      <c r="H1" s="575"/>
      <c r="I1" s="575"/>
    </row>
    <row r="2" spans="1:21" ht="18" x14ac:dyDescent="0.25">
      <c r="A2" s="574" t="s">
        <v>345</v>
      </c>
      <c r="B2" s="575"/>
      <c r="C2" s="575"/>
      <c r="D2" s="575"/>
      <c r="E2" s="575"/>
      <c r="F2" s="575"/>
      <c r="G2" s="575"/>
      <c r="H2" s="575"/>
      <c r="I2" s="575"/>
    </row>
    <row r="3" spans="1:21" ht="18" x14ac:dyDescent="0.25">
      <c r="A3" s="574" t="s">
        <v>346</v>
      </c>
      <c r="B3" s="578"/>
      <c r="C3" s="578"/>
      <c r="D3" s="578"/>
      <c r="E3" s="578"/>
      <c r="F3" s="578"/>
      <c r="G3" s="578"/>
      <c r="H3" s="578"/>
      <c r="I3" s="578"/>
    </row>
    <row r="4" spans="1:21" ht="18" x14ac:dyDescent="0.25">
      <c r="A4" s="574" t="s">
        <v>347</v>
      </c>
      <c r="B4" s="578"/>
      <c r="C4" s="578"/>
      <c r="D4" s="578"/>
      <c r="E4" s="578"/>
      <c r="F4" s="578"/>
      <c r="G4" s="578"/>
      <c r="H4" s="578"/>
      <c r="I4" s="578"/>
    </row>
    <row r="5" spans="1:21" s="580" customFormat="1" ht="17.25" customHeight="1" x14ac:dyDescent="0.25">
      <c r="A5" s="579"/>
      <c r="C5" s="581"/>
      <c r="D5" s="582"/>
      <c r="E5" s="583"/>
      <c r="F5" s="584"/>
      <c r="G5" s="585"/>
      <c r="H5" s="585"/>
      <c r="I5" s="585"/>
      <c r="J5" s="585"/>
      <c r="K5" s="585"/>
      <c r="L5" s="585"/>
      <c r="M5" s="585"/>
      <c r="N5" s="585"/>
      <c r="O5" s="585"/>
      <c r="P5" s="585"/>
      <c r="Q5" s="585"/>
      <c r="R5" s="585"/>
      <c r="S5" s="585"/>
      <c r="T5" s="585"/>
      <c r="U5" s="585"/>
    </row>
    <row r="6" spans="1:21" ht="39.75" customHeight="1" thickBot="1" x14ac:dyDescent="0.25">
      <c r="A6" s="586" t="s">
        <v>348</v>
      </c>
      <c r="B6" s="587"/>
      <c r="C6" s="588"/>
      <c r="D6" s="589" t="s">
        <v>61</v>
      </c>
      <c r="E6" s="590" t="s">
        <v>60</v>
      </c>
      <c r="F6" s="591" t="s">
        <v>349</v>
      </c>
      <c r="G6" s="591" t="s">
        <v>350</v>
      </c>
      <c r="H6" s="591" t="s">
        <v>351</v>
      </c>
      <c r="I6" s="592" t="s">
        <v>352</v>
      </c>
    </row>
    <row r="7" spans="1:21" x14ac:dyDescent="0.2">
      <c r="A7" s="593" t="s">
        <v>353</v>
      </c>
      <c r="B7" s="594" t="s">
        <v>354</v>
      </c>
      <c r="C7" s="595" t="s">
        <v>355</v>
      </c>
      <c r="D7" s="595" t="s">
        <v>356</v>
      </c>
      <c r="E7" s="596" t="s">
        <v>357</v>
      </c>
      <c r="F7" s="597" t="s">
        <v>358</v>
      </c>
      <c r="G7" s="597" t="s">
        <v>359</v>
      </c>
      <c r="H7" s="597" t="s">
        <v>360</v>
      </c>
      <c r="I7" s="597" t="s">
        <v>361</v>
      </c>
    </row>
    <row r="8" spans="1:21" x14ac:dyDescent="0.2">
      <c r="A8" s="593"/>
      <c r="B8" s="594"/>
      <c r="C8" s="595"/>
      <c r="D8" s="595"/>
      <c r="E8" s="596"/>
      <c r="F8" s="598"/>
      <c r="G8" s="598"/>
      <c r="H8" s="598"/>
      <c r="I8" s="598"/>
    </row>
    <row r="9" spans="1:21" x14ac:dyDescent="0.2">
      <c r="A9" s="593">
        <f>A8+1</f>
        <v>1</v>
      </c>
      <c r="B9" s="599" t="s">
        <v>362</v>
      </c>
      <c r="C9" s="595"/>
      <c r="D9" s="600">
        <v>0.85</v>
      </c>
      <c r="E9" s="600">
        <v>0.15</v>
      </c>
      <c r="F9" s="601">
        <f>H9*D9</f>
        <v>24514240.401641063</v>
      </c>
      <c r="G9" s="601">
        <f>H9*E9</f>
        <v>4326042.4238190111</v>
      </c>
      <c r="H9" s="602">
        <v>28840282.825460076</v>
      </c>
      <c r="I9" s="598"/>
    </row>
    <row r="10" spans="1:21" x14ac:dyDescent="0.2">
      <c r="A10" s="593">
        <f t="shared" ref="A10:A32" si="0">A9+1</f>
        <v>2</v>
      </c>
      <c r="B10" s="599" t="s">
        <v>363</v>
      </c>
      <c r="C10" s="595"/>
      <c r="D10" s="603">
        <v>-3.0675917108392977E-3</v>
      </c>
      <c r="E10" s="604">
        <v>-8.6592106436634824E-3</v>
      </c>
      <c r="F10" s="605">
        <f>IF(D10&lt;0,0,D10)*F9</f>
        <v>0</v>
      </c>
      <c r="G10" s="605">
        <f>IF(E10&lt;0,0,E10)*G9</f>
        <v>0</v>
      </c>
      <c r="H10" s="605">
        <f>F10+G10</f>
        <v>0</v>
      </c>
      <c r="I10" s="606"/>
    </row>
    <row r="11" spans="1:21" x14ac:dyDescent="0.2">
      <c r="A11" s="593">
        <f t="shared" si="0"/>
        <v>3</v>
      </c>
      <c r="B11" s="599" t="s">
        <v>364</v>
      </c>
      <c r="C11" s="595"/>
      <c r="D11" s="607">
        <v>0.24722037912488903</v>
      </c>
      <c r="E11" s="604">
        <v>0.12929407606173551</v>
      </c>
      <c r="F11" s="605">
        <f>(F9+F10)*D11</f>
        <v>6060419.8060523756</v>
      </c>
      <c r="G11" s="605">
        <f>(G9+G10)*E11</f>
        <v>559331.65819154982</v>
      </c>
      <c r="H11" s="605">
        <f>F11+G11</f>
        <v>6619751.4642439252</v>
      </c>
      <c r="I11" s="608" t="s">
        <v>365</v>
      </c>
    </row>
    <row r="12" spans="1:21" x14ac:dyDescent="0.2">
      <c r="A12" s="593">
        <f t="shared" si="0"/>
        <v>4</v>
      </c>
      <c r="B12" s="599" t="s">
        <v>366</v>
      </c>
      <c r="C12" s="609"/>
      <c r="E12" s="610"/>
      <c r="F12" s="611">
        <f>SUM(F9:F11)</f>
        <v>30574660.207693439</v>
      </c>
      <c r="G12" s="611">
        <f>SUM(G9:G11)</f>
        <v>4885374.0820105607</v>
      </c>
      <c r="H12" s="611">
        <f>SUM(H9:H11)</f>
        <v>35460034.289704002</v>
      </c>
      <c r="I12" s="612"/>
      <c r="J12" s="613"/>
      <c r="L12" s="614"/>
    </row>
    <row r="13" spans="1:21" s="576" customFormat="1" x14ac:dyDescent="0.2">
      <c r="A13" s="593">
        <f t="shared" si="0"/>
        <v>5</v>
      </c>
      <c r="B13" s="599"/>
      <c r="C13" s="609"/>
      <c r="D13" s="615"/>
      <c r="E13" s="616"/>
      <c r="F13" s="617">
        <f>F12/H12</f>
        <v>0.86222872651228499</v>
      </c>
      <c r="G13" s="617">
        <f>G12/H12</f>
        <v>0.13777127348771498</v>
      </c>
      <c r="H13" s="618"/>
      <c r="I13" s="612"/>
    </row>
    <row r="14" spans="1:21" ht="13.5" customHeight="1" x14ac:dyDescent="0.2">
      <c r="A14" s="593">
        <f t="shared" si="0"/>
        <v>6</v>
      </c>
      <c r="B14" s="599" t="s">
        <v>386</v>
      </c>
      <c r="C14" s="609"/>
      <c r="D14" s="615"/>
      <c r="E14" s="616"/>
      <c r="F14" s="619">
        <v>-486441.44944413751</v>
      </c>
      <c r="G14" s="619">
        <v>110275.85080280798</v>
      </c>
      <c r="H14" s="605">
        <f>SUM(F14:G14)</f>
        <v>-376165.59864132956</v>
      </c>
      <c r="I14" s="612"/>
    </row>
    <row r="15" spans="1:21" x14ac:dyDescent="0.2">
      <c r="A15" s="593">
        <f t="shared" si="0"/>
        <v>7</v>
      </c>
      <c r="B15" s="620" t="s">
        <v>387</v>
      </c>
      <c r="C15" s="609"/>
      <c r="D15" s="609"/>
      <c r="E15" s="621"/>
      <c r="F15" s="605">
        <v>-1930999.3851297796</v>
      </c>
      <c r="G15" s="605">
        <v>-159643.1417871397</v>
      </c>
      <c r="H15" s="605">
        <f>SUM(F15:G15)</f>
        <v>-2090642.5269169193</v>
      </c>
      <c r="I15" s="612"/>
    </row>
    <row r="16" spans="1:21" s="576" customFormat="1" x14ac:dyDescent="0.2">
      <c r="A16" s="593">
        <f t="shared" si="0"/>
        <v>8</v>
      </c>
      <c r="B16" s="599" t="s">
        <v>388</v>
      </c>
      <c r="C16" s="595"/>
      <c r="D16" s="600">
        <v>0.85</v>
      </c>
      <c r="E16" s="600">
        <v>0.15</v>
      </c>
      <c r="F16" s="601">
        <f>H16*D16</f>
        <v>-631125</v>
      </c>
      <c r="G16" s="601">
        <f>H16*E16</f>
        <v>-111375</v>
      </c>
      <c r="H16" s="601">
        <v>-742500</v>
      </c>
      <c r="I16" s="596"/>
    </row>
    <row r="17" spans="1:17" x14ac:dyDescent="0.2">
      <c r="A17" s="593">
        <f t="shared" si="0"/>
        <v>9</v>
      </c>
      <c r="B17" s="622" t="s">
        <v>368</v>
      </c>
      <c r="C17" s="609"/>
      <c r="D17" s="600">
        <v>0.85</v>
      </c>
      <c r="E17" s="600">
        <v>0.15</v>
      </c>
      <c r="F17" s="623">
        <f>H17*D17</f>
        <v>-713205.53899999999</v>
      </c>
      <c r="G17" s="623">
        <f>H17*E17</f>
        <v>-125859.80099999999</v>
      </c>
      <c r="H17" s="624">
        <v>-839065.34</v>
      </c>
      <c r="I17" s="612"/>
    </row>
    <row r="18" spans="1:17" s="576" customFormat="1" x14ac:dyDescent="0.2">
      <c r="A18" s="593">
        <f t="shared" si="0"/>
        <v>10</v>
      </c>
      <c r="B18" s="599"/>
      <c r="C18" s="609"/>
      <c r="D18" s="600"/>
      <c r="E18" s="625"/>
      <c r="F18" s="605"/>
      <c r="G18" s="605"/>
      <c r="H18" s="605"/>
      <c r="I18" s="612"/>
    </row>
    <row r="19" spans="1:17" s="576" customFormat="1" ht="14.1" customHeight="1" x14ac:dyDescent="0.2">
      <c r="A19" s="593">
        <f t="shared" si="0"/>
        <v>11</v>
      </c>
      <c r="B19" s="620" t="s">
        <v>389</v>
      </c>
      <c r="C19" s="609"/>
      <c r="F19" s="626">
        <f>SUM(F12:F18)-F13</f>
        <v>26812888.834119521</v>
      </c>
      <c r="G19" s="626">
        <f>SUM(G12:G18)-G13</f>
        <v>4598771.9900262291</v>
      </c>
      <c r="H19" s="626">
        <f>SUM(H12:H18)-H13</f>
        <v>31411660.824145753</v>
      </c>
      <c r="I19" s="612"/>
    </row>
    <row r="20" spans="1:17" s="576" customFormat="1" ht="14.1" customHeight="1" x14ac:dyDescent="0.2">
      <c r="A20" s="593">
        <f t="shared" si="0"/>
        <v>12</v>
      </c>
      <c r="B20" s="622"/>
      <c r="C20" s="609"/>
      <c r="D20" s="609"/>
      <c r="E20" s="627"/>
      <c r="F20" s="628"/>
      <c r="G20" s="628"/>
      <c r="H20" s="628"/>
      <c r="I20" s="612"/>
    </row>
    <row r="21" spans="1:17" s="576" customFormat="1" ht="14.1" customHeight="1" x14ac:dyDescent="0.2">
      <c r="A21" s="593">
        <f t="shared" si="0"/>
        <v>13</v>
      </c>
      <c r="B21" s="629" t="s">
        <v>369</v>
      </c>
      <c r="C21" s="609"/>
      <c r="D21" s="609"/>
      <c r="E21" s="627"/>
      <c r="F21" s="628"/>
      <c r="G21" s="628"/>
      <c r="H21" s="628"/>
      <c r="I21" s="612"/>
    </row>
    <row r="22" spans="1:17" s="576" customFormat="1" ht="14.1" customHeight="1" x14ac:dyDescent="0.2">
      <c r="A22" s="593">
        <f t="shared" si="0"/>
        <v>14</v>
      </c>
      <c r="B22" s="622" t="s">
        <v>390</v>
      </c>
      <c r="C22" s="609"/>
      <c r="D22" s="609"/>
      <c r="E22" s="627"/>
      <c r="F22" s="630">
        <v>7.1970000000000003E-3</v>
      </c>
      <c r="G22" s="630">
        <v>4.1980000000000003E-3</v>
      </c>
      <c r="H22" s="628"/>
      <c r="I22" s="627"/>
    </row>
    <row r="23" spans="1:17" s="576" customFormat="1" ht="14.1" customHeight="1" x14ac:dyDescent="0.2">
      <c r="A23" s="593">
        <f t="shared" si="0"/>
        <v>15</v>
      </c>
      <c r="B23" s="622" t="s">
        <v>370</v>
      </c>
      <c r="C23" s="609"/>
      <c r="D23" s="609"/>
      <c r="E23" s="627"/>
      <c r="F23" s="630">
        <v>4.0000000000000001E-3</v>
      </c>
      <c r="G23" s="630">
        <v>4.0000000000000001E-3</v>
      </c>
      <c r="H23" s="628"/>
      <c r="I23" s="627"/>
      <c r="M23" s="613"/>
    </row>
    <row r="24" spans="1:17" s="576" customFormat="1" ht="14.1" customHeight="1" x14ac:dyDescent="0.2">
      <c r="A24" s="593">
        <f t="shared" si="0"/>
        <v>16</v>
      </c>
      <c r="B24" s="622" t="s">
        <v>371</v>
      </c>
      <c r="C24" s="609"/>
      <c r="D24" s="609"/>
      <c r="E24" s="627"/>
      <c r="F24" s="630">
        <v>3.8455000000000003E-2</v>
      </c>
      <c r="G24" s="630">
        <v>3.8358000000000003E-2</v>
      </c>
      <c r="H24" s="628"/>
      <c r="I24" s="627"/>
    </row>
    <row r="25" spans="1:17" s="576" customFormat="1" ht="14.1" customHeight="1" x14ac:dyDescent="0.2">
      <c r="A25" s="593">
        <f t="shared" si="0"/>
        <v>17</v>
      </c>
      <c r="B25" s="622"/>
      <c r="C25" s="609"/>
      <c r="D25" s="609"/>
      <c r="E25" s="627"/>
      <c r="F25" s="631"/>
      <c r="G25" s="631"/>
      <c r="H25" s="628"/>
      <c r="I25" s="627"/>
    </row>
    <row r="26" spans="1:17" s="576" customFormat="1" ht="14.1" customHeight="1" x14ac:dyDescent="0.2">
      <c r="A26" s="593">
        <f t="shared" si="0"/>
        <v>18</v>
      </c>
      <c r="B26" s="620" t="s">
        <v>372</v>
      </c>
      <c r="C26" s="609"/>
      <c r="D26" s="609"/>
      <c r="E26" s="627"/>
      <c r="F26" s="632">
        <f>1-SUM(F22:F24)</f>
        <v>0.95034799999999997</v>
      </c>
      <c r="G26" s="632">
        <f>1-SUM(G22:G24)</f>
        <v>0.95344399999999996</v>
      </c>
      <c r="H26" s="633"/>
      <c r="I26" s="627"/>
    </row>
    <row r="27" spans="1:17" s="576" customFormat="1" ht="14.1" customHeight="1" x14ac:dyDescent="0.2">
      <c r="A27" s="593">
        <f t="shared" si="0"/>
        <v>19</v>
      </c>
      <c r="B27" s="622"/>
      <c r="C27" s="609"/>
      <c r="D27" s="609"/>
      <c r="E27" s="627"/>
      <c r="F27" s="628"/>
      <c r="G27" s="628"/>
      <c r="H27" s="628"/>
      <c r="I27" s="627"/>
    </row>
    <row r="28" spans="1:17" s="576" customFormat="1" ht="14.1" customHeight="1" x14ac:dyDescent="0.2">
      <c r="A28" s="593">
        <f t="shared" si="0"/>
        <v>20</v>
      </c>
      <c r="B28" s="620" t="s">
        <v>373</v>
      </c>
      <c r="C28" s="609"/>
      <c r="D28" s="609"/>
      <c r="E28" s="627"/>
      <c r="F28" s="626">
        <f>F19/F26</f>
        <v>28213758.364430211</v>
      </c>
      <c r="G28" s="626">
        <f>G19/G26</f>
        <v>4823326.7921621297</v>
      </c>
      <c r="H28" s="626">
        <f>SUM(F28:G28)</f>
        <v>33037085.156592339</v>
      </c>
      <c r="I28" s="627"/>
    </row>
    <row r="29" spans="1:17" s="576" customFormat="1" ht="14.1" customHeight="1" x14ac:dyDescent="0.2">
      <c r="A29" s="593">
        <f t="shared" si="0"/>
        <v>21</v>
      </c>
      <c r="B29" s="622"/>
      <c r="C29" s="609"/>
      <c r="D29" s="609"/>
      <c r="E29" s="627"/>
      <c r="F29" s="634"/>
      <c r="G29" s="634"/>
      <c r="H29" s="634"/>
      <c r="I29" s="627"/>
    </row>
    <row r="30" spans="1:17" s="576" customFormat="1" ht="14.1" customHeight="1" x14ac:dyDescent="0.2">
      <c r="A30" s="593">
        <f t="shared" si="0"/>
        <v>22</v>
      </c>
      <c r="B30" s="620" t="s">
        <v>374</v>
      </c>
      <c r="C30" s="609"/>
      <c r="D30" s="609"/>
      <c r="E30" s="609"/>
      <c r="F30" s="635">
        <v>52113987.837747663</v>
      </c>
      <c r="G30" s="635">
        <v>2734924.4286949211</v>
      </c>
      <c r="H30" s="624">
        <f>SUM(F30:G30)</f>
        <v>54848912.266442582</v>
      </c>
      <c r="I30" s="627"/>
      <c r="Q30" s="614"/>
    </row>
    <row r="31" spans="1:17" s="576" customFormat="1" x14ac:dyDescent="0.2">
      <c r="A31" s="593">
        <f t="shared" si="0"/>
        <v>23</v>
      </c>
      <c r="B31" s="636"/>
      <c r="C31" s="637"/>
      <c r="D31" s="637"/>
      <c r="E31" s="637"/>
      <c r="F31" s="638"/>
      <c r="G31" s="638"/>
      <c r="H31" s="638"/>
      <c r="I31" s="627"/>
    </row>
    <row r="32" spans="1:17" s="576" customFormat="1" ht="13.5" thickBot="1" x14ac:dyDescent="0.25">
      <c r="A32" s="593">
        <f t="shared" si="0"/>
        <v>24</v>
      </c>
      <c r="B32" s="639" t="s">
        <v>375</v>
      </c>
      <c r="C32" s="640"/>
      <c r="D32" s="640"/>
      <c r="E32" s="641"/>
      <c r="F32" s="642">
        <f>F28-F30</f>
        <v>-23900229.473317452</v>
      </c>
      <c r="G32" s="642">
        <f>G28-G30</f>
        <v>2088402.3634672086</v>
      </c>
      <c r="H32" s="642">
        <f>H28-H30</f>
        <v>-21811827.109850243</v>
      </c>
      <c r="I32" s="643"/>
    </row>
    <row r="33" spans="1:8" s="576" customFormat="1" ht="13.5" thickTop="1" x14ac:dyDescent="0.2">
      <c r="A33" s="595"/>
      <c r="B33" s="595"/>
      <c r="C33" s="609"/>
      <c r="D33" s="609"/>
      <c r="E33" s="609"/>
      <c r="F33" s="609"/>
      <c r="G33" s="609"/>
      <c r="H33" s="609"/>
    </row>
    <row r="34" spans="1:8" s="576" customFormat="1" ht="14.1" customHeight="1" x14ac:dyDescent="0.2">
      <c r="B34" s="595"/>
      <c r="C34" s="609"/>
      <c r="D34" s="609"/>
      <c r="E34" s="609"/>
      <c r="F34" s="644"/>
      <c r="G34" s="644"/>
      <c r="H34" s="645"/>
    </row>
    <row r="35" spans="1:8" s="576" customFormat="1" ht="14.1" customHeight="1" x14ac:dyDescent="0.25">
      <c r="A35" s="646"/>
      <c r="B35" s="595"/>
      <c r="C35" s="609"/>
      <c r="D35" s="609"/>
      <c r="E35" s="609"/>
      <c r="F35" s="644"/>
      <c r="G35" s="644"/>
      <c r="H35" s="645"/>
    </row>
    <row r="36" spans="1:8" s="576" customFormat="1" ht="14.1" customHeight="1" x14ac:dyDescent="0.2">
      <c r="B36" s="595"/>
      <c r="C36" s="609"/>
      <c r="D36" s="609"/>
      <c r="E36" s="609"/>
      <c r="F36" s="644"/>
      <c r="G36" s="644"/>
      <c r="H36" s="645"/>
    </row>
    <row r="37" spans="1:8" s="576" customFormat="1" ht="14.1" customHeight="1" thickBot="1" x14ac:dyDescent="0.25">
      <c r="A37" s="647" t="s">
        <v>376</v>
      </c>
      <c r="C37" s="609"/>
      <c r="D37" s="609"/>
      <c r="E37" s="609"/>
      <c r="F37" s="648" t="s">
        <v>349</v>
      </c>
      <c r="G37" s="648" t="s">
        <v>350</v>
      </c>
      <c r="H37" s="649" t="s">
        <v>351</v>
      </c>
    </row>
    <row r="38" spans="1:8" s="576" customFormat="1" ht="14.1" customHeight="1" x14ac:dyDescent="0.2">
      <c r="A38" s="650"/>
      <c r="C38" s="609"/>
      <c r="D38" s="609"/>
      <c r="E38" s="609"/>
      <c r="F38" s="651"/>
      <c r="G38" s="651"/>
      <c r="H38" s="644"/>
    </row>
    <row r="39" spans="1:8" s="576" customFormat="1" ht="14.1" customHeight="1" x14ac:dyDescent="0.2">
      <c r="A39" s="652" t="s">
        <v>391</v>
      </c>
      <c r="C39" s="609"/>
      <c r="D39" s="609"/>
      <c r="E39" s="609"/>
      <c r="F39" s="653"/>
      <c r="G39" s="653"/>
      <c r="H39" s="653"/>
    </row>
    <row r="40" spans="1:8" s="576" customFormat="1" ht="14.1" customHeight="1" x14ac:dyDescent="0.2">
      <c r="A40" s="599" t="s">
        <v>367</v>
      </c>
      <c r="C40" s="609"/>
      <c r="D40" s="609"/>
      <c r="E40" s="609"/>
      <c r="F40" s="653">
        <v>-120753.60896298372</v>
      </c>
      <c r="G40" s="653">
        <v>3041.832599912032</v>
      </c>
      <c r="H40" s="653">
        <f>SUM(F40:G40)</f>
        <v>-117711.77636307169</v>
      </c>
    </row>
    <row r="41" spans="1:8" s="576" customFormat="1" x14ac:dyDescent="0.2">
      <c r="A41" s="668" t="s">
        <v>364</v>
      </c>
      <c r="B41" s="668"/>
      <c r="C41" s="668"/>
      <c r="D41" s="668"/>
      <c r="E41" s="668"/>
      <c r="F41" s="654">
        <v>6395145.1072664727</v>
      </c>
      <c r="G41" s="654">
        <v>585926.36770044034</v>
      </c>
      <c r="H41" s="654">
        <f>SUM(F41:G41)</f>
        <v>6981071.4749669135</v>
      </c>
    </row>
    <row r="42" spans="1:8" s="576" customFormat="1" x14ac:dyDescent="0.2">
      <c r="A42" s="650" t="s">
        <v>379</v>
      </c>
      <c r="F42" s="653">
        <v>-989502.95353390439</v>
      </c>
      <c r="G42" s="653">
        <v>55621.346825147855</v>
      </c>
      <c r="H42" s="654">
        <f t="shared" ref="H42:H45" si="1">SUM(F42:G42)</f>
        <v>-933881.60670875653</v>
      </c>
    </row>
    <row r="43" spans="1:8" s="576" customFormat="1" x14ac:dyDescent="0.2">
      <c r="A43" s="652" t="s">
        <v>393</v>
      </c>
      <c r="F43" s="653">
        <v>-665982.8996982642</v>
      </c>
      <c r="G43" s="653">
        <v>-116670.5804095364</v>
      </c>
      <c r="H43" s="654">
        <f t="shared" si="1"/>
        <v>-782653.48010780057</v>
      </c>
    </row>
    <row r="44" spans="1:8" s="576" customFormat="1" x14ac:dyDescent="0.2">
      <c r="A44" s="652" t="s">
        <v>377</v>
      </c>
      <c r="F44" s="653">
        <v>137695.57683341057</v>
      </c>
      <c r="G44" s="653">
        <v>-33643.046858204594</v>
      </c>
      <c r="H44" s="654">
        <f t="shared" si="1"/>
        <v>104052.52997520598</v>
      </c>
    </row>
    <row r="45" spans="1:8" s="576" customFormat="1" x14ac:dyDescent="0.2">
      <c r="A45" s="576" t="s">
        <v>394</v>
      </c>
      <c r="F45" s="653">
        <v>-27051010.85664349</v>
      </c>
      <c r="G45" s="653"/>
      <c r="H45" s="654">
        <f t="shared" si="1"/>
        <v>-27051010.85664349</v>
      </c>
    </row>
    <row r="46" spans="1:8" s="576" customFormat="1" ht="13.5" thickBot="1" x14ac:dyDescent="0.25">
      <c r="A46" s="655" t="s">
        <v>378</v>
      </c>
      <c r="F46" s="656">
        <f>SUM(F39:F45)</f>
        <v>-22294409.634738758</v>
      </c>
      <c r="G46" s="656">
        <f>SUM(G39:G45)</f>
        <v>494275.91985775932</v>
      </c>
      <c r="H46" s="656">
        <f>SUM(H39:H45)</f>
        <v>-21800133.714881003</v>
      </c>
    </row>
    <row r="47" spans="1:8" s="576" customFormat="1" ht="13.5" thickTop="1" x14ac:dyDescent="0.2">
      <c r="A47" s="577"/>
    </row>
    <row r="48" spans="1:8" s="576" customFormat="1" x14ac:dyDescent="0.2"/>
    <row r="49" spans="1:9" s="576" customFormat="1" x14ac:dyDescent="0.2">
      <c r="A49" s="657" t="s">
        <v>385</v>
      </c>
      <c r="F49" s="658"/>
      <c r="G49" s="658"/>
      <c r="I49" s="577"/>
    </row>
    <row r="50" spans="1:9" s="576" customFormat="1" x14ac:dyDescent="0.2">
      <c r="F50" s="658"/>
      <c r="G50" s="658"/>
      <c r="I50" s="577"/>
    </row>
    <row r="51" spans="1:9" s="576" customFormat="1" x14ac:dyDescent="0.2">
      <c r="C51" s="659"/>
      <c r="D51" s="659"/>
      <c r="I51" s="577"/>
    </row>
    <row r="52" spans="1:9" s="576" customFormat="1" x14ac:dyDescent="0.2">
      <c r="I52" s="577"/>
    </row>
    <row r="53" spans="1:9" s="576" customFormat="1" x14ac:dyDescent="0.2">
      <c r="A53" s="577"/>
      <c r="B53" s="577"/>
      <c r="C53" s="660"/>
      <c r="D53" s="660"/>
      <c r="E53" s="577"/>
      <c r="I53" s="577"/>
    </row>
    <row r="54" spans="1:9" s="576" customFormat="1" x14ac:dyDescent="0.2">
      <c r="A54" s="577"/>
      <c r="B54" s="577"/>
      <c r="C54" s="661"/>
      <c r="D54" s="661"/>
      <c r="E54" s="577"/>
      <c r="I54" s="577"/>
    </row>
    <row r="86" spans="5:5" x14ac:dyDescent="0.2">
      <c r="E86" s="577" t="s">
        <v>392</v>
      </c>
    </row>
  </sheetData>
  <mergeCells count="1">
    <mergeCell ref="A41:E41"/>
  </mergeCells>
  <pageMargins left="0.7" right="0.7" top="0.75" bottom="0.75" header="0.3" footer="0.3"/>
  <pageSetup scale="5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55CC10047495B459E3FA3C382EC6800" ma:contentTypeVersion="24" ma:contentTypeDescription="" ma:contentTypeScope="" ma:versionID="7d1383b7e394515ca923708a0308102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2023-08-30T07:00:00+00:00</OpenedDate>
    <SignificantOrder xmlns="dc463f71-b30c-4ab2-9473-d307f9d35888">false</SignificantOrder>
    <Date1 xmlns="dc463f71-b30c-4ab2-9473-d307f9d35888">2023-08-30T07:00:00+00:00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230695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973463C-A4FC-421D-8B4E-B436352C1283}"/>
</file>

<file path=customXml/itemProps2.xml><?xml version="1.0" encoding="utf-8"?>
<ds:datastoreItem xmlns:ds="http://schemas.openxmlformats.org/officeDocument/2006/customXml" ds:itemID="{3FDBA94A-E51A-4901-A87B-80EC599A2C7E}"/>
</file>

<file path=customXml/itemProps3.xml><?xml version="1.0" encoding="utf-8"?>
<ds:datastoreItem xmlns:ds="http://schemas.openxmlformats.org/officeDocument/2006/customXml" ds:itemID="{AB3C98FE-6443-4FDD-9F5B-D6F58D9A6DD2}"/>
</file>

<file path=customXml/itemProps4.xml><?xml version="1.0" encoding="utf-8"?>
<ds:datastoreItem xmlns:ds="http://schemas.openxmlformats.org/officeDocument/2006/customXml" ds:itemID="{462091A5-599A-4916-A98C-742E7A1727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Rates</vt:lpstr>
      <vt:lpstr>Rate Impacts--&gt;</vt:lpstr>
      <vt:lpstr>Rate Impacts Sch 129</vt:lpstr>
      <vt:lpstr>Typical Res Bill Sch 129</vt:lpstr>
      <vt:lpstr>Sch. 129</vt:lpstr>
      <vt:lpstr>Work Papers--&gt;</vt:lpstr>
      <vt:lpstr>Sch 85 87 Rate Calc</vt:lpstr>
      <vt:lpstr>Margin Revenue</vt:lpstr>
      <vt:lpstr>Revenue Requirement</vt:lpstr>
      <vt:lpstr>2022 GRC Rates--&gt;</vt:lpstr>
      <vt:lpstr>Exh JDT-5 (JDT-RES_RD)</vt:lpstr>
      <vt:lpstr>Exh JDT-5 (JDT-C&amp;I-RD)</vt:lpstr>
      <vt:lpstr>Exh JDT-5 (JDT-INTRPL-RD)</vt:lpstr>
      <vt:lpstr>Exh JDT-5 (JDT-MYRP)</vt:lpstr>
      <vt:lpstr>'Exh JDT-5 (JDT-MYRP)'!Print_Area</vt:lpstr>
      <vt:lpstr>'Margin Revenue'!Print_Area</vt:lpstr>
      <vt:lpstr>'Rate Impacts Sch 129'!Print_Area</vt:lpstr>
      <vt:lpstr>Rates!Print_Area</vt:lpstr>
      <vt:lpstr>'Sch 85 87 Rate Calc'!Print_Area</vt:lpstr>
      <vt:lpstr>'Sch. 129'!Print_Area</vt:lpstr>
      <vt:lpstr>'Typical Res Bill Sch 129'!Print_Area</vt:lpstr>
      <vt:lpstr>'Exh JDT-5 (JDT-C&amp;I-RD)'!Print_Titles</vt:lpstr>
      <vt:lpstr>'Exh JDT-5 (JDT-INTRPL-RD)'!Print_Titles</vt:lpstr>
      <vt:lpstr>'Exh JDT-5 (JDT-MYRP)'!Print_Titles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Schmidt, Paul</cp:lastModifiedBy>
  <cp:lastPrinted>2023-08-18T00:38:47Z</cp:lastPrinted>
  <dcterms:created xsi:type="dcterms:W3CDTF">2016-08-18T16:48:49Z</dcterms:created>
  <dcterms:modified xsi:type="dcterms:W3CDTF">2023-08-18T01:17:38Z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0x0101006E56B4D1795A2E4DB2F0B01679ED314A00555CC10047495B459E3FA3C382EC6800</vt:lpwstr>
  </property>
  <property fmtid="{D5CDD505-2E9C-101B-9397-08002B2CF9AE}" pid="3" name="_docset_NoMedatataSyncRequired">
    <vt:lpwstr>False</vt:lpwstr>
  </property>
</Properties>
</file>