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EE3163C3-71A6-4CCD-94E6-AD2C55FB5CB4}" xr6:coauthVersionLast="47" xr6:coauthVersionMax="47" xr10:uidLastSave="{00000000-0000-0000-0000-000000000000}"/>
  <bookViews>
    <workbookView xWindow="20370" yWindow="-11055" windowWidth="16440" windowHeight="28440" tabRatio="670" xr2:uid="{00000000-000D-0000-FFFF-FFFF0000000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Detail'!$G$3263:$G$3272</definedName>
    <definedName name="LaborBonus">'Facility Detail'!$G$3252:$G$3254</definedName>
    <definedName name="_xlnm.Print_Area" localSheetId="2">'Compliance Summary'!$A$1:$O$69</definedName>
    <definedName name="_xlnm.Print_Area" localSheetId="3">'Facility Detail'!$F$5:$U$3247</definedName>
    <definedName name="_xlnm.Print_Area" localSheetId="4">'Generation Rollup'!$A$1:$O$13</definedName>
    <definedName name="_xlnm.Print_Area" localSheetId="1">Instructions!$A$2:$F$40</definedName>
    <definedName name="_xlnm.Print_Area" localSheetId="0">'Title Page'!$A$1:$J$51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80" i="1" l="1"/>
  <c r="T133" i="1" l="1"/>
  <c r="T937" i="1"/>
  <c r="T389" i="1"/>
  <c r="T2969" i="1"/>
  <c r="U937" i="1"/>
  <c r="U843" i="1"/>
  <c r="U736" i="1"/>
  <c r="U336" i="1"/>
  <c r="U133" i="1"/>
  <c r="U80" i="1"/>
  <c r="U3110" i="1" l="1"/>
  <c r="U3113" i="1" s="1"/>
  <c r="U3058" i="1"/>
  <c r="U3061" i="1" s="1"/>
  <c r="S2290" i="1"/>
  <c r="T971" i="1"/>
  <c r="S2553" i="1"/>
  <c r="AE85" i="8" l="1"/>
  <c r="T2464" i="1"/>
  <c r="U2464" i="1"/>
  <c r="T1660" i="1"/>
  <c r="U1659" i="1"/>
  <c r="U1662" i="1" s="1"/>
  <c r="S1658" i="1"/>
  <c r="T1657" i="1"/>
  <c r="T1662" i="1" s="1"/>
  <c r="U1414" i="1"/>
  <c r="U1413" i="1"/>
  <c r="U1416" i="1" s="1"/>
  <c r="S1412" i="1"/>
  <c r="T1411" i="1"/>
  <c r="T1416" i="1" s="1"/>
  <c r="T1227" i="1"/>
  <c r="U1226" i="1"/>
  <c r="U1229" i="1" s="1"/>
  <c r="S1225" i="1"/>
  <c r="T1224" i="1"/>
  <c r="S1119" i="1"/>
  <c r="T1118" i="1"/>
  <c r="T1123" i="1" s="1"/>
  <c r="T1121" i="1"/>
  <c r="U1120" i="1"/>
  <c r="U1123" i="1" s="1"/>
  <c r="U973" i="1"/>
  <c r="U976" i="1" s="1"/>
  <c r="T824" i="1"/>
  <c r="T829" i="1" s="1"/>
  <c r="U826" i="1"/>
  <c r="U829" i="1" s="1"/>
  <c r="R580" i="1"/>
  <c r="T532" i="1"/>
  <c r="S530" i="1"/>
  <c r="U531" i="1"/>
  <c r="U534" i="1" s="1"/>
  <c r="T529" i="1"/>
  <c r="T534" i="1" s="1"/>
  <c r="U481" i="1"/>
  <c r="T481" i="1"/>
  <c r="T976" i="1"/>
  <c r="U1864" i="1"/>
  <c r="T1864" i="1"/>
  <c r="U1918" i="1"/>
  <c r="T1918" i="1"/>
  <c r="T3113" i="1"/>
  <c r="T3239" i="1"/>
  <c r="U3238" i="1"/>
  <c r="U3241" i="1" s="1"/>
  <c r="S3237" i="1"/>
  <c r="T3236" i="1"/>
  <c r="S3234" i="1"/>
  <c r="T3005" i="1"/>
  <c r="U3004" i="1"/>
  <c r="U3007" i="1" s="1"/>
  <c r="S3003" i="1"/>
  <c r="T3002" i="1"/>
  <c r="S3000" i="1"/>
  <c r="T2953" i="1"/>
  <c r="U2952" i="1"/>
  <c r="U2955" i="1" s="1"/>
  <c r="S2951" i="1"/>
  <c r="T2950" i="1"/>
  <c r="S2948" i="1"/>
  <c r="T2819" i="1"/>
  <c r="U2818" i="1"/>
  <c r="U2821" i="1" s="1"/>
  <c r="S2817" i="1"/>
  <c r="T2816" i="1"/>
  <c r="S2814" i="1"/>
  <c r="T2765" i="1"/>
  <c r="U2764" i="1"/>
  <c r="U2767" i="1" s="1"/>
  <c r="S2763" i="1"/>
  <c r="T2762" i="1"/>
  <c r="S2760" i="1"/>
  <c r="T2712" i="1"/>
  <c r="U2711" i="1"/>
  <c r="U2714" i="1" s="1"/>
  <c r="S2710" i="1"/>
  <c r="T2709" i="1"/>
  <c r="S2707" i="1"/>
  <c r="T2660" i="1"/>
  <c r="U2659" i="1"/>
  <c r="U2662" i="1" s="1"/>
  <c r="S2658" i="1"/>
  <c r="T2657" i="1"/>
  <c r="T2662" i="1" s="1"/>
  <c r="S2655" i="1"/>
  <c r="T2608" i="1"/>
  <c r="U2607" i="1"/>
  <c r="U2610" i="1" s="1"/>
  <c r="S2606" i="1"/>
  <c r="T2605" i="1"/>
  <c r="S2603" i="1"/>
  <c r="T2555" i="1"/>
  <c r="U2554" i="1"/>
  <c r="U2557" i="1" s="1"/>
  <c r="T2552" i="1"/>
  <c r="S2550" i="1"/>
  <c r="S2557" i="1" s="1"/>
  <c r="T2502" i="1"/>
  <c r="U2501" i="1"/>
  <c r="U2504" i="1" s="1"/>
  <c r="S2500" i="1"/>
  <c r="T2499" i="1"/>
  <c r="S2497" i="1"/>
  <c r="S2504" i="1" s="1"/>
  <c r="T2449" i="1"/>
  <c r="U2448" i="1"/>
  <c r="U2451" i="1" s="1"/>
  <c r="S2447" i="1"/>
  <c r="T2446" i="1"/>
  <c r="S2444" i="1"/>
  <c r="T2396" i="1"/>
  <c r="U2395" i="1"/>
  <c r="U2398" i="1" s="1"/>
  <c r="S2394" i="1"/>
  <c r="T2393" i="1"/>
  <c r="T2398" i="1" s="1"/>
  <c r="S2391" i="1"/>
  <c r="T2344" i="1"/>
  <c r="U2343" i="1"/>
  <c r="U2346" i="1" s="1"/>
  <c r="S2342" i="1"/>
  <c r="T2341" i="1"/>
  <c r="S2339" i="1"/>
  <c r="T2292" i="1"/>
  <c r="U2291" i="1"/>
  <c r="U2294" i="1" s="1"/>
  <c r="T2289" i="1"/>
  <c r="S2287" i="1"/>
  <c r="T2157" i="1"/>
  <c r="U2156" i="1"/>
  <c r="U2159" i="1" s="1"/>
  <c r="S2155" i="1"/>
  <c r="T2154" i="1"/>
  <c r="S2152" i="1"/>
  <c r="T2105" i="1"/>
  <c r="U2104" i="1"/>
  <c r="U2107" i="1" s="1"/>
  <c r="S2103" i="1"/>
  <c r="T2102" i="1"/>
  <c r="S2100" i="1"/>
  <c r="T1969" i="1"/>
  <c r="U1968" i="1"/>
  <c r="U1971" i="1" s="1"/>
  <c r="S1967" i="1"/>
  <c r="T1966" i="1"/>
  <c r="S1964" i="1"/>
  <c r="T1768" i="1"/>
  <c r="U1767" i="1"/>
  <c r="U1770" i="1" s="1"/>
  <c r="S1766" i="1"/>
  <c r="T1765" i="1"/>
  <c r="S1763" i="1"/>
  <c r="T1714" i="1"/>
  <c r="U1713" i="1"/>
  <c r="U1716" i="1" s="1"/>
  <c r="S1712" i="1"/>
  <c r="T1711" i="1"/>
  <c r="S1709" i="1"/>
  <c r="T1607" i="1"/>
  <c r="U1606" i="1"/>
  <c r="U1609" i="1" s="1"/>
  <c r="S1605" i="1"/>
  <c r="T1604" i="1"/>
  <c r="S1602" i="1"/>
  <c r="T1512" i="1"/>
  <c r="U1511" i="1"/>
  <c r="U1514" i="1" s="1"/>
  <c r="S1510" i="1"/>
  <c r="T1509" i="1"/>
  <c r="S1507" i="1"/>
  <c r="T1174" i="1"/>
  <c r="U1173" i="1"/>
  <c r="U1176" i="1" s="1"/>
  <c r="S1172" i="1"/>
  <c r="T1171" i="1"/>
  <c r="S1169" i="1"/>
  <c r="T1068" i="1"/>
  <c r="U1067" i="1"/>
  <c r="U1070" i="1" s="1"/>
  <c r="S1066" i="1"/>
  <c r="T1065" i="1"/>
  <c r="S1063" i="1"/>
  <c r="T880" i="1"/>
  <c r="U879" i="1"/>
  <c r="U882" i="1" s="1"/>
  <c r="S878" i="1"/>
  <c r="T877" i="1"/>
  <c r="S875" i="1"/>
  <c r="T773" i="1"/>
  <c r="U772" i="1"/>
  <c r="U775" i="1" s="1"/>
  <c r="S771" i="1"/>
  <c r="T770" i="1"/>
  <c r="S768" i="1"/>
  <c r="T636" i="1"/>
  <c r="U635" i="1"/>
  <c r="U638" i="1" s="1"/>
  <c r="S634" i="1"/>
  <c r="T633" i="1"/>
  <c r="S631" i="1"/>
  <c r="T426" i="1"/>
  <c r="U425" i="1"/>
  <c r="U428" i="1" s="1"/>
  <c r="S424" i="1"/>
  <c r="T423" i="1"/>
  <c r="S421" i="1"/>
  <c r="T373" i="1"/>
  <c r="U372" i="1"/>
  <c r="U375" i="1" s="1"/>
  <c r="S371" i="1"/>
  <c r="T370" i="1"/>
  <c r="S368" i="1"/>
  <c r="T320" i="1"/>
  <c r="U319" i="1"/>
  <c r="U322" i="1" s="1"/>
  <c r="S318" i="1"/>
  <c r="T317" i="1"/>
  <c r="S315" i="1"/>
  <c r="T267" i="1"/>
  <c r="U266" i="1"/>
  <c r="U269" i="1" s="1"/>
  <c r="S265" i="1"/>
  <c r="T264" i="1"/>
  <c r="S262" i="1"/>
  <c r="T170" i="1"/>
  <c r="U169" i="1"/>
  <c r="U172" i="1" s="1"/>
  <c r="S168" i="1"/>
  <c r="T167" i="1"/>
  <c r="S165" i="1"/>
  <c r="S119" i="1"/>
  <c r="T117" i="1"/>
  <c r="U116" i="1"/>
  <c r="U119" i="1" s="1"/>
  <c r="S115" i="1"/>
  <c r="T114" i="1"/>
  <c r="S112" i="1"/>
  <c r="S582" i="1"/>
  <c r="U583" i="1"/>
  <c r="U586" i="1" s="1"/>
  <c r="T581" i="1"/>
  <c r="T586" i="1" s="1"/>
  <c r="T584" i="1"/>
  <c r="T172" i="1" l="1"/>
  <c r="T1070" i="1"/>
  <c r="T375" i="1"/>
  <c r="T3007" i="1"/>
  <c r="S638" i="1"/>
  <c r="T2159" i="1"/>
  <c r="T2504" i="1"/>
  <c r="S2610" i="1"/>
  <c r="T2767" i="1"/>
  <c r="S2955" i="1"/>
  <c r="T2821" i="1"/>
  <c r="S3007" i="1"/>
  <c r="S172" i="1"/>
  <c r="S1070" i="1"/>
  <c r="T1609" i="1"/>
  <c r="S1770" i="1"/>
  <c r="T2346" i="1"/>
  <c r="T638" i="1"/>
  <c r="T1770" i="1"/>
  <c r="S882" i="1"/>
  <c r="T1514" i="1"/>
  <c r="S2107" i="1"/>
  <c r="S2451" i="1"/>
  <c r="T119" i="1"/>
  <c r="T322" i="1"/>
  <c r="S1716" i="1"/>
  <c r="S322" i="1"/>
  <c r="S1514" i="1"/>
  <c r="S2346" i="1"/>
  <c r="S2767" i="1"/>
  <c r="S375" i="1"/>
  <c r="T775" i="1"/>
  <c r="S1609" i="1"/>
  <c r="T1971" i="1"/>
  <c r="T2557" i="1"/>
  <c r="T3241" i="1"/>
  <c r="S2159" i="1"/>
  <c r="S2662" i="1"/>
  <c r="S428" i="1"/>
  <c r="T882" i="1"/>
  <c r="T2107" i="1"/>
  <c r="T2610" i="1"/>
  <c r="S269" i="1"/>
  <c r="T428" i="1"/>
  <c r="S1176" i="1"/>
  <c r="T1716" i="1"/>
  <c r="S2294" i="1"/>
  <c r="T2451" i="1"/>
  <c r="S2714" i="1"/>
  <c r="T2955" i="1"/>
  <c r="T269" i="1"/>
  <c r="S775" i="1"/>
  <c r="T1176" i="1"/>
  <c r="S1971" i="1"/>
  <c r="T2294" i="1"/>
  <c r="T2714" i="1"/>
  <c r="S3241" i="1"/>
  <c r="S2398" i="1"/>
  <c r="S2821" i="1"/>
  <c r="T1229" i="1"/>
  <c r="P1864" i="1" l="1"/>
  <c r="Q1864" i="1"/>
  <c r="R586" i="1"/>
  <c r="U79" i="1"/>
  <c r="U83" i="1"/>
  <c r="U84" i="1"/>
  <c r="U132" i="1"/>
  <c r="U136" i="1"/>
  <c r="U137" i="1"/>
  <c r="U187" i="1"/>
  <c r="U190" i="1"/>
  <c r="U191" i="1"/>
  <c r="U198" i="1"/>
  <c r="U229" i="1"/>
  <c r="U230" i="1" s="1"/>
  <c r="U233" i="1"/>
  <c r="U234" i="1"/>
  <c r="U282" i="1"/>
  <c r="U283" i="1" s="1"/>
  <c r="U286" i="1"/>
  <c r="U287" i="1"/>
  <c r="U335" i="1"/>
  <c r="U339" i="1"/>
  <c r="U340" i="1"/>
  <c r="U388" i="1"/>
  <c r="U389" i="1" s="1"/>
  <c r="U392" i="1"/>
  <c r="U393" i="1"/>
  <c r="U441" i="1"/>
  <c r="U442" i="1" s="1"/>
  <c r="U445" i="1"/>
  <c r="U446" i="1"/>
  <c r="U453" i="1"/>
  <c r="U494" i="1"/>
  <c r="U495" i="1" s="1"/>
  <c r="U498" i="1"/>
  <c r="U499" i="1"/>
  <c r="U546" i="1"/>
  <c r="U547" i="1" s="1"/>
  <c r="U550" i="1"/>
  <c r="U551" i="1"/>
  <c r="U598" i="1"/>
  <c r="U599" i="1" s="1"/>
  <c r="U602" i="1"/>
  <c r="U603" i="1"/>
  <c r="U652" i="1"/>
  <c r="U655" i="1"/>
  <c r="U656" i="1"/>
  <c r="U663" i="1"/>
  <c r="U679" i="1"/>
  <c r="U694" i="1"/>
  <c r="U697" i="1"/>
  <c r="U698" i="1"/>
  <c r="U705" i="1"/>
  <c r="U721" i="1"/>
  <c r="U735" i="1"/>
  <c r="U739" i="1"/>
  <c r="U740" i="1"/>
  <c r="U789" i="1"/>
  <c r="U790" i="1" s="1"/>
  <c r="U793" i="1"/>
  <c r="U794" i="1"/>
  <c r="U842" i="1"/>
  <c r="U846" i="1"/>
  <c r="U847" i="1"/>
  <c r="U896" i="1"/>
  <c r="U899" i="1"/>
  <c r="U900" i="1"/>
  <c r="U907" i="1"/>
  <c r="U923" i="1"/>
  <c r="U936" i="1"/>
  <c r="U940" i="1"/>
  <c r="U941" i="1"/>
  <c r="U990" i="1"/>
  <c r="U993" i="1"/>
  <c r="U994" i="1"/>
  <c r="U1001" i="1"/>
  <c r="U1017" i="1"/>
  <c r="U1030" i="1"/>
  <c r="U1031" i="1" s="1"/>
  <c r="U1034" i="1"/>
  <c r="U1035" i="1"/>
  <c r="U1083" i="1"/>
  <c r="U1084" i="1" s="1"/>
  <c r="U1087" i="1"/>
  <c r="U1088" i="1"/>
  <c r="U1095" i="1"/>
  <c r="U1136" i="1"/>
  <c r="U1137" i="1" s="1"/>
  <c r="U1140" i="1"/>
  <c r="U1141" i="1"/>
  <c r="U1189" i="1"/>
  <c r="U1190" i="1" s="1"/>
  <c r="U1193" i="1"/>
  <c r="U1194" i="1"/>
  <c r="U1201" i="1"/>
  <c r="U1246" i="1"/>
  <c r="U1247" i="1"/>
  <c r="U1276" i="1"/>
  <c r="U1292" i="1"/>
  <c r="U1293" i="1"/>
  <c r="U1322" i="1"/>
  <c r="U1339" i="1"/>
  <c r="U1340" i="1"/>
  <c r="U1347" i="1"/>
  <c r="U1363" i="1"/>
  <c r="U1376" i="1"/>
  <c r="U1377" i="1" s="1"/>
  <c r="U1380" i="1"/>
  <c r="U1381" i="1"/>
  <c r="U1430" i="1"/>
  <c r="U1433" i="1"/>
  <c r="U1434" i="1"/>
  <c r="U1441" i="1"/>
  <c r="U1459" i="1"/>
  <c r="U1474" i="1"/>
  <c r="U1475" i="1" s="1"/>
  <c r="U1478" i="1"/>
  <c r="U1479" i="1"/>
  <c r="U1486" i="1"/>
  <c r="U1529" i="1"/>
  <c r="U1532" i="1"/>
  <c r="U1533" i="1"/>
  <c r="U1540" i="1"/>
  <c r="U1556" i="1"/>
  <c r="U1570" i="1"/>
  <c r="U1573" i="1"/>
  <c r="U1574" i="1"/>
  <c r="U1622" i="1"/>
  <c r="U1623" i="1" s="1"/>
  <c r="U1626" i="1"/>
  <c r="U1627" i="1"/>
  <c r="U1634" i="1"/>
  <c r="U1676" i="1"/>
  <c r="U1677" i="1" s="1"/>
  <c r="U1680" i="1"/>
  <c r="U1681" i="1"/>
  <c r="U1688" i="1"/>
  <c r="U1730" i="1"/>
  <c r="U1731" i="1" s="1"/>
  <c r="U1734" i="1"/>
  <c r="U1735" i="1"/>
  <c r="U1783" i="1"/>
  <c r="U1786" i="1"/>
  <c r="U1787" i="1"/>
  <c r="U1794" i="1"/>
  <c r="U1810" i="1"/>
  <c r="U1824" i="1"/>
  <c r="U1825" i="1" s="1"/>
  <c r="U1828" i="1"/>
  <c r="U1829" i="1"/>
  <c r="U1836" i="1"/>
  <c r="U1878" i="1"/>
  <c r="U1879" i="1" s="1"/>
  <c r="U1882" i="1"/>
  <c r="U1883" i="1"/>
  <c r="U1890" i="1"/>
  <c r="U1931" i="1"/>
  <c r="U1932" i="1" s="1"/>
  <c r="U1935" i="1"/>
  <c r="U1936" i="1"/>
  <c r="U1985" i="1"/>
  <c r="U1988" i="1"/>
  <c r="U1989" i="1"/>
  <c r="U1996" i="1"/>
  <c r="U2012" i="1"/>
  <c r="U2054" i="1"/>
  <c r="U2058" i="1" s="1"/>
  <c r="U2068" i="1"/>
  <c r="U2071" i="1"/>
  <c r="U2072" i="1"/>
  <c r="U2120" i="1"/>
  <c r="U2123" i="1"/>
  <c r="U2124" i="1"/>
  <c r="U2173" i="1"/>
  <c r="U2176" i="1"/>
  <c r="U2177" i="1"/>
  <c r="U2200" i="1"/>
  <c r="U2241" i="1"/>
  <c r="U2245" i="1" s="1"/>
  <c r="U2254" i="1"/>
  <c r="U2255" i="1" s="1"/>
  <c r="U2258" i="1"/>
  <c r="U2259" i="1"/>
  <c r="U2307" i="1"/>
  <c r="U2310" i="1"/>
  <c r="U2311" i="1"/>
  <c r="U2359" i="1"/>
  <c r="U2362" i="1"/>
  <c r="U2363" i="1"/>
  <c r="U2411" i="1"/>
  <c r="U2412" i="1" s="1"/>
  <c r="U2415" i="1"/>
  <c r="U2416" i="1"/>
  <c r="U2423" i="1"/>
  <c r="U2465" i="1"/>
  <c r="U2468" i="1"/>
  <c r="U2469" i="1"/>
  <c r="U2517" i="1"/>
  <c r="U2518" i="1" s="1"/>
  <c r="U2521" i="1"/>
  <c r="U2522" i="1"/>
  <c r="U2571" i="1"/>
  <c r="U2574" i="1"/>
  <c r="U2575" i="1"/>
  <c r="U2623" i="1"/>
  <c r="U2626" i="1"/>
  <c r="U2627" i="1"/>
  <c r="U2675" i="1"/>
  <c r="U2678" i="1"/>
  <c r="U2679" i="1"/>
  <c r="U2727" i="1"/>
  <c r="U2728" i="1" s="1"/>
  <c r="U2731" i="1"/>
  <c r="U2732" i="1"/>
  <c r="U2739" i="1"/>
  <c r="U2781" i="1"/>
  <c r="U2782" i="1" s="1"/>
  <c r="U2785" i="1"/>
  <c r="U2786" i="1"/>
  <c r="U2793" i="1"/>
  <c r="U2836" i="1"/>
  <c r="U2861" i="1"/>
  <c r="U2878" i="1"/>
  <c r="U2879" i="1"/>
  <c r="U2902" i="1"/>
  <c r="U2906" i="1" s="1"/>
  <c r="U2916" i="1"/>
  <c r="U2919" i="1"/>
  <c r="U2920" i="1"/>
  <c r="U2968" i="1"/>
  <c r="U2969" i="1" s="1"/>
  <c r="U2972" i="1"/>
  <c r="U2973" i="1"/>
  <c r="U2980" i="1"/>
  <c r="U3008" i="1"/>
  <c r="U3021" i="1"/>
  <c r="U3022" i="1" s="1"/>
  <c r="U3025" i="1"/>
  <c r="U3026" i="1"/>
  <c r="U3073" i="1"/>
  <c r="U3074" i="1" s="1"/>
  <c r="U3077" i="1"/>
  <c r="U3078" i="1"/>
  <c r="U3127" i="1"/>
  <c r="U3130" i="1"/>
  <c r="U3131" i="1"/>
  <c r="U3138" i="1"/>
  <c r="U3165" i="1"/>
  <c r="U3168" i="1"/>
  <c r="U3169" i="1"/>
  <c r="U3176" i="1"/>
  <c r="U3188" i="1"/>
  <c r="U3201" i="1"/>
  <c r="U3202" i="1" s="1"/>
  <c r="U3205" i="1"/>
  <c r="U3206" i="1"/>
  <c r="U1233" i="1" l="1"/>
  <c r="U341" i="1"/>
  <c r="U379" i="1" s="1"/>
  <c r="U795" i="1"/>
  <c r="U833" i="1" s="1"/>
  <c r="U1575" i="1"/>
  <c r="U1613" i="1" s="1"/>
  <c r="U1142" i="1"/>
  <c r="U1180" i="1" s="1"/>
  <c r="U901" i="1"/>
  <c r="U927" i="1" s="1"/>
  <c r="U1868" i="1"/>
  <c r="U288" i="1"/>
  <c r="U326" i="1" s="1"/>
  <c r="U85" i="1"/>
  <c r="U2787" i="1"/>
  <c r="U2825" i="1" s="1"/>
  <c r="U2364" i="1"/>
  <c r="U2402" i="1" s="1"/>
  <c r="U1884" i="1"/>
  <c r="U1922" i="1" s="1"/>
  <c r="U235" i="1"/>
  <c r="U273" i="1" s="1"/>
  <c r="U1382" i="1"/>
  <c r="U1420" i="1" s="1"/>
  <c r="U2204" i="1"/>
  <c r="U741" i="1"/>
  <c r="U779" i="1" s="1"/>
  <c r="U2125" i="1"/>
  <c r="U2163" i="1" s="1"/>
  <c r="U1036" i="1"/>
  <c r="U699" i="1"/>
  <c r="U725" i="1" s="1"/>
  <c r="U2680" i="1"/>
  <c r="U2718" i="1" s="1"/>
  <c r="U2576" i="1"/>
  <c r="U2614" i="1" s="1"/>
  <c r="U2865" i="1"/>
  <c r="U1628" i="1"/>
  <c r="U1666" i="1" s="1"/>
  <c r="U1294" i="1"/>
  <c r="U1326" i="1" s="1"/>
  <c r="U604" i="1"/>
  <c r="U642" i="1" s="1"/>
  <c r="U2921" i="1"/>
  <c r="U1534" i="1"/>
  <c r="U1560" i="1" s="1"/>
  <c r="U2974" i="1"/>
  <c r="U3012" i="1" s="1"/>
  <c r="U538" i="1"/>
  <c r="U2470" i="1"/>
  <c r="U2508" i="1" s="1"/>
  <c r="U3170" i="1"/>
  <c r="U3192" i="1" s="1"/>
  <c r="U3079" i="1"/>
  <c r="U3117" i="1" s="1"/>
  <c r="U2312" i="1"/>
  <c r="U2350" i="1" s="1"/>
  <c r="U1341" i="1"/>
  <c r="U1367" i="1" s="1"/>
  <c r="U3027" i="1"/>
  <c r="U3065" i="1" s="1"/>
  <c r="U1736" i="1"/>
  <c r="U1774" i="1" s="1"/>
  <c r="U1435" i="1"/>
  <c r="U1463" i="1" s="1"/>
  <c r="U394" i="1"/>
  <c r="U432" i="1" s="1"/>
  <c r="U138" i="1"/>
  <c r="U176" i="1" s="1"/>
  <c r="U1990" i="1"/>
  <c r="U2016" i="1" s="1"/>
  <c r="U942" i="1"/>
  <c r="U980" i="1" s="1"/>
  <c r="U657" i="1"/>
  <c r="U683" i="1" s="1"/>
  <c r="U2733" i="1"/>
  <c r="U2771" i="1" s="1"/>
  <c r="U2073" i="1"/>
  <c r="U2111" i="1" s="1"/>
  <c r="U1089" i="1"/>
  <c r="U1127" i="1" s="1"/>
  <c r="U552" i="1"/>
  <c r="U590" i="1"/>
  <c r="U2628" i="1"/>
  <c r="U2666" i="1" s="1"/>
  <c r="U2260" i="1"/>
  <c r="U2298" i="1" s="1"/>
  <c r="U1937" i="1"/>
  <c r="U1480" i="1"/>
  <c r="U1518" i="1" s="1"/>
  <c r="U1248" i="1"/>
  <c r="U1280" i="1" s="1"/>
  <c r="U995" i="1"/>
  <c r="U1021" i="1" s="1"/>
  <c r="U3207" i="1"/>
  <c r="U1830" i="1"/>
  <c r="U1682" i="1"/>
  <c r="U1720" i="1" s="1"/>
  <c r="U500" i="1"/>
  <c r="U447" i="1"/>
  <c r="U485" i="1" s="1"/>
  <c r="U192" i="1"/>
  <c r="U220" i="1" s="1"/>
  <c r="U2523" i="1"/>
  <c r="U2561" i="1" s="1"/>
  <c r="U2417" i="1"/>
  <c r="U2455" i="1" s="1"/>
  <c r="U1788" i="1"/>
  <c r="U1814" i="1" s="1"/>
  <c r="U1195" i="1"/>
  <c r="U848" i="1"/>
  <c r="U886" i="1" s="1"/>
  <c r="U3132" i="1"/>
  <c r="U3154" i="1" s="1"/>
  <c r="O48" i="6"/>
  <c r="O50" i="6"/>
  <c r="O9" i="6"/>
  <c r="O17" i="6"/>
  <c r="O18" i="6"/>
  <c r="O19" i="6"/>
  <c r="O13" i="6" l="1"/>
  <c r="O20" i="6"/>
  <c r="T79" i="1"/>
  <c r="T229" i="1"/>
  <c r="T230" i="1" s="1"/>
  <c r="M9" i="6" l="1"/>
  <c r="AD85" i="8" l="1"/>
  <c r="T3008" i="1"/>
  <c r="C9" i="6"/>
  <c r="R163" i="1" l="1"/>
  <c r="R172" i="1" s="1"/>
  <c r="P162" i="1"/>
  <c r="U123" i="1"/>
  <c r="R113" i="1"/>
  <c r="R119" i="1" s="1"/>
  <c r="Q111" i="1"/>
  <c r="P109" i="1"/>
  <c r="O107" i="1"/>
  <c r="O104" i="1"/>
  <c r="N105" i="1"/>
  <c r="M103" i="1"/>
  <c r="L101" i="1"/>
  <c r="I95" i="1"/>
  <c r="J119" i="1"/>
  <c r="K119" i="1"/>
  <c r="L119" i="1"/>
  <c r="M119" i="1"/>
  <c r="N119" i="1"/>
  <c r="J94" i="1"/>
  <c r="S85" i="8" l="1"/>
  <c r="T85" i="8"/>
  <c r="U85" i="8"/>
  <c r="V85" i="8"/>
  <c r="W85" i="8"/>
  <c r="X85" i="8"/>
  <c r="Y85" i="8"/>
  <c r="Z85" i="8"/>
  <c r="AA85" i="8"/>
  <c r="AB85" i="8"/>
  <c r="AC85" i="8"/>
  <c r="N9" i="6" l="1"/>
  <c r="N17" i="6"/>
  <c r="N18" i="6"/>
  <c r="N19" i="6"/>
  <c r="N50" i="6"/>
  <c r="T3061" i="1"/>
  <c r="T3201" i="1"/>
  <c r="T3202" i="1" s="1"/>
  <c r="S3201" i="1"/>
  <c r="S3202" i="1" s="1"/>
  <c r="T3073" i="1"/>
  <c r="T3074" i="1" s="1"/>
  <c r="S3073" i="1"/>
  <c r="S3074" i="1" s="1"/>
  <c r="T3021" i="1"/>
  <c r="T3022" i="1" s="1"/>
  <c r="S3021" i="1"/>
  <c r="S3022" i="1" s="1"/>
  <c r="T2968" i="1"/>
  <c r="S2968" i="1"/>
  <c r="S2969" i="1" s="1"/>
  <c r="T2781" i="1"/>
  <c r="T2782" i="1" s="1"/>
  <c r="S2781" i="1"/>
  <c r="S2782" i="1" s="1"/>
  <c r="T2727" i="1"/>
  <c r="S2727" i="1"/>
  <c r="S2728" i="1" s="1"/>
  <c r="T2517" i="1"/>
  <c r="T2518" i="1" s="1"/>
  <c r="S2517" i="1"/>
  <c r="S2518" i="1" s="1"/>
  <c r="S2464" i="1"/>
  <c r="S2465" i="1" s="1"/>
  <c r="T2411" i="1"/>
  <c r="S2411" i="1"/>
  <c r="T2254" i="1"/>
  <c r="T2255" i="1" s="1"/>
  <c r="S2254" i="1"/>
  <c r="T1931" i="1"/>
  <c r="S1931" i="1"/>
  <c r="S1932" i="1" s="1"/>
  <c r="T1878" i="1"/>
  <c r="T1879" i="1" s="1"/>
  <c r="S1878" i="1"/>
  <c r="S1879" i="1" s="1"/>
  <c r="T1824" i="1"/>
  <c r="T1825" i="1" s="1"/>
  <c r="S1824" i="1"/>
  <c r="S1825" i="1" s="1"/>
  <c r="T1730" i="1"/>
  <c r="S1730" i="1"/>
  <c r="S1731" i="1" s="1"/>
  <c r="T1676" i="1"/>
  <c r="S1676" i="1"/>
  <c r="S1677" i="1" s="1"/>
  <c r="T1622" i="1"/>
  <c r="S1622" i="1"/>
  <c r="T1474" i="1"/>
  <c r="S1474" i="1"/>
  <c r="T1376" i="1"/>
  <c r="S1376" i="1"/>
  <c r="T1189" i="1"/>
  <c r="T1190" i="1" s="1"/>
  <c r="S1189" i="1"/>
  <c r="S1190" i="1" s="1"/>
  <c r="T1136" i="1"/>
  <c r="S1136" i="1"/>
  <c r="T1083" i="1"/>
  <c r="T1084" i="1" s="1"/>
  <c r="S1083" i="1"/>
  <c r="S1084" i="1" s="1"/>
  <c r="T1030" i="1"/>
  <c r="T1031" i="1" s="1"/>
  <c r="S1030" i="1"/>
  <c r="T936" i="1"/>
  <c r="S936" i="1"/>
  <c r="S937" i="1" s="1"/>
  <c r="T842" i="1"/>
  <c r="T843" i="1" s="1"/>
  <c r="S842" i="1"/>
  <c r="T789" i="1"/>
  <c r="T790" i="1" s="1"/>
  <c r="S789" i="1"/>
  <c r="S790" i="1" s="1"/>
  <c r="T735" i="1"/>
  <c r="T736" i="1" s="1"/>
  <c r="S735" i="1"/>
  <c r="S736" i="1" s="1"/>
  <c r="T598" i="1"/>
  <c r="T599" i="1" s="1"/>
  <c r="S598" i="1"/>
  <c r="S599" i="1" s="1"/>
  <c r="T546" i="1"/>
  <c r="T547" i="1" s="1"/>
  <c r="S546" i="1"/>
  <c r="S547" i="1" s="1"/>
  <c r="T494" i="1"/>
  <c r="T495" i="1" s="1"/>
  <c r="S494" i="1"/>
  <c r="S495" i="1" s="1"/>
  <c r="T441" i="1"/>
  <c r="T442" i="1" s="1"/>
  <c r="S441" i="1"/>
  <c r="S442" i="1" s="1"/>
  <c r="T388" i="1"/>
  <c r="S388" i="1"/>
  <c r="S389" i="1" s="1"/>
  <c r="T335" i="1"/>
  <c r="T336" i="1" s="1"/>
  <c r="S335" i="1"/>
  <c r="S336" i="1" s="1"/>
  <c r="T282" i="1"/>
  <c r="T283" i="1" s="1"/>
  <c r="S282" i="1"/>
  <c r="S283" i="1" s="1"/>
  <c r="S229" i="1"/>
  <c r="S230" i="1" s="1"/>
  <c r="T132" i="1"/>
  <c r="S132" i="1"/>
  <c r="S133" i="1" s="1"/>
  <c r="S79" i="1"/>
  <c r="N20" i="6" l="1"/>
  <c r="J1" i="1" l="1"/>
  <c r="K1" i="1" s="1"/>
  <c r="L1" i="1" s="1"/>
  <c r="M1" i="1" s="1"/>
  <c r="N1" i="1" s="1"/>
  <c r="O1" i="1" s="1"/>
  <c r="P1" i="1" s="1"/>
  <c r="Q1" i="1" s="1"/>
  <c r="R1" i="1" s="1"/>
  <c r="S1" i="1" s="1"/>
  <c r="T1" i="1" s="1"/>
  <c r="U1" i="1" s="1"/>
  <c r="O2451" i="1"/>
  <c r="P2451" i="1"/>
  <c r="Q2451" i="1"/>
  <c r="R2451" i="1"/>
  <c r="T83" i="1" l="1"/>
  <c r="T84" i="1"/>
  <c r="T136" i="1"/>
  <c r="T137" i="1"/>
  <c r="T187" i="1"/>
  <c r="T190" i="1"/>
  <c r="T191" i="1"/>
  <c r="T198" i="1"/>
  <c r="T233" i="1"/>
  <c r="T234" i="1"/>
  <c r="T286" i="1"/>
  <c r="T287" i="1"/>
  <c r="T339" i="1"/>
  <c r="T340" i="1"/>
  <c r="T392" i="1"/>
  <c r="T393" i="1"/>
  <c r="T445" i="1"/>
  <c r="T446" i="1"/>
  <c r="T453" i="1"/>
  <c r="T498" i="1"/>
  <c r="T499" i="1"/>
  <c r="T550" i="1"/>
  <c r="T551" i="1"/>
  <c r="T602" i="1"/>
  <c r="T603" i="1"/>
  <c r="T652" i="1"/>
  <c r="T655" i="1"/>
  <c r="T656" i="1"/>
  <c r="T663" i="1"/>
  <c r="T679" i="1"/>
  <c r="T694" i="1"/>
  <c r="T697" i="1"/>
  <c r="T698" i="1"/>
  <c r="T705" i="1"/>
  <c r="T721" i="1"/>
  <c r="T739" i="1"/>
  <c r="T740" i="1"/>
  <c r="T793" i="1"/>
  <c r="T794" i="1"/>
  <c r="T846" i="1"/>
  <c r="T847" i="1"/>
  <c r="T896" i="1"/>
  <c r="T899" i="1"/>
  <c r="T900" i="1"/>
  <c r="T907" i="1"/>
  <c r="T923" i="1"/>
  <c r="T940" i="1"/>
  <c r="T941" i="1"/>
  <c r="T990" i="1"/>
  <c r="T993" i="1"/>
  <c r="T994" i="1"/>
  <c r="T1001" i="1"/>
  <c r="T1034" i="1"/>
  <c r="T1035" i="1"/>
  <c r="T1087" i="1"/>
  <c r="T1088" i="1"/>
  <c r="T1095" i="1"/>
  <c r="T1140" i="1"/>
  <c r="T1141" i="1"/>
  <c r="T1193" i="1"/>
  <c r="T1194" i="1"/>
  <c r="T1201" i="1"/>
  <c r="T1246" i="1"/>
  <c r="T1247" i="1"/>
  <c r="T1276" i="1"/>
  <c r="T1292" i="1"/>
  <c r="T1293" i="1"/>
  <c r="T1322" i="1"/>
  <c r="T1339" i="1"/>
  <c r="T1340" i="1"/>
  <c r="T1347" i="1"/>
  <c r="T1363" i="1"/>
  <c r="T1380" i="1"/>
  <c r="T1381" i="1"/>
  <c r="T1430" i="1"/>
  <c r="T1433" i="1"/>
  <c r="T1434" i="1"/>
  <c r="T1441" i="1"/>
  <c r="T1459" i="1"/>
  <c r="T1478" i="1"/>
  <c r="T1479" i="1"/>
  <c r="T1486" i="1"/>
  <c r="T1529" i="1"/>
  <c r="T1532" i="1"/>
  <c r="T1533" i="1"/>
  <c r="T1540" i="1"/>
  <c r="T1556" i="1"/>
  <c r="T1573" i="1"/>
  <c r="T1574" i="1"/>
  <c r="T1626" i="1"/>
  <c r="T1627" i="1"/>
  <c r="T1634" i="1"/>
  <c r="T1680" i="1"/>
  <c r="T1681" i="1"/>
  <c r="T1688" i="1"/>
  <c r="T1734" i="1"/>
  <c r="T1735" i="1"/>
  <c r="T1783" i="1"/>
  <c r="T1786" i="1"/>
  <c r="T1787" i="1"/>
  <c r="T1794" i="1"/>
  <c r="T1810" i="1"/>
  <c r="T1828" i="1"/>
  <c r="T1829" i="1"/>
  <c r="T1836" i="1"/>
  <c r="T1882" i="1"/>
  <c r="T1883" i="1"/>
  <c r="T1890" i="1"/>
  <c r="T1935" i="1"/>
  <c r="T1936" i="1"/>
  <c r="T1985" i="1"/>
  <c r="T1988" i="1"/>
  <c r="T1989" i="1"/>
  <c r="T1996" i="1"/>
  <c r="T2012" i="1"/>
  <c r="T2054" i="1"/>
  <c r="T2058" i="1" s="1"/>
  <c r="T2071" i="1"/>
  <c r="T2072" i="1"/>
  <c r="T2123" i="1"/>
  <c r="T2124" i="1"/>
  <c r="T2173" i="1"/>
  <c r="T2176" i="1"/>
  <c r="T2177" i="1"/>
  <c r="T2200" i="1"/>
  <c r="T2241" i="1"/>
  <c r="T2245" i="1" s="1"/>
  <c r="T2258" i="1"/>
  <c r="T2259" i="1"/>
  <c r="T2310" i="1"/>
  <c r="T2311" i="1"/>
  <c r="T2362" i="1"/>
  <c r="T2363" i="1"/>
  <c r="T2415" i="1"/>
  <c r="T2416" i="1"/>
  <c r="T2423" i="1"/>
  <c r="T2468" i="1"/>
  <c r="T2469" i="1"/>
  <c r="T2521" i="1"/>
  <c r="T2522" i="1"/>
  <c r="T2574" i="1"/>
  <c r="T2575" i="1"/>
  <c r="T2626" i="1"/>
  <c r="T2627" i="1"/>
  <c r="T2678" i="1"/>
  <c r="T2679" i="1"/>
  <c r="T2731" i="1"/>
  <c r="T2732" i="1"/>
  <c r="T2739" i="1"/>
  <c r="T2785" i="1"/>
  <c r="T2786" i="1"/>
  <c r="T2793" i="1"/>
  <c r="T2836" i="1"/>
  <c r="T2861" i="1"/>
  <c r="T2878" i="1"/>
  <c r="T2879" i="1"/>
  <c r="T2902" i="1"/>
  <c r="T2906" i="1" s="1"/>
  <c r="T2919" i="1"/>
  <c r="T2920" i="1"/>
  <c r="T2972" i="1"/>
  <c r="T2973" i="1"/>
  <c r="T2980" i="1"/>
  <c r="T3025" i="1"/>
  <c r="T3026" i="1"/>
  <c r="T3077" i="1"/>
  <c r="T3078" i="1"/>
  <c r="T3127" i="1"/>
  <c r="T3130" i="1"/>
  <c r="T3131" i="1"/>
  <c r="T3138" i="1"/>
  <c r="T3165" i="1"/>
  <c r="T3168" i="1"/>
  <c r="T3169" i="1"/>
  <c r="T3176" i="1"/>
  <c r="T3188" i="1"/>
  <c r="T3205" i="1"/>
  <c r="T3206" i="1"/>
  <c r="T1142" i="1" l="1"/>
  <c r="T657" i="1"/>
  <c r="T683" i="1" s="1"/>
  <c r="T138" i="1"/>
  <c r="T447" i="1"/>
  <c r="T485" i="1" s="1"/>
  <c r="T2073" i="1"/>
  <c r="T2921" i="1"/>
  <c r="T2470" i="1"/>
  <c r="T2364" i="1"/>
  <c r="T699" i="1"/>
  <c r="T725" i="1" s="1"/>
  <c r="T552" i="1"/>
  <c r="T1884" i="1"/>
  <c r="T1195" i="1"/>
  <c r="T995" i="1"/>
  <c r="T1990" i="1"/>
  <c r="T2016" i="1" s="1"/>
  <c r="T2787" i="1"/>
  <c r="T2680" i="1"/>
  <c r="T1089" i="1"/>
  <c r="T3132" i="1"/>
  <c r="T3154" i="1" s="1"/>
  <c r="T3079" i="1"/>
  <c r="T2865" i="1"/>
  <c r="T1937" i="1"/>
  <c r="T1788" i="1"/>
  <c r="T1814" i="1" s="1"/>
  <c r="T1628" i="1"/>
  <c r="T1534" i="1"/>
  <c r="T1560" i="1" s="1"/>
  <c r="T1382" i="1"/>
  <c r="T1248" i="1"/>
  <c r="T1280" i="1" s="1"/>
  <c r="T1682" i="1"/>
  <c r="T741" i="1"/>
  <c r="T288" i="1"/>
  <c r="T326" i="1" s="1"/>
  <c r="T2125" i="1"/>
  <c r="T2576" i="1"/>
  <c r="T500" i="1"/>
  <c r="T795" i="1"/>
  <c r="T341" i="1"/>
  <c r="T379" i="1" s="1"/>
  <c r="T1341" i="1"/>
  <c r="T1367" i="1" s="1"/>
  <c r="T235" i="1"/>
  <c r="T273" i="1" s="1"/>
  <c r="T2523" i="1"/>
  <c r="T2312" i="1"/>
  <c r="T848" i="1"/>
  <c r="T604" i="1"/>
  <c r="T394" i="1"/>
  <c r="T432" i="1" s="1"/>
  <c r="T192" i="1"/>
  <c r="T220" i="1" s="1"/>
  <c r="T85" i="1"/>
  <c r="T123" i="1" s="1"/>
  <c r="T3170" i="1"/>
  <c r="T3192" i="1" s="1"/>
  <c r="T2974" i="1"/>
  <c r="T2733" i="1"/>
  <c r="T2417" i="1"/>
  <c r="T1830" i="1"/>
  <c r="T1736" i="1"/>
  <c r="T1435" i="1"/>
  <c r="T1463" i="1" s="1"/>
  <c r="T1294" i="1"/>
  <c r="T1326" i="1" s="1"/>
  <c r="T1036" i="1"/>
  <c r="T3207" i="1"/>
  <c r="T2204" i="1"/>
  <c r="T3027" i="1"/>
  <c r="T1575" i="1"/>
  <c r="T1480" i="1"/>
  <c r="T2628" i="1"/>
  <c r="T901" i="1"/>
  <c r="T927" i="1" s="1"/>
  <c r="T2260" i="1"/>
  <c r="T942" i="1"/>
  <c r="N13" i="6" l="1"/>
  <c r="T886" i="1"/>
  <c r="T2298" i="1"/>
  <c r="T779" i="1"/>
  <c r="T538" i="1" l="1"/>
  <c r="T833" i="1"/>
  <c r="T1127" i="1"/>
  <c r="T1137" i="1"/>
  <c r="T642" i="1"/>
  <c r="T590" i="1"/>
  <c r="T1377" i="1" l="1"/>
  <c r="T1233" i="1"/>
  <c r="T1570" i="1" l="1"/>
  <c r="T1475" i="1"/>
  <c r="T1518" i="1" l="1"/>
  <c r="T1623" i="1"/>
  <c r="T1666" i="1" s="1"/>
  <c r="T1677" i="1" l="1"/>
  <c r="T1720" i="1" l="1"/>
  <c r="T1731" i="1"/>
  <c r="T1774" i="1" l="1"/>
  <c r="T1868" i="1" l="1"/>
  <c r="T1922" i="1" l="1"/>
  <c r="T1932" i="1"/>
  <c r="T2412" i="1"/>
  <c r="T2455" i="1" s="1"/>
  <c r="T2465" i="1"/>
  <c r="T2728" i="1" l="1"/>
  <c r="T2771" i="1" s="1"/>
  <c r="T2068" i="1"/>
  <c r="T2561" i="1"/>
  <c r="T2120" i="1" l="1"/>
  <c r="T2825" i="1"/>
  <c r="T2916" i="1"/>
  <c r="T3012" i="1"/>
  <c r="T2571" i="1"/>
  <c r="T2359" i="1" l="1"/>
  <c r="T2307" i="1"/>
  <c r="T2623" i="1"/>
  <c r="T2675" i="1"/>
  <c r="M50" i="6"/>
  <c r="L50" i="6"/>
  <c r="K50" i="6"/>
  <c r="J50" i="6"/>
  <c r="I50" i="6"/>
  <c r="H50" i="6"/>
  <c r="G50" i="6"/>
  <c r="F50" i="6"/>
  <c r="E50" i="6"/>
  <c r="D50" i="6"/>
  <c r="C5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S3008" i="1" l="1"/>
  <c r="R735" i="1"/>
  <c r="R1083" i="1" s="1"/>
  <c r="R1189" i="1" s="1"/>
  <c r="R1474" i="1" s="1"/>
  <c r="R1622" i="1" s="1"/>
  <c r="R1676" i="1" s="1"/>
  <c r="R1730" i="1" s="1"/>
  <c r="R1824" i="1" s="1"/>
  <c r="R1878" i="1" s="1"/>
  <c r="R638" i="1"/>
  <c r="R534" i="1"/>
  <c r="R2411" i="1" l="1"/>
  <c r="R2517" i="1" s="1"/>
  <c r="R1879" i="1"/>
  <c r="R80" i="1"/>
  <c r="R2727" i="1" l="1"/>
  <c r="R2968" i="1" s="1"/>
  <c r="N2806" i="1"/>
  <c r="A75" i="8" l="1"/>
  <c r="B75" i="8"/>
  <c r="R75" i="8" s="1"/>
  <c r="H2722" i="1"/>
  <c r="H2776" i="1"/>
  <c r="G2779" i="1" s="1"/>
  <c r="R2821" i="1"/>
  <c r="S2812" i="1"/>
  <c r="U2812" i="1" s="1"/>
  <c r="R2812" i="1"/>
  <c r="T2812" i="1" s="1"/>
  <c r="Q2810" i="1"/>
  <c r="Q2821" i="1" s="1"/>
  <c r="P2808" i="1"/>
  <c r="P2821" i="1" s="1"/>
  <c r="O2806" i="1"/>
  <c r="M2805" i="1"/>
  <c r="L2803" i="1"/>
  <c r="M2802" i="1"/>
  <c r="K2801" i="1"/>
  <c r="L2800" i="1"/>
  <c r="L2821" i="1" s="1"/>
  <c r="J2799" i="1"/>
  <c r="K2798" i="1"/>
  <c r="K2821" i="1" s="1"/>
  <c r="I2797" i="1"/>
  <c r="I2821" i="1" s="1"/>
  <c r="J2796" i="1"/>
  <c r="I2795" i="1"/>
  <c r="J2795" i="1" s="1"/>
  <c r="K2795" i="1" s="1"/>
  <c r="L2795" i="1" s="1"/>
  <c r="M2795" i="1" s="1"/>
  <c r="N2795" i="1" s="1"/>
  <c r="O2795" i="1" s="1"/>
  <c r="P2795" i="1" s="1"/>
  <c r="Q2795" i="1" s="1"/>
  <c r="R2795" i="1" s="1"/>
  <c r="S2795" i="1" s="1"/>
  <c r="T2795" i="1" s="1"/>
  <c r="U2795" i="1" s="1"/>
  <c r="S2793" i="1"/>
  <c r="R2793" i="1"/>
  <c r="Q2793" i="1"/>
  <c r="P2793" i="1"/>
  <c r="O2793" i="1"/>
  <c r="N2793" i="1"/>
  <c r="M2793" i="1"/>
  <c r="L2793" i="1"/>
  <c r="K2793" i="1"/>
  <c r="J2793" i="1"/>
  <c r="I2793" i="1"/>
  <c r="I2789" i="1"/>
  <c r="J2789" i="1" s="1"/>
  <c r="K2789" i="1" s="1"/>
  <c r="S2786" i="1"/>
  <c r="R2786" i="1"/>
  <c r="Q2786" i="1"/>
  <c r="P2786" i="1"/>
  <c r="O2786" i="1"/>
  <c r="N2786" i="1"/>
  <c r="M2786" i="1"/>
  <c r="L2786" i="1"/>
  <c r="K2786" i="1"/>
  <c r="J2786" i="1"/>
  <c r="I2786" i="1"/>
  <c r="S2785" i="1"/>
  <c r="R2785" i="1"/>
  <c r="Q2785" i="1"/>
  <c r="P2785" i="1"/>
  <c r="O2785" i="1"/>
  <c r="N2785" i="1"/>
  <c r="M2785" i="1"/>
  <c r="L2785" i="1"/>
  <c r="K2785" i="1"/>
  <c r="J2785" i="1"/>
  <c r="I2785" i="1"/>
  <c r="I2784" i="1"/>
  <c r="J2784" i="1" s="1"/>
  <c r="K2784" i="1" s="1"/>
  <c r="R2782" i="1"/>
  <c r="Q2813" i="1" s="1"/>
  <c r="R2813" i="1" s="1"/>
  <c r="Q2782" i="1"/>
  <c r="M2782" i="1"/>
  <c r="M2804" i="1" s="1"/>
  <c r="N2804" i="1" s="1"/>
  <c r="N2821" i="1" s="1"/>
  <c r="L2782" i="1"/>
  <c r="K2782" i="1"/>
  <c r="J2782" i="1"/>
  <c r="I2782" i="1"/>
  <c r="I2778" i="1"/>
  <c r="J2778" i="1" s="1"/>
  <c r="K2778" i="1" s="1"/>
  <c r="L2778" i="1" s="1"/>
  <c r="AD75" i="8" l="1"/>
  <c r="AE75" i="8"/>
  <c r="O75" i="8"/>
  <c r="V75" i="8"/>
  <c r="AB75" i="8"/>
  <c r="W75" i="8"/>
  <c r="AC75" i="8"/>
  <c r="X75" i="8"/>
  <c r="S75" i="8"/>
  <c r="Y75" i="8"/>
  <c r="T75" i="8"/>
  <c r="Z75" i="8"/>
  <c r="U75" i="8"/>
  <c r="AA75" i="8"/>
  <c r="Q75" i="8"/>
  <c r="N75" i="8"/>
  <c r="L2787" i="1"/>
  <c r="L2825" i="1" s="1"/>
  <c r="J2787" i="1"/>
  <c r="O2787" i="1"/>
  <c r="P2787" i="1"/>
  <c r="P2825" i="1" s="1"/>
  <c r="S2787" i="1"/>
  <c r="S2825" i="1" s="1"/>
  <c r="K2787" i="1"/>
  <c r="K2825" i="1" s="1"/>
  <c r="R2787" i="1"/>
  <c r="R2825" i="1" s="1"/>
  <c r="I2787" i="1"/>
  <c r="I2825" i="1" s="1"/>
  <c r="M2787" i="1"/>
  <c r="J2821" i="1"/>
  <c r="N2787" i="1"/>
  <c r="N2825" i="1" s="1"/>
  <c r="O2821" i="1"/>
  <c r="Q2787" i="1"/>
  <c r="Q2825" i="1" s="1"/>
  <c r="M2778" i="1"/>
  <c r="L2789" i="1"/>
  <c r="L2784" i="1"/>
  <c r="M2821" i="1"/>
  <c r="N676" i="1"/>
  <c r="O676" i="1" s="1"/>
  <c r="Q2969" i="1"/>
  <c r="K75" i="8" l="1"/>
  <c r="J75" i="8"/>
  <c r="E75" i="8"/>
  <c r="C75" i="8"/>
  <c r="M75" i="8"/>
  <c r="L75" i="8"/>
  <c r="H75" i="8"/>
  <c r="F75" i="8"/>
  <c r="J2825" i="1"/>
  <c r="O2825" i="1"/>
  <c r="M2825" i="1"/>
  <c r="N2778" i="1"/>
  <c r="M2789" i="1"/>
  <c r="M2784" i="1"/>
  <c r="J3205" i="1"/>
  <c r="K3205" i="1"/>
  <c r="L3205" i="1"/>
  <c r="M3205" i="1"/>
  <c r="N3205" i="1"/>
  <c r="O3205" i="1"/>
  <c r="P3205" i="1"/>
  <c r="Q3205" i="1"/>
  <c r="R3205" i="1"/>
  <c r="S3205" i="1"/>
  <c r="J3206" i="1"/>
  <c r="K3206" i="1"/>
  <c r="L3206" i="1"/>
  <c r="M3206" i="1"/>
  <c r="N3206" i="1"/>
  <c r="O3206" i="1"/>
  <c r="P3206" i="1"/>
  <c r="Q3206" i="1"/>
  <c r="R3206" i="1"/>
  <c r="S3206" i="1"/>
  <c r="I3205" i="1"/>
  <c r="J3168" i="1"/>
  <c r="K3168" i="1"/>
  <c r="L3168" i="1"/>
  <c r="M3168" i="1"/>
  <c r="N3168" i="1"/>
  <c r="O3168" i="1"/>
  <c r="P3168" i="1"/>
  <c r="Q3168" i="1"/>
  <c r="R3168" i="1"/>
  <c r="S3168" i="1"/>
  <c r="J3169" i="1"/>
  <c r="K3169" i="1"/>
  <c r="L3169" i="1"/>
  <c r="M3169" i="1"/>
  <c r="N3169" i="1"/>
  <c r="O3169" i="1"/>
  <c r="P3169" i="1"/>
  <c r="Q3169" i="1"/>
  <c r="R3169" i="1"/>
  <c r="S3169" i="1"/>
  <c r="I3169" i="1"/>
  <c r="I3168" i="1"/>
  <c r="I3178" i="1"/>
  <c r="I3172" i="1"/>
  <c r="I3167" i="1"/>
  <c r="J3167" i="1" s="1"/>
  <c r="K3167" i="1" s="1"/>
  <c r="I3161" i="1"/>
  <c r="J3161" i="1" s="1"/>
  <c r="K3161" i="1" s="1"/>
  <c r="L3161" i="1" s="1"/>
  <c r="J3130" i="1"/>
  <c r="K3130" i="1"/>
  <c r="L3130" i="1"/>
  <c r="M3130" i="1"/>
  <c r="N3130" i="1"/>
  <c r="O3130" i="1"/>
  <c r="P3130" i="1"/>
  <c r="Q3130" i="1"/>
  <c r="R3130" i="1"/>
  <c r="S3130" i="1"/>
  <c r="J3131" i="1"/>
  <c r="K3131" i="1"/>
  <c r="L3131" i="1"/>
  <c r="M3131" i="1"/>
  <c r="N3131" i="1"/>
  <c r="O3131" i="1"/>
  <c r="P3131" i="1"/>
  <c r="Q3131" i="1"/>
  <c r="R3131" i="1"/>
  <c r="S3131" i="1"/>
  <c r="I3131" i="1"/>
  <c r="I3130" i="1"/>
  <c r="I3140" i="1"/>
  <c r="J3140" i="1" s="1"/>
  <c r="K3140" i="1" s="1"/>
  <c r="L3140" i="1" s="1"/>
  <c r="M3140" i="1" s="1"/>
  <c r="N3140" i="1" s="1"/>
  <c r="O3140" i="1" s="1"/>
  <c r="P3140" i="1" s="1"/>
  <c r="Q3140" i="1" s="1"/>
  <c r="R3140" i="1" s="1"/>
  <c r="S3140" i="1" s="1"/>
  <c r="T3140" i="1" s="1"/>
  <c r="U3140" i="1" s="1"/>
  <c r="I3134" i="1"/>
  <c r="J3134" i="1" s="1"/>
  <c r="K3134" i="1" s="1"/>
  <c r="I3129" i="1"/>
  <c r="J3129" i="1" s="1"/>
  <c r="K3129" i="1" s="1"/>
  <c r="I3123" i="1"/>
  <c r="J3123" i="1" s="1"/>
  <c r="K3123" i="1" s="1"/>
  <c r="L3123" i="1" s="1"/>
  <c r="J3077" i="1"/>
  <c r="K3077" i="1"/>
  <c r="L3077" i="1"/>
  <c r="M3077" i="1"/>
  <c r="N3077" i="1"/>
  <c r="O3077" i="1"/>
  <c r="P3077" i="1"/>
  <c r="Q3077" i="1"/>
  <c r="R3077" i="1"/>
  <c r="S3077" i="1"/>
  <c r="J3078" i="1"/>
  <c r="K3078" i="1"/>
  <c r="L3078" i="1"/>
  <c r="M3078" i="1"/>
  <c r="N3078" i="1"/>
  <c r="O3078" i="1"/>
  <c r="P3078" i="1"/>
  <c r="Q3078" i="1"/>
  <c r="R3078" i="1"/>
  <c r="S3078" i="1"/>
  <c r="I3077" i="1"/>
  <c r="J3025" i="1"/>
  <c r="K3025" i="1"/>
  <c r="L3025" i="1"/>
  <c r="M3025" i="1"/>
  <c r="N3025" i="1"/>
  <c r="O3025" i="1"/>
  <c r="P3025" i="1"/>
  <c r="Q3025" i="1"/>
  <c r="R3025" i="1"/>
  <c r="S3025" i="1"/>
  <c r="I3025" i="1"/>
  <c r="J2972" i="1"/>
  <c r="K2972" i="1"/>
  <c r="L2972" i="1"/>
  <c r="M2972" i="1"/>
  <c r="N2972" i="1"/>
  <c r="O2972" i="1"/>
  <c r="P2972" i="1"/>
  <c r="Q2972" i="1"/>
  <c r="R2972" i="1"/>
  <c r="S2972" i="1"/>
  <c r="I2972" i="1"/>
  <c r="J2919" i="1"/>
  <c r="K2919" i="1"/>
  <c r="L2919" i="1"/>
  <c r="M2919" i="1"/>
  <c r="N2919" i="1"/>
  <c r="O2919" i="1"/>
  <c r="P2919" i="1"/>
  <c r="Q2919" i="1"/>
  <c r="R2919" i="1"/>
  <c r="S2919" i="1"/>
  <c r="J2920" i="1"/>
  <c r="K2920" i="1"/>
  <c r="L2920" i="1"/>
  <c r="M2920" i="1"/>
  <c r="N2920" i="1"/>
  <c r="O2920" i="1"/>
  <c r="P2920" i="1"/>
  <c r="Q2920" i="1"/>
  <c r="R2920" i="1"/>
  <c r="S2920" i="1"/>
  <c r="I2919" i="1"/>
  <c r="J2878" i="1"/>
  <c r="K2878" i="1"/>
  <c r="L2878" i="1"/>
  <c r="M2878" i="1"/>
  <c r="N2878" i="1"/>
  <c r="O2878" i="1"/>
  <c r="P2878" i="1"/>
  <c r="Q2878" i="1"/>
  <c r="R2878" i="1"/>
  <c r="S2878" i="1"/>
  <c r="J2879" i="1"/>
  <c r="K2879" i="1"/>
  <c r="L2879" i="1"/>
  <c r="M2879" i="1"/>
  <c r="N2879" i="1"/>
  <c r="O2879" i="1"/>
  <c r="P2879" i="1"/>
  <c r="Q2879" i="1"/>
  <c r="R2879" i="1"/>
  <c r="S2879" i="1"/>
  <c r="I2879" i="1"/>
  <c r="I2878" i="1"/>
  <c r="I2888" i="1"/>
  <c r="J2888" i="1" s="1"/>
  <c r="K2888" i="1" s="1"/>
  <c r="L2888" i="1" s="1"/>
  <c r="M2888" i="1" s="1"/>
  <c r="N2888" i="1" s="1"/>
  <c r="O2888" i="1" s="1"/>
  <c r="P2888" i="1" s="1"/>
  <c r="Q2888" i="1" s="1"/>
  <c r="R2888" i="1" s="1"/>
  <c r="S2888" i="1" s="1"/>
  <c r="T2888" i="1" s="1"/>
  <c r="U2888" i="1" s="1"/>
  <c r="I2882" i="1"/>
  <c r="J2882" i="1" s="1"/>
  <c r="K2882" i="1" s="1"/>
  <c r="L2882" i="1" s="1"/>
  <c r="M2882" i="1" s="1"/>
  <c r="N2882" i="1" s="1"/>
  <c r="O2882" i="1" s="1"/>
  <c r="P2882" i="1" s="1"/>
  <c r="Q2882" i="1" s="1"/>
  <c r="R2882" i="1" s="1"/>
  <c r="S2882" i="1" s="1"/>
  <c r="T2882" i="1" s="1"/>
  <c r="U2882" i="1" s="1"/>
  <c r="I2877" i="1"/>
  <c r="J2877" i="1" s="1"/>
  <c r="K2877" i="1" s="1"/>
  <c r="L2877" i="1" s="1"/>
  <c r="M2877" i="1" s="1"/>
  <c r="N2877" i="1" s="1"/>
  <c r="O2877" i="1" s="1"/>
  <c r="P2877" i="1" s="1"/>
  <c r="Q2877" i="1" s="1"/>
  <c r="R2877" i="1" s="1"/>
  <c r="S2877" i="1" s="1"/>
  <c r="T2877" i="1" s="1"/>
  <c r="U2877" i="1" s="1"/>
  <c r="I2871" i="1"/>
  <c r="J2871" i="1" s="1"/>
  <c r="K2871" i="1" s="1"/>
  <c r="L2871" i="1" s="1"/>
  <c r="M2871" i="1" s="1"/>
  <c r="N2871" i="1" s="1"/>
  <c r="O2871" i="1" s="1"/>
  <c r="P2871" i="1" s="1"/>
  <c r="Q2871" i="1" s="1"/>
  <c r="R2871" i="1" s="1"/>
  <c r="S2871" i="1" s="1"/>
  <c r="T2871" i="1" s="1"/>
  <c r="U2871" i="1" s="1"/>
  <c r="I2840" i="1"/>
  <c r="I2839" i="1"/>
  <c r="I2849" i="1"/>
  <c r="J2849" i="1" s="1"/>
  <c r="K2849" i="1" s="1"/>
  <c r="L2849" i="1" s="1"/>
  <c r="M2849" i="1" s="1"/>
  <c r="N2849" i="1" s="1"/>
  <c r="O2849" i="1" s="1"/>
  <c r="I2843" i="1"/>
  <c r="J2843" i="1" s="1"/>
  <c r="K2843" i="1" s="1"/>
  <c r="L2843" i="1" s="1"/>
  <c r="M2843" i="1" s="1"/>
  <c r="N2843" i="1" s="1"/>
  <c r="O2843" i="1" s="1"/>
  <c r="I2838" i="1"/>
  <c r="J2838" i="1" s="1"/>
  <c r="K2838" i="1" s="1"/>
  <c r="L2838" i="1" s="1"/>
  <c r="M2838" i="1" s="1"/>
  <c r="N2838" i="1" s="1"/>
  <c r="O2838" i="1" s="1"/>
  <c r="I2832" i="1"/>
  <c r="J2832" i="1" s="1"/>
  <c r="K2832" i="1" s="1"/>
  <c r="L2832" i="1" s="1"/>
  <c r="M2832" i="1" s="1"/>
  <c r="N2832" i="1" s="1"/>
  <c r="O2832" i="1" s="1"/>
  <c r="P2832" i="1" s="1"/>
  <c r="J2731" i="1"/>
  <c r="K2731" i="1"/>
  <c r="L2731" i="1"/>
  <c r="M2731" i="1"/>
  <c r="N2731" i="1"/>
  <c r="O2731" i="1"/>
  <c r="P2731" i="1"/>
  <c r="Q2731" i="1"/>
  <c r="R2731" i="1"/>
  <c r="S2731" i="1"/>
  <c r="J2732" i="1"/>
  <c r="K2732" i="1"/>
  <c r="L2732" i="1"/>
  <c r="M2732" i="1"/>
  <c r="N2732" i="1"/>
  <c r="O2732" i="1"/>
  <c r="P2732" i="1"/>
  <c r="Q2732" i="1"/>
  <c r="R2732" i="1"/>
  <c r="S2732" i="1"/>
  <c r="I2731" i="1"/>
  <c r="J2678" i="1"/>
  <c r="K2678" i="1"/>
  <c r="L2678" i="1"/>
  <c r="M2678" i="1"/>
  <c r="N2678" i="1"/>
  <c r="O2678" i="1"/>
  <c r="P2678" i="1"/>
  <c r="Q2678" i="1"/>
  <c r="R2678" i="1"/>
  <c r="S2678" i="1"/>
  <c r="I2678" i="1"/>
  <c r="J2626" i="1"/>
  <c r="K2626" i="1"/>
  <c r="L2626" i="1"/>
  <c r="M2626" i="1"/>
  <c r="N2626" i="1"/>
  <c r="O2626" i="1"/>
  <c r="P2626" i="1"/>
  <c r="Q2626" i="1"/>
  <c r="R2626" i="1"/>
  <c r="S2626" i="1"/>
  <c r="I2626" i="1"/>
  <c r="J2574" i="1"/>
  <c r="K2574" i="1"/>
  <c r="L2574" i="1"/>
  <c r="M2574" i="1"/>
  <c r="N2574" i="1"/>
  <c r="O2574" i="1"/>
  <c r="P2574" i="1"/>
  <c r="Q2574" i="1"/>
  <c r="R2574" i="1"/>
  <c r="S2574" i="1"/>
  <c r="I2574" i="1"/>
  <c r="J2521" i="1"/>
  <c r="K2521" i="1"/>
  <c r="L2521" i="1"/>
  <c r="M2521" i="1"/>
  <c r="N2521" i="1"/>
  <c r="O2521" i="1"/>
  <c r="P2521" i="1"/>
  <c r="Q2521" i="1"/>
  <c r="R2521" i="1"/>
  <c r="S2521" i="1"/>
  <c r="I2521" i="1"/>
  <c r="J2468" i="1"/>
  <c r="K2468" i="1"/>
  <c r="L2468" i="1"/>
  <c r="M2468" i="1"/>
  <c r="N2468" i="1"/>
  <c r="O2468" i="1"/>
  <c r="P2468" i="1"/>
  <c r="Q2468" i="1"/>
  <c r="R2468" i="1"/>
  <c r="S2468" i="1"/>
  <c r="I2468" i="1"/>
  <c r="J2415" i="1"/>
  <c r="K2415" i="1"/>
  <c r="L2415" i="1"/>
  <c r="M2415" i="1"/>
  <c r="N2415" i="1"/>
  <c r="O2415" i="1"/>
  <c r="P2415" i="1"/>
  <c r="Q2415" i="1"/>
  <c r="R2415" i="1"/>
  <c r="S2415" i="1"/>
  <c r="I2415" i="1"/>
  <c r="J2362" i="1"/>
  <c r="K2362" i="1"/>
  <c r="L2362" i="1"/>
  <c r="M2362" i="1"/>
  <c r="N2362" i="1"/>
  <c r="O2362" i="1"/>
  <c r="P2362" i="1"/>
  <c r="Q2362" i="1"/>
  <c r="R2362" i="1"/>
  <c r="S2362" i="1"/>
  <c r="J2363" i="1"/>
  <c r="K2363" i="1"/>
  <c r="L2363" i="1"/>
  <c r="M2363" i="1"/>
  <c r="N2363" i="1"/>
  <c r="O2363" i="1"/>
  <c r="P2363" i="1"/>
  <c r="Q2363" i="1"/>
  <c r="R2363" i="1"/>
  <c r="S2363" i="1"/>
  <c r="I2362" i="1"/>
  <c r="J2310" i="1"/>
  <c r="K2310" i="1"/>
  <c r="L2310" i="1"/>
  <c r="M2310" i="1"/>
  <c r="N2310" i="1"/>
  <c r="O2310" i="1"/>
  <c r="P2310" i="1"/>
  <c r="Q2310" i="1"/>
  <c r="R2310" i="1"/>
  <c r="S2310" i="1"/>
  <c r="I2310" i="1"/>
  <c r="J2258" i="1"/>
  <c r="K2258" i="1"/>
  <c r="L2258" i="1"/>
  <c r="M2258" i="1"/>
  <c r="N2258" i="1"/>
  <c r="O2258" i="1"/>
  <c r="P2258" i="1"/>
  <c r="Q2258" i="1"/>
  <c r="R2258" i="1"/>
  <c r="S2258" i="1"/>
  <c r="J2259" i="1"/>
  <c r="K2259" i="1"/>
  <c r="L2259" i="1"/>
  <c r="M2259" i="1"/>
  <c r="N2259" i="1"/>
  <c r="O2259" i="1"/>
  <c r="P2259" i="1"/>
  <c r="Q2259" i="1"/>
  <c r="R2259" i="1"/>
  <c r="S2259" i="1"/>
  <c r="I2258" i="1"/>
  <c r="I2218" i="1"/>
  <c r="I2217" i="1"/>
  <c r="J2227" i="1"/>
  <c r="K2227" i="1" s="1"/>
  <c r="L2227" i="1" s="1"/>
  <c r="M2227" i="1" s="1"/>
  <c r="N2227" i="1" s="1"/>
  <c r="O2227" i="1" s="1"/>
  <c r="P2227" i="1" s="1"/>
  <c r="Q2227" i="1" s="1"/>
  <c r="R2227" i="1" s="1"/>
  <c r="S2227" i="1" s="1"/>
  <c r="T2227" i="1" s="1"/>
  <c r="U2227" i="1" s="1"/>
  <c r="J2221" i="1"/>
  <c r="K2221" i="1" s="1"/>
  <c r="L2221" i="1" s="1"/>
  <c r="M2221" i="1" s="1"/>
  <c r="N2221" i="1" s="1"/>
  <c r="O2221" i="1" s="1"/>
  <c r="P2221" i="1" s="1"/>
  <c r="Q2221" i="1" s="1"/>
  <c r="R2221" i="1" s="1"/>
  <c r="S2221" i="1" s="1"/>
  <c r="T2221" i="1" s="1"/>
  <c r="U2221" i="1" s="1"/>
  <c r="J2216" i="1"/>
  <c r="K2216" i="1" s="1"/>
  <c r="L2216" i="1" s="1"/>
  <c r="M2216" i="1" s="1"/>
  <c r="N2216" i="1" s="1"/>
  <c r="O2216" i="1" s="1"/>
  <c r="P2216" i="1" s="1"/>
  <c r="Q2216" i="1" s="1"/>
  <c r="R2216" i="1" s="1"/>
  <c r="S2216" i="1" s="1"/>
  <c r="T2216" i="1" s="1"/>
  <c r="U2216" i="1" s="1"/>
  <c r="J2210" i="1"/>
  <c r="K2210" i="1" s="1"/>
  <c r="L2210" i="1" s="1"/>
  <c r="M2210" i="1" s="1"/>
  <c r="N2210" i="1" s="1"/>
  <c r="O2210" i="1" s="1"/>
  <c r="P2210" i="1" s="1"/>
  <c r="Q2210" i="1" s="1"/>
  <c r="R2210" i="1" s="1"/>
  <c r="S2210" i="1" s="1"/>
  <c r="T2210" i="1" s="1"/>
  <c r="U2210" i="1" s="1"/>
  <c r="J2176" i="1"/>
  <c r="K2176" i="1"/>
  <c r="L2176" i="1"/>
  <c r="M2176" i="1"/>
  <c r="N2176" i="1"/>
  <c r="O2176" i="1"/>
  <c r="P2176" i="1"/>
  <c r="Q2176" i="1"/>
  <c r="R2176" i="1"/>
  <c r="S2176" i="1"/>
  <c r="J2177" i="1"/>
  <c r="K2177" i="1"/>
  <c r="L2177" i="1"/>
  <c r="M2177" i="1"/>
  <c r="N2177" i="1"/>
  <c r="O2177" i="1"/>
  <c r="P2177" i="1"/>
  <c r="Q2177" i="1"/>
  <c r="R2177" i="1"/>
  <c r="S2177" i="1"/>
  <c r="I2177" i="1"/>
  <c r="I2176" i="1"/>
  <c r="J2123" i="1"/>
  <c r="K2123" i="1"/>
  <c r="L2123" i="1"/>
  <c r="M2123" i="1"/>
  <c r="N2123" i="1"/>
  <c r="O2123" i="1"/>
  <c r="P2123" i="1"/>
  <c r="Q2123" i="1"/>
  <c r="R2123" i="1"/>
  <c r="S2123" i="1"/>
  <c r="J2124" i="1"/>
  <c r="K2124" i="1"/>
  <c r="L2124" i="1"/>
  <c r="M2124" i="1"/>
  <c r="N2124" i="1"/>
  <c r="O2124" i="1"/>
  <c r="P2124" i="1"/>
  <c r="Q2124" i="1"/>
  <c r="R2124" i="1"/>
  <c r="S2124" i="1"/>
  <c r="I2123" i="1"/>
  <c r="J2071" i="1"/>
  <c r="K2071" i="1"/>
  <c r="L2071" i="1"/>
  <c r="M2071" i="1"/>
  <c r="N2071" i="1"/>
  <c r="O2071" i="1"/>
  <c r="P2071" i="1"/>
  <c r="Q2071" i="1"/>
  <c r="R2071" i="1"/>
  <c r="S2071" i="1"/>
  <c r="I2071" i="1"/>
  <c r="I2040" i="1"/>
  <c r="J2040" i="1" s="1"/>
  <c r="K2040" i="1" s="1"/>
  <c r="L2040" i="1" s="1"/>
  <c r="M2040" i="1" s="1"/>
  <c r="N2040" i="1" s="1"/>
  <c r="O2040" i="1" s="1"/>
  <c r="P2040" i="1" s="1"/>
  <c r="Q2040" i="1" s="1"/>
  <c r="R2040" i="1" s="1"/>
  <c r="S2040" i="1" s="1"/>
  <c r="T2040" i="1" s="1"/>
  <c r="U2040" i="1" s="1"/>
  <c r="I2034" i="1"/>
  <c r="J2034" i="1" s="1"/>
  <c r="K2034" i="1" s="1"/>
  <c r="L2034" i="1" s="1"/>
  <c r="M2034" i="1" s="1"/>
  <c r="N2034" i="1" s="1"/>
  <c r="O2034" i="1" s="1"/>
  <c r="P2034" i="1" s="1"/>
  <c r="Q2034" i="1" s="1"/>
  <c r="R2034" i="1" s="1"/>
  <c r="S2034" i="1" s="1"/>
  <c r="T2034" i="1" s="1"/>
  <c r="U2034" i="1" s="1"/>
  <c r="I2029" i="1"/>
  <c r="J2029" i="1" s="1"/>
  <c r="K2029" i="1" s="1"/>
  <c r="L2029" i="1" s="1"/>
  <c r="M2029" i="1" s="1"/>
  <c r="N2029" i="1" s="1"/>
  <c r="O2029" i="1" s="1"/>
  <c r="P2029" i="1" s="1"/>
  <c r="Q2029" i="1" s="1"/>
  <c r="R2029" i="1" s="1"/>
  <c r="S2029" i="1" s="1"/>
  <c r="T2029" i="1" s="1"/>
  <c r="U2029" i="1" s="1"/>
  <c r="I2023" i="1"/>
  <c r="J2023" i="1" s="1"/>
  <c r="K2023" i="1" s="1"/>
  <c r="L2023" i="1" s="1"/>
  <c r="M2023" i="1" s="1"/>
  <c r="N2023" i="1" s="1"/>
  <c r="O2023" i="1" s="1"/>
  <c r="P2023" i="1" s="1"/>
  <c r="Q2023" i="1" s="1"/>
  <c r="R2023" i="1" s="1"/>
  <c r="S2023" i="1" s="1"/>
  <c r="T2023" i="1" s="1"/>
  <c r="U2023" i="1" s="1"/>
  <c r="I2031" i="1"/>
  <c r="I2030" i="1"/>
  <c r="J1988" i="1"/>
  <c r="K1988" i="1"/>
  <c r="L1988" i="1"/>
  <c r="M1988" i="1"/>
  <c r="N1988" i="1"/>
  <c r="O1988" i="1"/>
  <c r="P1988" i="1"/>
  <c r="Q1988" i="1"/>
  <c r="R1988" i="1"/>
  <c r="S1988" i="1"/>
  <c r="J1989" i="1"/>
  <c r="K1989" i="1"/>
  <c r="L1989" i="1"/>
  <c r="M1989" i="1"/>
  <c r="N1989" i="1"/>
  <c r="O1989" i="1"/>
  <c r="P1989" i="1"/>
  <c r="Q1989" i="1"/>
  <c r="R1989" i="1"/>
  <c r="S1989" i="1"/>
  <c r="I1989" i="1"/>
  <c r="I1988" i="1"/>
  <c r="I1998" i="1"/>
  <c r="I1992" i="1"/>
  <c r="I1987" i="1"/>
  <c r="J1987" i="1" s="1"/>
  <c r="K1987" i="1" s="1"/>
  <c r="L1987" i="1" s="1"/>
  <c r="M1987" i="1" s="1"/>
  <c r="N1987" i="1" s="1"/>
  <c r="O1987" i="1" s="1"/>
  <c r="P1987" i="1" s="1"/>
  <c r="Q1987" i="1" s="1"/>
  <c r="R1987" i="1" s="1"/>
  <c r="S1987" i="1" s="1"/>
  <c r="T1987" i="1" s="1"/>
  <c r="U1987" i="1" s="1"/>
  <c r="I1981" i="1"/>
  <c r="J1981" i="1" s="1"/>
  <c r="K1981" i="1" s="1"/>
  <c r="L1981" i="1" s="1"/>
  <c r="M1981" i="1" s="1"/>
  <c r="N1981" i="1" s="1"/>
  <c r="O1981" i="1" s="1"/>
  <c r="P1981" i="1" s="1"/>
  <c r="Q1981" i="1" s="1"/>
  <c r="R1981" i="1" s="1"/>
  <c r="S1981" i="1" s="1"/>
  <c r="T1981" i="1" s="1"/>
  <c r="U1981" i="1" s="1"/>
  <c r="J1935" i="1"/>
  <c r="K1935" i="1"/>
  <c r="L1935" i="1"/>
  <c r="M1935" i="1"/>
  <c r="N1935" i="1"/>
  <c r="O1935" i="1"/>
  <c r="P1935" i="1"/>
  <c r="Q1935" i="1"/>
  <c r="R1935" i="1"/>
  <c r="S1935" i="1"/>
  <c r="I1935" i="1"/>
  <c r="J1882" i="1"/>
  <c r="K1882" i="1"/>
  <c r="L1882" i="1"/>
  <c r="M1882" i="1"/>
  <c r="N1882" i="1"/>
  <c r="O1882" i="1"/>
  <c r="P1882" i="1"/>
  <c r="Q1882" i="1"/>
  <c r="R1882" i="1"/>
  <c r="S1882" i="1"/>
  <c r="I1882" i="1"/>
  <c r="J1828" i="1"/>
  <c r="K1828" i="1"/>
  <c r="L1828" i="1"/>
  <c r="M1828" i="1"/>
  <c r="N1828" i="1"/>
  <c r="O1828" i="1"/>
  <c r="P1828" i="1"/>
  <c r="Q1828" i="1"/>
  <c r="R1828" i="1"/>
  <c r="S1828" i="1"/>
  <c r="J1829" i="1"/>
  <c r="K1829" i="1"/>
  <c r="L1829" i="1"/>
  <c r="M1829" i="1"/>
  <c r="N1829" i="1"/>
  <c r="O1829" i="1"/>
  <c r="P1829" i="1"/>
  <c r="Q1829" i="1"/>
  <c r="R1829" i="1"/>
  <c r="S1829" i="1"/>
  <c r="I1828" i="1"/>
  <c r="S1787" i="1"/>
  <c r="R1787" i="1"/>
  <c r="Q1787" i="1"/>
  <c r="P1787" i="1"/>
  <c r="O1787" i="1"/>
  <c r="N1787" i="1"/>
  <c r="M1787" i="1"/>
  <c r="L1787" i="1"/>
  <c r="K1787" i="1"/>
  <c r="J1787" i="1"/>
  <c r="S1786" i="1"/>
  <c r="R1786" i="1"/>
  <c r="Q1786" i="1"/>
  <c r="P1786" i="1"/>
  <c r="O1786" i="1"/>
  <c r="N1786" i="1"/>
  <c r="M1786" i="1"/>
  <c r="L1786" i="1"/>
  <c r="K1786" i="1"/>
  <c r="J1786" i="1"/>
  <c r="I1787" i="1"/>
  <c r="I1786" i="1"/>
  <c r="I1796" i="1"/>
  <c r="J1796" i="1" s="1"/>
  <c r="K1796" i="1" s="1"/>
  <c r="L1796" i="1" s="1"/>
  <c r="M1796" i="1" s="1"/>
  <c r="N1796" i="1" s="1"/>
  <c r="O1796" i="1" s="1"/>
  <c r="P1796" i="1" s="1"/>
  <c r="Q1796" i="1" s="1"/>
  <c r="R1796" i="1" s="1"/>
  <c r="S1796" i="1" s="1"/>
  <c r="T1796" i="1" s="1"/>
  <c r="U1796" i="1" s="1"/>
  <c r="I1790" i="1"/>
  <c r="J1790" i="1" s="1"/>
  <c r="K1790" i="1" s="1"/>
  <c r="L1790" i="1" s="1"/>
  <c r="M1790" i="1" s="1"/>
  <c r="N1790" i="1" s="1"/>
  <c r="O1790" i="1" s="1"/>
  <c r="P1790" i="1" s="1"/>
  <c r="Q1790" i="1" s="1"/>
  <c r="R1790" i="1" s="1"/>
  <c r="S1790" i="1" s="1"/>
  <c r="T1790" i="1" s="1"/>
  <c r="U1790" i="1" s="1"/>
  <c r="I1785" i="1"/>
  <c r="J1785" i="1" s="1"/>
  <c r="K1785" i="1" s="1"/>
  <c r="L1785" i="1" s="1"/>
  <c r="M1785" i="1" s="1"/>
  <c r="N1785" i="1" s="1"/>
  <c r="O1785" i="1" s="1"/>
  <c r="P1785" i="1" s="1"/>
  <c r="Q1785" i="1" s="1"/>
  <c r="R1785" i="1" s="1"/>
  <c r="S1785" i="1" s="1"/>
  <c r="T1785" i="1" s="1"/>
  <c r="U1785" i="1" s="1"/>
  <c r="I1779" i="1"/>
  <c r="J1734" i="1"/>
  <c r="K1734" i="1"/>
  <c r="L1734" i="1"/>
  <c r="M1734" i="1"/>
  <c r="N1734" i="1"/>
  <c r="O1734" i="1"/>
  <c r="P1734" i="1"/>
  <c r="Q1734" i="1"/>
  <c r="R1734" i="1"/>
  <c r="S1734" i="1"/>
  <c r="I1734" i="1"/>
  <c r="J1680" i="1"/>
  <c r="K1680" i="1"/>
  <c r="L1680" i="1"/>
  <c r="M1680" i="1"/>
  <c r="N1680" i="1"/>
  <c r="O1680" i="1"/>
  <c r="P1680" i="1"/>
  <c r="Q1680" i="1"/>
  <c r="R1680" i="1"/>
  <c r="S1680" i="1"/>
  <c r="J1681" i="1"/>
  <c r="K1681" i="1"/>
  <c r="L1681" i="1"/>
  <c r="M1681" i="1"/>
  <c r="N1681" i="1"/>
  <c r="O1681" i="1"/>
  <c r="P1681" i="1"/>
  <c r="Q1681" i="1"/>
  <c r="R1681" i="1"/>
  <c r="S1681" i="1"/>
  <c r="I1680" i="1"/>
  <c r="J1626" i="1"/>
  <c r="K1626" i="1"/>
  <c r="L1626" i="1"/>
  <c r="M1626" i="1"/>
  <c r="N1626" i="1"/>
  <c r="O1626" i="1"/>
  <c r="P1626" i="1"/>
  <c r="Q1626" i="1"/>
  <c r="R1626" i="1"/>
  <c r="S1626" i="1"/>
  <c r="I1626" i="1"/>
  <c r="J1573" i="1"/>
  <c r="K1573" i="1"/>
  <c r="L1573" i="1"/>
  <c r="M1573" i="1"/>
  <c r="N1573" i="1"/>
  <c r="O1573" i="1"/>
  <c r="P1573" i="1"/>
  <c r="Q1573" i="1"/>
  <c r="R1573" i="1"/>
  <c r="S1573" i="1"/>
  <c r="I1573" i="1"/>
  <c r="J1532" i="1"/>
  <c r="K1532" i="1"/>
  <c r="L1532" i="1"/>
  <c r="M1532" i="1"/>
  <c r="N1532" i="1"/>
  <c r="O1532" i="1"/>
  <c r="P1532" i="1"/>
  <c r="Q1532" i="1"/>
  <c r="R1532" i="1"/>
  <c r="S1532" i="1"/>
  <c r="J1533" i="1"/>
  <c r="K1533" i="1"/>
  <c r="L1533" i="1"/>
  <c r="M1533" i="1"/>
  <c r="N1533" i="1"/>
  <c r="O1533" i="1"/>
  <c r="P1533" i="1"/>
  <c r="Q1533" i="1"/>
  <c r="R1533" i="1"/>
  <c r="S1533" i="1"/>
  <c r="I1533" i="1"/>
  <c r="I1532" i="1"/>
  <c r="I1542" i="1"/>
  <c r="J1542" i="1" s="1"/>
  <c r="K1542" i="1" s="1"/>
  <c r="L1542" i="1" s="1"/>
  <c r="M1542" i="1" s="1"/>
  <c r="N1542" i="1" s="1"/>
  <c r="O1542" i="1" s="1"/>
  <c r="P1542" i="1" s="1"/>
  <c r="Q1542" i="1" s="1"/>
  <c r="R1542" i="1" s="1"/>
  <c r="S1542" i="1" s="1"/>
  <c r="T1542" i="1" s="1"/>
  <c r="U1542" i="1" s="1"/>
  <c r="I1536" i="1"/>
  <c r="J1536" i="1" s="1"/>
  <c r="K1536" i="1" s="1"/>
  <c r="L1536" i="1" s="1"/>
  <c r="M1536" i="1" s="1"/>
  <c r="N1536" i="1" s="1"/>
  <c r="O1536" i="1" s="1"/>
  <c r="P1536" i="1" s="1"/>
  <c r="Q1536" i="1" s="1"/>
  <c r="R1536" i="1" s="1"/>
  <c r="S1536" i="1" s="1"/>
  <c r="T1536" i="1" s="1"/>
  <c r="U1536" i="1" s="1"/>
  <c r="I1531" i="1"/>
  <c r="J1531" i="1" s="1"/>
  <c r="K1531" i="1" s="1"/>
  <c r="L1531" i="1" s="1"/>
  <c r="M1531" i="1" s="1"/>
  <c r="N1531" i="1" s="1"/>
  <c r="O1531" i="1" s="1"/>
  <c r="P1531" i="1" s="1"/>
  <c r="Q1531" i="1" s="1"/>
  <c r="R1531" i="1" s="1"/>
  <c r="S1531" i="1" s="1"/>
  <c r="T1531" i="1" s="1"/>
  <c r="U1531" i="1" s="1"/>
  <c r="I1525" i="1"/>
  <c r="J1525" i="1" s="1"/>
  <c r="K1525" i="1" s="1"/>
  <c r="L1525" i="1" s="1"/>
  <c r="M1525" i="1" s="1"/>
  <c r="N1525" i="1" s="1"/>
  <c r="O1525" i="1" s="1"/>
  <c r="P1525" i="1" s="1"/>
  <c r="Q1525" i="1" s="1"/>
  <c r="R1525" i="1" s="1"/>
  <c r="S1525" i="1" s="1"/>
  <c r="T1525" i="1" s="1"/>
  <c r="U1525" i="1" s="1"/>
  <c r="J1478" i="1"/>
  <c r="K1478" i="1"/>
  <c r="L1478" i="1"/>
  <c r="M1478" i="1"/>
  <c r="N1478" i="1"/>
  <c r="O1478" i="1"/>
  <c r="P1478" i="1"/>
  <c r="Q1478" i="1"/>
  <c r="R1478" i="1"/>
  <c r="S1478" i="1"/>
  <c r="J1479" i="1"/>
  <c r="K1479" i="1"/>
  <c r="L1479" i="1"/>
  <c r="M1479" i="1"/>
  <c r="N1479" i="1"/>
  <c r="O1479" i="1"/>
  <c r="P1479" i="1"/>
  <c r="Q1479" i="1"/>
  <c r="R1479" i="1"/>
  <c r="S1479" i="1"/>
  <c r="I1478" i="1"/>
  <c r="J1246" i="1"/>
  <c r="K1246" i="1"/>
  <c r="L1246" i="1"/>
  <c r="M1246" i="1"/>
  <c r="N1246" i="1"/>
  <c r="O1246" i="1"/>
  <c r="P1246" i="1"/>
  <c r="Q1246" i="1"/>
  <c r="R1246" i="1"/>
  <c r="S1246" i="1"/>
  <c r="J1247" i="1"/>
  <c r="K1247" i="1"/>
  <c r="L1247" i="1"/>
  <c r="M1247" i="1"/>
  <c r="N1247" i="1"/>
  <c r="O1247" i="1"/>
  <c r="P1247" i="1"/>
  <c r="Q1247" i="1"/>
  <c r="R1247" i="1"/>
  <c r="S1247" i="1"/>
  <c r="I1246" i="1"/>
  <c r="J1193" i="1"/>
  <c r="K1193" i="1"/>
  <c r="L1193" i="1"/>
  <c r="M1193" i="1"/>
  <c r="N1193" i="1"/>
  <c r="O1193" i="1"/>
  <c r="P1193" i="1"/>
  <c r="Q1193" i="1"/>
  <c r="R1193" i="1"/>
  <c r="S1193" i="1"/>
  <c r="I1193" i="1"/>
  <c r="J1140" i="1"/>
  <c r="K1140" i="1"/>
  <c r="L1140" i="1"/>
  <c r="M1140" i="1"/>
  <c r="N1140" i="1"/>
  <c r="O1140" i="1"/>
  <c r="P1140" i="1"/>
  <c r="Q1140" i="1"/>
  <c r="R1140" i="1"/>
  <c r="S1140" i="1"/>
  <c r="J1141" i="1"/>
  <c r="K1141" i="1"/>
  <c r="L1141" i="1"/>
  <c r="M1141" i="1"/>
  <c r="N1141" i="1"/>
  <c r="O1141" i="1"/>
  <c r="P1141" i="1"/>
  <c r="Q1141" i="1"/>
  <c r="R1141" i="1"/>
  <c r="S1141" i="1"/>
  <c r="I1140" i="1"/>
  <c r="J1087" i="1"/>
  <c r="K1087" i="1"/>
  <c r="L1087" i="1"/>
  <c r="M1087" i="1"/>
  <c r="N1087" i="1"/>
  <c r="O1087" i="1"/>
  <c r="P1087" i="1"/>
  <c r="Q1087" i="1"/>
  <c r="R1087" i="1"/>
  <c r="S1087" i="1"/>
  <c r="J1088" i="1"/>
  <c r="K1088" i="1"/>
  <c r="L1088" i="1"/>
  <c r="M1088" i="1"/>
  <c r="N1088" i="1"/>
  <c r="O1088" i="1"/>
  <c r="P1088" i="1"/>
  <c r="Q1088" i="1"/>
  <c r="R1088" i="1"/>
  <c r="S1088" i="1"/>
  <c r="I1087" i="1"/>
  <c r="J1034" i="1"/>
  <c r="K1034" i="1"/>
  <c r="L1034" i="1"/>
  <c r="M1034" i="1"/>
  <c r="N1034" i="1"/>
  <c r="O1034" i="1"/>
  <c r="P1034" i="1"/>
  <c r="Q1034" i="1"/>
  <c r="R1034" i="1"/>
  <c r="S1034" i="1"/>
  <c r="J1035" i="1"/>
  <c r="K1035" i="1"/>
  <c r="L1035" i="1"/>
  <c r="M1035" i="1"/>
  <c r="N1035" i="1"/>
  <c r="O1035" i="1"/>
  <c r="P1035" i="1"/>
  <c r="Q1035" i="1"/>
  <c r="R1035" i="1"/>
  <c r="S1035" i="1"/>
  <c r="I1034" i="1"/>
  <c r="J940" i="1"/>
  <c r="K940" i="1"/>
  <c r="L940" i="1"/>
  <c r="M940" i="1"/>
  <c r="N940" i="1"/>
  <c r="O940" i="1"/>
  <c r="P940" i="1"/>
  <c r="Q940" i="1"/>
  <c r="R940" i="1"/>
  <c r="S940" i="1"/>
  <c r="I940" i="1"/>
  <c r="J793" i="1"/>
  <c r="K793" i="1"/>
  <c r="L793" i="1"/>
  <c r="M793" i="1"/>
  <c r="N793" i="1"/>
  <c r="O793" i="1"/>
  <c r="P793" i="1"/>
  <c r="Q793" i="1"/>
  <c r="R793" i="1"/>
  <c r="S793" i="1"/>
  <c r="I793" i="1"/>
  <c r="J739" i="1"/>
  <c r="K739" i="1"/>
  <c r="L739" i="1"/>
  <c r="M739" i="1"/>
  <c r="N739" i="1"/>
  <c r="O739" i="1"/>
  <c r="P739" i="1"/>
  <c r="Q739" i="1"/>
  <c r="R739" i="1"/>
  <c r="S739" i="1"/>
  <c r="J740" i="1"/>
  <c r="K740" i="1"/>
  <c r="L740" i="1"/>
  <c r="M740" i="1"/>
  <c r="N740" i="1"/>
  <c r="O740" i="1"/>
  <c r="P740" i="1"/>
  <c r="Q740" i="1"/>
  <c r="R740" i="1"/>
  <c r="S740" i="1"/>
  <c r="I739" i="1"/>
  <c r="J1380" i="1"/>
  <c r="K1380" i="1"/>
  <c r="L1380" i="1"/>
  <c r="M1380" i="1"/>
  <c r="N1380" i="1"/>
  <c r="O1380" i="1"/>
  <c r="P1380" i="1"/>
  <c r="Q1380" i="1"/>
  <c r="R1380" i="1"/>
  <c r="S1380" i="1"/>
  <c r="J1381" i="1"/>
  <c r="K1381" i="1"/>
  <c r="L1381" i="1"/>
  <c r="M1381" i="1"/>
  <c r="N1381" i="1"/>
  <c r="O1381" i="1"/>
  <c r="P1381" i="1"/>
  <c r="Q1381" i="1"/>
  <c r="R1381" i="1"/>
  <c r="S1381" i="1"/>
  <c r="I1380" i="1"/>
  <c r="J1339" i="1"/>
  <c r="K1339" i="1"/>
  <c r="L1339" i="1"/>
  <c r="M1339" i="1"/>
  <c r="N1339" i="1"/>
  <c r="O1339" i="1"/>
  <c r="P1339" i="1"/>
  <c r="Q1339" i="1"/>
  <c r="R1339" i="1"/>
  <c r="S1339" i="1"/>
  <c r="J1340" i="1"/>
  <c r="K1340" i="1"/>
  <c r="L1340" i="1"/>
  <c r="M1340" i="1"/>
  <c r="N1340" i="1"/>
  <c r="O1340" i="1"/>
  <c r="P1340" i="1"/>
  <c r="Q1340" i="1"/>
  <c r="R1340" i="1"/>
  <c r="S1340" i="1"/>
  <c r="I1339" i="1"/>
  <c r="J1292" i="1"/>
  <c r="K1292" i="1"/>
  <c r="L1292" i="1"/>
  <c r="M1292" i="1"/>
  <c r="N1292" i="1"/>
  <c r="O1292" i="1"/>
  <c r="P1292" i="1"/>
  <c r="Q1292" i="1"/>
  <c r="R1292" i="1"/>
  <c r="S1292" i="1"/>
  <c r="J1293" i="1"/>
  <c r="K1293" i="1"/>
  <c r="L1293" i="1"/>
  <c r="M1293" i="1"/>
  <c r="N1293" i="1"/>
  <c r="O1293" i="1"/>
  <c r="P1293" i="1"/>
  <c r="Q1293" i="1"/>
  <c r="R1293" i="1"/>
  <c r="S1293" i="1"/>
  <c r="I1292" i="1"/>
  <c r="I1340" i="1"/>
  <c r="I1349" i="1"/>
  <c r="J1349" i="1" s="1"/>
  <c r="K1349" i="1" s="1"/>
  <c r="L1349" i="1" s="1"/>
  <c r="M1349" i="1" s="1"/>
  <c r="N1349" i="1" s="1"/>
  <c r="O1349" i="1" s="1"/>
  <c r="P1349" i="1" s="1"/>
  <c r="Q1349" i="1" s="1"/>
  <c r="R1349" i="1" s="1"/>
  <c r="S1349" i="1" s="1"/>
  <c r="T1349" i="1" s="1"/>
  <c r="U1349" i="1" s="1"/>
  <c r="I1343" i="1"/>
  <c r="J1343" i="1" s="1"/>
  <c r="K1343" i="1" s="1"/>
  <c r="L1343" i="1" s="1"/>
  <c r="M1343" i="1" s="1"/>
  <c r="N1343" i="1" s="1"/>
  <c r="O1343" i="1" s="1"/>
  <c r="P1343" i="1" s="1"/>
  <c r="Q1343" i="1" s="1"/>
  <c r="R1343" i="1" s="1"/>
  <c r="S1343" i="1" s="1"/>
  <c r="T1343" i="1" s="1"/>
  <c r="U1343" i="1" s="1"/>
  <c r="I1338" i="1"/>
  <c r="J1338" i="1" s="1"/>
  <c r="K1338" i="1" s="1"/>
  <c r="L1338" i="1" s="1"/>
  <c r="M1338" i="1" s="1"/>
  <c r="N1338" i="1" s="1"/>
  <c r="O1338" i="1" s="1"/>
  <c r="I1332" i="1"/>
  <c r="J1332" i="1" s="1"/>
  <c r="K1332" i="1" s="1"/>
  <c r="L1332" i="1" s="1"/>
  <c r="M1332" i="1" s="1"/>
  <c r="N1332" i="1" s="1"/>
  <c r="O1332" i="1" s="1"/>
  <c r="P1332" i="1" s="1"/>
  <c r="J993" i="1"/>
  <c r="K993" i="1"/>
  <c r="L993" i="1"/>
  <c r="M993" i="1"/>
  <c r="N993" i="1"/>
  <c r="O993" i="1"/>
  <c r="P993" i="1"/>
  <c r="Q993" i="1"/>
  <c r="R993" i="1"/>
  <c r="S993" i="1"/>
  <c r="J994" i="1"/>
  <c r="K994" i="1"/>
  <c r="L994" i="1"/>
  <c r="M994" i="1"/>
  <c r="N994" i="1"/>
  <c r="O994" i="1"/>
  <c r="P994" i="1"/>
  <c r="Q994" i="1"/>
  <c r="R994" i="1"/>
  <c r="S994" i="1"/>
  <c r="I994" i="1"/>
  <c r="I993" i="1"/>
  <c r="I1003" i="1"/>
  <c r="J1003" i="1" s="1"/>
  <c r="K1003" i="1" s="1"/>
  <c r="L1003" i="1" s="1"/>
  <c r="M1003" i="1" s="1"/>
  <c r="N1003" i="1" s="1"/>
  <c r="O1003" i="1" s="1"/>
  <c r="P1003" i="1" s="1"/>
  <c r="Q1003" i="1" s="1"/>
  <c r="R1003" i="1" s="1"/>
  <c r="S1003" i="1" s="1"/>
  <c r="T1003" i="1" s="1"/>
  <c r="U1003" i="1" s="1"/>
  <c r="I997" i="1"/>
  <c r="J997" i="1" s="1"/>
  <c r="K997" i="1" s="1"/>
  <c r="L997" i="1" s="1"/>
  <c r="M997" i="1" s="1"/>
  <c r="N997" i="1" s="1"/>
  <c r="O997" i="1" s="1"/>
  <c r="P997" i="1" s="1"/>
  <c r="Q997" i="1" s="1"/>
  <c r="R997" i="1" s="1"/>
  <c r="S997" i="1" s="1"/>
  <c r="T997" i="1" s="1"/>
  <c r="U997" i="1" s="1"/>
  <c r="I992" i="1"/>
  <c r="J992" i="1" s="1"/>
  <c r="K992" i="1" s="1"/>
  <c r="L992" i="1" s="1"/>
  <c r="M992" i="1" s="1"/>
  <c r="N992" i="1" s="1"/>
  <c r="O992" i="1" s="1"/>
  <c r="P992" i="1" s="1"/>
  <c r="Q992" i="1" s="1"/>
  <c r="R992" i="1" s="1"/>
  <c r="S992" i="1" s="1"/>
  <c r="T992" i="1" s="1"/>
  <c r="U992" i="1" s="1"/>
  <c r="I986" i="1"/>
  <c r="J986" i="1" s="1"/>
  <c r="K986" i="1" s="1"/>
  <c r="L986" i="1" s="1"/>
  <c r="M986" i="1" s="1"/>
  <c r="N986" i="1" s="1"/>
  <c r="O986" i="1" s="1"/>
  <c r="P986" i="1" s="1"/>
  <c r="Q986" i="1" s="1"/>
  <c r="R986" i="1" s="1"/>
  <c r="S986" i="1" s="1"/>
  <c r="T986" i="1" s="1"/>
  <c r="U986" i="1" s="1"/>
  <c r="I909" i="1"/>
  <c r="J909" i="1" s="1"/>
  <c r="K909" i="1" s="1"/>
  <c r="L909" i="1" s="1"/>
  <c r="M909" i="1" s="1"/>
  <c r="N909" i="1" s="1"/>
  <c r="O909" i="1" s="1"/>
  <c r="P909" i="1" s="1"/>
  <c r="Q909" i="1" s="1"/>
  <c r="R909" i="1" s="1"/>
  <c r="S909" i="1" s="1"/>
  <c r="T909" i="1" s="1"/>
  <c r="U909" i="1" s="1"/>
  <c r="I903" i="1"/>
  <c r="J903" i="1" s="1"/>
  <c r="K903" i="1" s="1"/>
  <c r="L903" i="1" s="1"/>
  <c r="M903" i="1" s="1"/>
  <c r="N903" i="1" s="1"/>
  <c r="O903" i="1" s="1"/>
  <c r="P903" i="1" s="1"/>
  <c r="Q903" i="1" s="1"/>
  <c r="R903" i="1" s="1"/>
  <c r="S903" i="1" s="1"/>
  <c r="T903" i="1" s="1"/>
  <c r="U903" i="1" s="1"/>
  <c r="I898" i="1"/>
  <c r="J898" i="1" s="1"/>
  <c r="K898" i="1" s="1"/>
  <c r="L898" i="1" s="1"/>
  <c r="M898" i="1" s="1"/>
  <c r="N898" i="1" s="1"/>
  <c r="O898" i="1" s="1"/>
  <c r="P898" i="1" s="1"/>
  <c r="Q898" i="1" s="1"/>
  <c r="R898" i="1" s="1"/>
  <c r="S898" i="1" s="1"/>
  <c r="T898" i="1" s="1"/>
  <c r="U898" i="1" s="1"/>
  <c r="I892" i="1"/>
  <c r="J892" i="1" s="1"/>
  <c r="K892" i="1" s="1"/>
  <c r="L892" i="1" s="1"/>
  <c r="M892" i="1" s="1"/>
  <c r="N892" i="1" s="1"/>
  <c r="O892" i="1" s="1"/>
  <c r="P892" i="1" s="1"/>
  <c r="Q892" i="1" s="1"/>
  <c r="R892" i="1" s="1"/>
  <c r="S892" i="1" s="1"/>
  <c r="T892" i="1" s="1"/>
  <c r="U892" i="1" s="1"/>
  <c r="I665" i="1"/>
  <c r="J665" i="1" s="1"/>
  <c r="K665" i="1" s="1"/>
  <c r="L665" i="1" s="1"/>
  <c r="M665" i="1" s="1"/>
  <c r="N665" i="1" s="1"/>
  <c r="O665" i="1" s="1"/>
  <c r="P665" i="1" s="1"/>
  <c r="Q665" i="1" s="1"/>
  <c r="R665" i="1" s="1"/>
  <c r="S665" i="1" s="1"/>
  <c r="T665" i="1" s="1"/>
  <c r="U665" i="1" s="1"/>
  <c r="I690" i="1"/>
  <c r="J690" i="1" s="1"/>
  <c r="K690" i="1" s="1"/>
  <c r="L690" i="1" s="1"/>
  <c r="M690" i="1" s="1"/>
  <c r="N690" i="1" s="1"/>
  <c r="O690" i="1" s="1"/>
  <c r="P690" i="1" s="1"/>
  <c r="Q690" i="1" s="1"/>
  <c r="R690" i="1" s="1"/>
  <c r="S690" i="1" s="1"/>
  <c r="T690" i="1" s="1"/>
  <c r="U690" i="1" s="1"/>
  <c r="I707" i="1"/>
  <c r="J707" i="1" s="1"/>
  <c r="K707" i="1" s="1"/>
  <c r="L707" i="1" s="1"/>
  <c r="M707" i="1" s="1"/>
  <c r="N707" i="1" s="1"/>
  <c r="O707" i="1" s="1"/>
  <c r="P707" i="1" s="1"/>
  <c r="Q707" i="1" s="1"/>
  <c r="R707" i="1" s="1"/>
  <c r="S707" i="1" s="1"/>
  <c r="T707" i="1" s="1"/>
  <c r="U707" i="1" s="1"/>
  <c r="I701" i="1"/>
  <c r="J701" i="1" s="1"/>
  <c r="K701" i="1" s="1"/>
  <c r="L701" i="1" s="1"/>
  <c r="M701" i="1" s="1"/>
  <c r="N701" i="1" s="1"/>
  <c r="O701" i="1" s="1"/>
  <c r="P701" i="1" s="1"/>
  <c r="Q701" i="1" s="1"/>
  <c r="R701" i="1" s="1"/>
  <c r="S701" i="1" s="1"/>
  <c r="T701" i="1" s="1"/>
  <c r="U701" i="1" s="1"/>
  <c r="I696" i="1"/>
  <c r="J696" i="1" s="1"/>
  <c r="K696" i="1" s="1"/>
  <c r="L696" i="1" s="1"/>
  <c r="M696" i="1" s="1"/>
  <c r="N696" i="1" s="1"/>
  <c r="O696" i="1" s="1"/>
  <c r="P696" i="1" s="1"/>
  <c r="Q696" i="1" s="1"/>
  <c r="R696" i="1" s="1"/>
  <c r="S696" i="1" s="1"/>
  <c r="T696" i="1" s="1"/>
  <c r="U696" i="1" s="1"/>
  <c r="I648" i="1"/>
  <c r="J648" i="1" s="1"/>
  <c r="K648" i="1" s="1"/>
  <c r="L648" i="1" s="1"/>
  <c r="M648" i="1" s="1"/>
  <c r="N648" i="1" s="1"/>
  <c r="O648" i="1" s="1"/>
  <c r="P648" i="1" s="1"/>
  <c r="Q648" i="1" s="1"/>
  <c r="R648" i="1" s="1"/>
  <c r="S648" i="1" s="1"/>
  <c r="T648" i="1" s="1"/>
  <c r="U648" i="1" s="1"/>
  <c r="I659" i="1"/>
  <c r="J659" i="1" s="1"/>
  <c r="K659" i="1" s="1"/>
  <c r="L659" i="1" s="1"/>
  <c r="M659" i="1" s="1"/>
  <c r="N659" i="1" s="1"/>
  <c r="O659" i="1" s="1"/>
  <c r="P659" i="1" s="1"/>
  <c r="Q659" i="1" s="1"/>
  <c r="R659" i="1" s="1"/>
  <c r="S659" i="1" s="1"/>
  <c r="T659" i="1" s="1"/>
  <c r="U659" i="1" s="1"/>
  <c r="I654" i="1"/>
  <c r="J654" i="1" s="1"/>
  <c r="K654" i="1" s="1"/>
  <c r="L654" i="1" s="1"/>
  <c r="M654" i="1" s="1"/>
  <c r="N654" i="1" s="1"/>
  <c r="O654" i="1" s="1"/>
  <c r="P654" i="1" s="1"/>
  <c r="Q654" i="1" s="1"/>
  <c r="R654" i="1" s="1"/>
  <c r="S654" i="1" s="1"/>
  <c r="T654" i="1" s="1"/>
  <c r="U654" i="1" s="1"/>
  <c r="J846" i="1"/>
  <c r="K846" i="1"/>
  <c r="L846" i="1"/>
  <c r="M846" i="1"/>
  <c r="N846" i="1"/>
  <c r="O846" i="1"/>
  <c r="P846" i="1"/>
  <c r="Q846" i="1"/>
  <c r="R846" i="1"/>
  <c r="S846" i="1"/>
  <c r="I846" i="1"/>
  <c r="J899" i="1"/>
  <c r="K899" i="1"/>
  <c r="L899" i="1"/>
  <c r="M899" i="1"/>
  <c r="N899" i="1"/>
  <c r="O899" i="1"/>
  <c r="P899" i="1"/>
  <c r="Q899" i="1"/>
  <c r="R899" i="1"/>
  <c r="S899" i="1"/>
  <c r="J900" i="1"/>
  <c r="K900" i="1"/>
  <c r="L900" i="1"/>
  <c r="M900" i="1"/>
  <c r="N900" i="1"/>
  <c r="O900" i="1"/>
  <c r="P900" i="1"/>
  <c r="Q900" i="1"/>
  <c r="R900" i="1"/>
  <c r="S900" i="1"/>
  <c r="I900" i="1"/>
  <c r="I899" i="1"/>
  <c r="J697" i="1"/>
  <c r="K697" i="1"/>
  <c r="L697" i="1"/>
  <c r="M697" i="1"/>
  <c r="N697" i="1"/>
  <c r="O697" i="1"/>
  <c r="P697" i="1"/>
  <c r="Q697" i="1"/>
  <c r="R697" i="1"/>
  <c r="S697" i="1"/>
  <c r="J698" i="1"/>
  <c r="K698" i="1"/>
  <c r="L698" i="1"/>
  <c r="M698" i="1"/>
  <c r="N698" i="1"/>
  <c r="O698" i="1"/>
  <c r="P698" i="1"/>
  <c r="Q698" i="1"/>
  <c r="R698" i="1"/>
  <c r="S698" i="1"/>
  <c r="I698" i="1"/>
  <c r="I697" i="1"/>
  <c r="J656" i="1"/>
  <c r="K656" i="1"/>
  <c r="L656" i="1"/>
  <c r="M656" i="1"/>
  <c r="N656" i="1"/>
  <c r="O656" i="1"/>
  <c r="P656" i="1"/>
  <c r="Q656" i="1"/>
  <c r="R656" i="1"/>
  <c r="S656" i="1"/>
  <c r="I656" i="1"/>
  <c r="J655" i="1"/>
  <c r="K655" i="1"/>
  <c r="L655" i="1"/>
  <c r="M655" i="1"/>
  <c r="N655" i="1"/>
  <c r="O655" i="1"/>
  <c r="P655" i="1"/>
  <c r="Q655" i="1"/>
  <c r="R655" i="1"/>
  <c r="S655" i="1"/>
  <c r="I655" i="1"/>
  <c r="A82" i="8"/>
  <c r="B82" i="8"/>
  <c r="R82" i="8" s="1"/>
  <c r="A83" i="8"/>
  <c r="B83" i="8"/>
  <c r="R83" i="8" s="1"/>
  <c r="A84" i="8"/>
  <c r="B84" i="8"/>
  <c r="R84" i="8" s="1"/>
  <c r="A76" i="8"/>
  <c r="B76" i="8"/>
  <c r="R76" i="8" s="1"/>
  <c r="A77" i="8"/>
  <c r="B77" i="8"/>
  <c r="R77" i="8" s="1"/>
  <c r="A78" i="8"/>
  <c r="B78" i="8"/>
  <c r="R78" i="8" s="1"/>
  <c r="A63" i="8"/>
  <c r="B63" i="8"/>
  <c r="R63" i="8" s="1"/>
  <c r="A64" i="8"/>
  <c r="B64" i="8"/>
  <c r="R64" i="8" s="1"/>
  <c r="A65" i="8"/>
  <c r="B65" i="8"/>
  <c r="R65" i="8" s="1"/>
  <c r="A59" i="8"/>
  <c r="B59" i="8"/>
  <c r="R59" i="8" s="1"/>
  <c r="A60" i="8"/>
  <c r="B60" i="8"/>
  <c r="R60" i="8" s="1"/>
  <c r="A55" i="8"/>
  <c r="B55" i="8"/>
  <c r="R55" i="8" s="1"/>
  <c r="A50" i="8"/>
  <c r="B50" i="8"/>
  <c r="R50" i="8" s="1"/>
  <c r="A46" i="8"/>
  <c r="B46" i="8"/>
  <c r="R46" i="8" s="1"/>
  <c r="A39" i="8"/>
  <c r="B39" i="8"/>
  <c r="R39" i="8" s="1"/>
  <c r="A37" i="8"/>
  <c r="B37" i="8"/>
  <c r="R37" i="8" s="1"/>
  <c r="A32" i="8"/>
  <c r="B32" i="8"/>
  <c r="R32" i="8" s="1"/>
  <c r="A33" i="8"/>
  <c r="B33" i="8"/>
  <c r="R33" i="8" s="1"/>
  <c r="H2869" i="1"/>
  <c r="G2872" i="1" s="1"/>
  <c r="S2902" i="1"/>
  <c r="S2906" i="1" s="1"/>
  <c r="R2902" i="1"/>
  <c r="R2906" i="1" s="1"/>
  <c r="Q2902" i="1"/>
  <c r="Q2906" i="1" s="1"/>
  <c r="P2902" i="1"/>
  <c r="P2906" i="1" s="1"/>
  <c r="L2902" i="1"/>
  <c r="L2906" i="1" s="1"/>
  <c r="K2902" i="1"/>
  <c r="K2906" i="1" s="1"/>
  <c r="J2902" i="1"/>
  <c r="J2906" i="1" s="1"/>
  <c r="I2902" i="1"/>
  <c r="I2906" i="1" s="1"/>
  <c r="N2899" i="1"/>
  <c r="O2899" i="1" s="1"/>
  <c r="O2902" i="1" s="1"/>
  <c r="O2906" i="1" s="1"/>
  <c r="N2897" i="1"/>
  <c r="L2895" i="1"/>
  <c r="M2895" i="1" s="1"/>
  <c r="M2902" i="1" s="1"/>
  <c r="M2906" i="1" s="1"/>
  <c r="K2894" i="1"/>
  <c r="K2893" i="1"/>
  <c r="L2893" i="1" s="1"/>
  <c r="J2892" i="1"/>
  <c r="J2891" i="1"/>
  <c r="K2891" i="1" s="1"/>
  <c r="I2890" i="1"/>
  <c r="J2889" i="1"/>
  <c r="H2208" i="1"/>
  <c r="G2211" i="1" s="1"/>
  <c r="S2241" i="1"/>
  <c r="S2245" i="1" s="1"/>
  <c r="R2241" i="1"/>
  <c r="R2245" i="1" s="1"/>
  <c r="Q2241" i="1"/>
  <c r="Q2245" i="1" s="1"/>
  <c r="P2241" i="1"/>
  <c r="P2245" i="1" s="1"/>
  <c r="L2241" i="1"/>
  <c r="L2245" i="1" s="1"/>
  <c r="K2241" i="1"/>
  <c r="K2245" i="1" s="1"/>
  <c r="J2241" i="1"/>
  <c r="J2245" i="1" s="1"/>
  <c r="I2241" i="1"/>
  <c r="I2245" i="1" s="1"/>
  <c r="N2238" i="1"/>
  <c r="O2238" i="1" s="1"/>
  <c r="O2241" i="1" s="1"/>
  <c r="O2245" i="1" s="1"/>
  <c r="N2236" i="1"/>
  <c r="L2234" i="1"/>
  <c r="M2234" i="1" s="1"/>
  <c r="K2233" i="1"/>
  <c r="K2232" i="1"/>
  <c r="L2232" i="1" s="1"/>
  <c r="J2231" i="1"/>
  <c r="J2230" i="1"/>
  <c r="K2230" i="1" s="1"/>
  <c r="I2229" i="1"/>
  <c r="J2228" i="1"/>
  <c r="H1523" i="1"/>
  <c r="G1526" i="1" s="1"/>
  <c r="S1556" i="1"/>
  <c r="R1556" i="1"/>
  <c r="Q1556" i="1"/>
  <c r="P1556" i="1"/>
  <c r="L1556" i="1"/>
  <c r="K1556" i="1"/>
  <c r="J1556" i="1"/>
  <c r="I1556" i="1"/>
  <c r="N1553" i="1"/>
  <c r="O1553" i="1" s="1"/>
  <c r="O1556" i="1" s="1"/>
  <c r="N1551" i="1"/>
  <c r="K1548" i="1"/>
  <c r="J1546" i="1"/>
  <c r="I1544" i="1"/>
  <c r="J1543" i="1"/>
  <c r="S1540" i="1"/>
  <c r="R1540" i="1"/>
  <c r="Q1540" i="1"/>
  <c r="P1540" i="1"/>
  <c r="O1540" i="1"/>
  <c r="N1540" i="1"/>
  <c r="M1540" i="1"/>
  <c r="L1540" i="1"/>
  <c r="K1540" i="1"/>
  <c r="J1540" i="1"/>
  <c r="I1540" i="1"/>
  <c r="S1529" i="1"/>
  <c r="R1529" i="1"/>
  <c r="Q1529" i="1"/>
  <c r="P1529" i="1"/>
  <c r="O1529" i="1"/>
  <c r="M1529" i="1"/>
  <c r="L1529" i="1"/>
  <c r="K1529" i="1"/>
  <c r="J1529" i="1"/>
  <c r="I1529" i="1"/>
  <c r="H2021" i="1"/>
  <c r="G2024" i="1" s="1"/>
  <c r="S2054" i="1"/>
  <c r="S2058" i="1" s="1"/>
  <c r="R2054" i="1"/>
  <c r="R2058" i="1" s="1"/>
  <c r="Q2054" i="1"/>
  <c r="Q2058" i="1" s="1"/>
  <c r="P2054" i="1"/>
  <c r="P2058" i="1" s="1"/>
  <c r="L2054" i="1"/>
  <c r="L2058" i="1" s="1"/>
  <c r="K2054" i="1"/>
  <c r="K2058" i="1" s="1"/>
  <c r="J2054" i="1"/>
  <c r="J2058" i="1" s="1"/>
  <c r="I2054" i="1"/>
  <c r="I2058" i="1" s="1"/>
  <c r="N2051" i="1"/>
  <c r="O2051" i="1" s="1"/>
  <c r="O2054" i="1" s="1"/>
  <c r="O2058" i="1" s="1"/>
  <c r="N2049" i="1"/>
  <c r="L2047" i="1"/>
  <c r="M2047" i="1" s="1"/>
  <c r="K2046" i="1"/>
  <c r="K2045" i="1"/>
  <c r="L2045" i="1" s="1"/>
  <c r="J2044" i="1"/>
  <c r="J2043" i="1"/>
  <c r="K2043" i="1" s="1"/>
  <c r="I2042" i="1"/>
  <c r="J2041" i="1"/>
  <c r="H1979" i="1"/>
  <c r="G1982" i="1" s="1"/>
  <c r="S2012" i="1"/>
  <c r="R2012" i="1"/>
  <c r="Q2012" i="1"/>
  <c r="P2012" i="1"/>
  <c r="L2012" i="1"/>
  <c r="K2012" i="1"/>
  <c r="J2012" i="1"/>
  <c r="I2012" i="1"/>
  <c r="N2009" i="1"/>
  <c r="O2009" i="1" s="1"/>
  <c r="O2012" i="1" s="1"/>
  <c r="N2007" i="1"/>
  <c r="K2004" i="1"/>
  <c r="J2002" i="1"/>
  <c r="I2000" i="1"/>
  <c r="J1999" i="1"/>
  <c r="J1998" i="1"/>
  <c r="K1998" i="1" s="1"/>
  <c r="L1998" i="1" s="1"/>
  <c r="M1998" i="1" s="1"/>
  <c r="N1998" i="1" s="1"/>
  <c r="O1998" i="1" s="1"/>
  <c r="P1998" i="1" s="1"/>
  <c r="Q1998" i="1" s="1"/>
  <c r="R1998" i="1" s="1"/>
  <c r="S1998" i="1" s="1"/>
  <c r="T1998" i="1" s="1"/>
  <c r="U1998" i="1" s="1"/>
  <c r="S1996" i="1"/>
  <c r="R1996" i="1"/>
  <c r="Q1996" i="1"/>
  <c r="P1996" i="1"/>
  <c r="O1996" i="1"/>
  <c r="N1996" i="1"/>
  <c r="M1996" i="1"/>
  <c r="L1996" i="1"/>
  <c r="K1996" i="1"/>
  <c r="J1996" i="1"/>
  <c r="I1996" i="1"/>
  <c r="J1992" i="1"/>
  <c r="K1992" i="1" s="1"/>
  <c r="L1992" i="1" s="1"/>
  <c r="M1992" i="1" s="1"/>
  <c r="N1992" i="1" s="1"/>
  <c r="O1992" i="1" s="1"/>
  <c r="P1992" i="1" s="1"/>
  <c r="Q1992" i="1" s="1"/>
  <c r="R1992" i="1" s="1"/>
  <c r="S1992" i="1" s="1"/>
  <c r="T1992" i="1" s="1"/>
  <c r="U1992" i="1" s="1"/>
  <c r="S1985" i="1"/>
  <c r="R1985" i="1"/>
  <c r="Q1985" i="1"/>
  <c r="P1985" i="1"/>
  <c r="O1985" i="1"/>
  <c r="M1985" i="1"/>
  <c r="L1985" i="1"/>
  <c r="K1985" i="1"/>
  <c r="J1985" i="1"/>
  <c r="I1985" i="1"/>
  <c r="N1982" i="1"/>
  <c r="H688" i="1"/>
  <c r="G691" i="1" s="1"/>
  <c r="S721" i="1"/>
  <c r="R721" i="1"/>
  <c r="Q721" i="1"/>
  <c r="P721" i="1"/>
  <c r="L721" i="1"/>
  <c r="K721" i="1"/>
  <c r="J721" i="1"/>
  <c r="I721" i="1"/>
  <c r="N718" i="1"/>
  <c r="O718" i="1" s="1"/>
  <c r="O721" i="1" s="1"/>
  <c r="N716" i="1"/>
  <c r="K713" i="1"/>
  <c r="J711" i="1"/>
  <c r="I709" i="1"/>
  <c r="J708" i="1"/>
  <c r="S705" i="1"/>
  <c r="R705" i="1"/>
  <c r="Q705" i="1"/>
  <c r="P705" i="1"/>
  <c r="O705" i="1"/>
  <c r="N705" i="1"/>
  <c r="M705" i="1"/>
  <c r="L705" i="1"/>
  <c r="K705" i="1"/>
  <c r="J705" i="1"/>
  <c r="I705" i="1"/>
  <c r="S694" i="1"/>
  <c r="R694" i="1"/>
  <c r="Q694" i="1"/>
  <c r="P694" i="1"/>
  <c r="O694" i="1"/>
  <c r="M694" i="1"/>
  <c r="L694" i="1"/>
  <c r="K694" i="1"/>
  <c r="J694" i="1"/>
  <c r="I694" i="1"/>
  <c r="H646" i="1"/>
  <c r="G649" i="1" s="1"/>
  <c r="S679" i="1"/>
  <c r="R679" i="1"/>
  <c r="Q679" i="1"/>
  <c r="P679" i="1"/>
  <c r="L679" i="1"/>
  <c r="K679" i="1"/>
  <c r="J679" i="1"/>
  <c r="I679" i="1"/>
  <c r="N674" i="1"/>
  <c r="N679" i="1" s="1"/>
  <c r="K671" i="1"/>
  <c r="J669" i="1"/>
  <c r="I667" i="1"/>
  <c r="J666" i="1"/>
  <c r="S663" i="1"/>
  <c r="R663" i="1"/>
  <c r="Q663" i="1"/>
  <c r="P663" i="1"/>
  <c r="O663" i="1"/>
  <c r="N663" i="1"/>
  <c r="M663" i="1"/>
  <c r="L663" i="1"/>
  <c r="K663" i="1"/>
  <c r="J663" i="1"/>
  <c r="I663" i="1"/>
  <c r="S652" i="1"/>
  <c r="R652" i="1"/>
  <c r="Q652" i="1"/>
  <c r="P652" i="1"/>
  <c r="O652" i="1"/>
  <c r="M652" i="1"/>
  <c r="L652" i="1"/>
  <c r="K652" i="1"/>
  <c r="J652" i="1"/>
  <c r="I652" i="1"/>
  <c r="H890" i="1"/>
  <c r="G893" i="1" s="1"/>
  <c r="S923" i="1"/>
  <c r="R923" i="1"/>
  <c r="Q923" i="1"/>
  <c r="P923" i="1"/>
  <c r="L923" i="1"/>
  <c r="M918" i="1"/>
  <c r="N918" i="1" s="1"/>
  <c r="K915" i="1"/>
  <c r="J913" i="1"/>
  <c r="I911" i="1"/>
  <c r="I923" i="1" s="1"/>
  <c r="J910" i="1"/>
  <c r="S907" i="1"/>
  <c r="R907" i="1"/>
  <c r="Q907" i="1"/>
  <c r="P907" i="1"/>
  <c r="O907" i="1"/>
  <c r="N907" i="1"/>
  <c r="M907" i="1"/>
  <c r="L907" i="1"/>
  <c r="K907" i="1"/>
  <c r="J907" i="1"/>
  <c r="I907" i="1"/>
  <c r="S896" i="1"/>
  <c r="R896" i="1"/>
  <c r="Q896" i="1"/>
  <c r="P896" i="1"/>
  <c r="O896" i="1"/>
  <c r="N896" i="1"/>
  <c r="L896" i="1"/>
  <c r="K896" i="1"/>
  <c r="K914" i="1" s="1"/>
  <c r="L914" i="1" s="1"/>
  <c r="J896" i="1"/>
  <c r="I896" i="1"/>
  <c r="H1777" i="1"/>
  <c r="G1780" i="1" s="1"/>
  <c r="S1810" i="1"/>
  <c r="R1810" i="1"/>
  <c r="Q1810" i="1"/>
  <c r="P1810" i="1"/>
  <c r="L1810" i="1"/>
  <c r="K1810" i="1"/>
  <c r="J1810" i="1"/>
  <c r="I1810" i="1"/>
  <c r="M1805" i="1"/>
  <c r="N1805" i="1" s="1"/>
  <c r="K1802" i="1"/>
  <c r="J1800" i="1"/>
  <c r="I1798" i="1"/>
  <c r="J1797" i="1"/>
  <c r="S1794" i="1"/>
  <c r="R1794" i="1"/>
  <c r="Q1794" i="1"/>
  <c r="P1794" i="1"/>
  <c r="O1794" i="1"/>
  <c r="N1794" i="1"/>
  <c r="M1794" i="1"/>
  <c r="L1794" i="1"/>
  <c r="K1794" i="1"/>
  <c r="J1794" i="1"/>
  <c r="I1794" i="1"/>
  <c r="S1783" i="1"/>
  <c r="R1783" i="1"/>
  <c r="Q1783" i="1"/>
  <c r="P1783" i="1"/>
  <c r="O1783" i="1"/>
  <c r="N1783" i="1"/>
  <c r="L1783" i="1"/>
  <c r="K1783" i="1"/>
  <c r="J1783" i="1"/>
  <c r="I1783" i="1"/>
  <c r="J1779" i="1"/>
  <c r="K1779" i="1" s="1"/>
  <c r="L1779" i="1" s="1"/>
  <c r="M1779" i="1" s="1"/>
  <c r="N1779" i="1" s="1"/>
  <c r="O1779" i="1" s="1"/>
  <c r="P1779" i="1" s="1"/>
  <c r="Q1779" i="1" s="1"/>
  <c r="R1779" i="1" s="1"/>
  <c r="S1779" i="1" s="1"/>
  <c r="T1779" i="1" s="1"/>
  <c r="U1779" i="1" s="1"/>
  <c r="H984" i="1"/>
  <c r="G987" i="1" s="1"/>
  <c r="J1017" i="1"/>
  <c r="I1017" i="1"/>
  <c r="M1013" i="1"/>
  <c r="M1012" i="1"/>
  <c r="N1012" i="1" s="1"/>
  <c r="L1011" i="1"/>
  <c r="K1009" i="1"/>
  <c r="J1007" i="1"/>
  <c r="I1005" i="1"/>
  <c r="J1004" i="1"/>
  <c r="S1001" i="1"/>
  <c r="R1001" i="1"/>
  <c r="Q1001" i="1"/>
  <c r="P1001" i="1"/>
  <c r="O1001" i="1"/>
  <c r="N1001" i="1"/>
  <c r="M1001" i="1"/>
  <c r="L1001" i="1"/>
  <c r="K1001" i="1"/>
  <c r="J1001" i="1"/>
  <c r="I1001" i="1"/>
  <c r="S990" i="1"/>
  <c r="R990" i="1"/>
  <c r="Q990" i="1"/>
  <c r="P990" i="1"/>
  <c r="O990" i="1"/>
  <c r="N990" i="1"/>
  <c r="L990" i="1"/>
  <c r="K990" i="1"/>
  <c r="J990" i="1"/>
  <c r="I990" i="1"/>
  <c r="H1330" i="1"/>
  <c r="G1333" i="1" s="1"/>
  <c r="S1363" i="1"/>
  <c r="R1363" i="1"/>
  <c r="Q1363" i="1"/>
  <c r="P1363" i="1"/>
  <c r="L1363" i="1"/>
  <c r="K1363" i="1"/>
  <c r="J1363" i="1"/>
  <c r="I1363" i="1"/>
  <c r="N1360" i="1"/>
  <c r="O1360" i="1" s="1"/>
  <c r="O1363" i="1" s="1"/>
  <c r="M1358" i="1"/>
  <c r="N1358" i="1" s="1"/>
  <c r="K1355" i="1"/>
  <c r="J1353" i="1"/>
  <c r="I1351" i="1"/>
  <c r="J1350" i="1"/>
  <c r="S1347" i="1"/>
  <c r="R1347" i="1"/>
  <c r="Q1347" i="1"/>
  <c r="P1347" i="1"/>
  <c r="O1347" i="1"/>
  <c r="N1347" i="1"/>
  <c r="M1347" i="1"/>
  <c r="L1347" i="1"/>
  <c r="K1347" i="1"/>
  <c r="J1347" i="1"/>
  <c r="I1347" i="1"/>
  <c r="L1336" i="1"/>
  <c r="K1336" i="1"/>
  <c r="J1336" i="1"/>
  <c r="I1336" i="1"/>
  <c r="H2830" i="1"/>
  <c r="G2833" i="1" s="1"/>
  <c r="S2861" i="1"/>
  <c r="R2861" i="1"/>
  <c r="Q2861" i="1"/>
  <c r="P2861" i="1"/>
  <c r="O2861" i="1"/>
  <c r="M2861" i="1"/>
  <c r="L2861" i="1"/>
  <c r="K2861" i="1"/>
  <c r="J2861" i="1"/>
  <c r="I2861" i="1"/>
  <c r="N2858" i="1"/>
  <c r="N2861" i="1" s="1"/>
  <c r="K2855" i="1"/>
  <c r="J2853" i="1"/>
  <c r="I2851" i="1"/>
  <c r="J2850" i="1"/>
  <c r="O2847" i="1"/>
  <c r="N2847" i="1"/>
  <c r="M2847" i="1"/>
  <c r="L2847" i="1"/>
  <c r="K2847" i="1"/>
  <c r="J2847" i="1"/>
  <c r="I2847" i="1"/>
  <c r="S2836" i="1"/>
  <c r="R2836" i="1"/>
  <c r="Q2836" i="1"/>
  <c r="P2836" i="1"/>
  <c r="O2836" i="1"/>
  <c r="N2836" i="1"/>
  <c r="L2836" i="1"/>
  <c r="L2856" i="1" s="1"/>
  <c r="M2856" i="1" s="1"/>
  <c r="N2856" i="1" s="1"/>
  <c r="K2836" i="1"/>
  <c r="J2836" i="1"/>
  <c r="I2836" i="1"/>
  <c r="H2167" i="1"/>
  <c r="G2170" i="1" s="1"/>
  <c r="S2200" i="1"/>
  <c r="R2200" i="1"/>
  <c r="Q2200" i="1"/>
  <c r="P2200" i="1"/>
  <c r="N2197" i="1"/>
  <c r="O2197" i="1" s="1"/>
  <c r="O2200" i="1" s="1"/>
  <c r="M2195" i="1"/>
  <c r="N2195" i="1" s="1"/>
  <c r="K2192" i="1"/>
  <c r="J2190" i="1"/>
  <c r="I2188" i="1"/>
  <c r="J2186" i="1"/>
  <c r="K2186" i="1" s="1"/>
  <c r="L2186" i="1" s="1"/>
  <c r="M2186" i="1" s="1"/>
  <c r="N2186" i="1" s="1"/>
  <c r="O2186" i="1" s="1"/>
  <c r="P2186" i="1" s="1"/>
  <c r="Q2186" i="1" s="1"/>
  <c r="R2186" i="1" s="1"/>
  <c r="S2186" i="1" s="1"/>
  <c r="T2186" i="1" s="1"/>
  <c r="U2186" i="1" s="1"/>
  <c r="O2184" i="1"/>
  <c r="N2184" i="1"/>
  <c r="M2184" i="1"/>
  <c r="L2184" i="1"/>
  <c r="K2184" i="1"/>
  <c r="J2184" i="1"/>
  <c r="I2184" i="1"/>
  <c r="J2180" i="1"/>
  <c r="K2180" i="1" s="1"/>
  <c r="J2178" i="1"/>
  <c r="J2175" i="1"/>
  <c r="K2175" i="1" s="1"/>
  <c r="S2173" i="1"/>
  <c r="R2173" i="1"/>
  <c r="Q2173" i="1"/>
  <c r="P2173" i="1"/>
  <c r="O2173" i="1"/>
  <c r="L2173" i="1"/>
  <c r="K2173" i="1"/>
  <c r="J2173" i="1"/>
  <c r="I2173" i="1"/>
  <c r="J2169" i="1"/>
  <c r="K2169" i="1" s="1"/>
  <c r="L2169" i="1" s="1"/>
  <c r="H3159" i="1"/>
  <c r="G3162" i="1" s="1"/>
  <c r="S3188" i="1"/>
  <c r="R3188" i="1"/>
  <c r="Q3188" i="1"/>
  <c r="P3188" i="1"/>
  <c r="O3188" i="1"/>
  <c r="N3188" i="1"/>
  <c r="M3185" i="1"/>
  <c r="M3188" i="1" s="1"/>
  <c r="K3184" i="1"/>
  <c r="L3183" i="1"/>
  <c r="L3188" i="1" s="1"/>
  <c r="J3182" i="1"/>
  <c r="K3181" i="1"/>
  <c r="K3188" i="1" s="1"/>
  <c r="I3180" i="1"/>
  <c r="I3188" i="1" s="1"/>
  <c r="J3179" i="1"/>
  <c r="J3178" i="1"/>
  <c r="K3178" i="1" s="1"/>
  <c r="L3178" i="1" s="1"/>
  <c r="M3178" i="1" s="1"/>
  <c r="N3178" i="1" s="1"/>
  <c r="O3178" i="1" s="1"/>
  <c r="P3178" i="1" s="1"/>
  <c r="Q3178" i="1" s="1"/>
  <c r="R3178" i="1" s="1"/>
  <c r="S3178" i="1" s="1"/>
  <c r="T3178" i="1" s="1"/>
  <c r="U3178" i="1" s="1"/>
  <c r="S3176" i="1"/>
  <c r="R3176" i="1"/>
  <c r="Q3176" i="1"/>
  <c r="P3176" i="1"/>
  <c r="O3176" i="1"/>
  <c r="N3176" i="1"/>
  <c r="M3176" i="1"/>
  <c r="L3176" i="1"/>
  <c r="K3176" i="1"/>
  <c r="J3176" i="1"/>
  <c r="I3176" i="1"/>
  <c r="J3172" i="1"/>
  <c r="K3172" i="1" s="1"/>
  <c r="P3170" i="1"/>
  <c r="S3165" i="1"/>
  <c r="R3165" i="1"/>
  <c r="Q3165" i="1"/>
  <c r="P3165" i="1"/>
  <c r="O3165" i="1"/>
  <c r="N3165" i="1"/>
  <c r="M3165" i="1"/>
  <c r="L3165" i="1"/>
  <c r="I3165" i="1"/>
  <c r="H3121" i="1"/>
  <c r="G3124" i="1" s="1"/>
  <c r="N3150" i="1"/>
  <c r="N3149" i="1"/>
  <c r="L3148" i="1"/>
  <c r="M3147" i="1"/>
  <c r="M3150" i="1" s="1"/>
  <c r="K3146" i="1"/>
  <c r="L3145" i="1"/>
  <c r="L3150" i="1" s="1"/>
  <c r="J3144" i="1"/>
  <c r="K3143" i="1"/>
  <c r="K3150" i="1" s="1"/>
  <c r="I3142" i="1"/>
  <c r="I3150" i="1" s="1"/>
  <c r="J3141" i="1"/>
  <c r="S3138" i="1"/>
  <c r="R3138" i="1"/>
  <c r="Q3138" i="1"/>
  <c r="P3138" i="1"/>
  <c r="O3138" i="1"/>
  <c r="N3138" i="1"/>
  <c r="M3138" i="1"/>
  <c r="L3138" i="1"/>
  <c r="K3138" i="1"/>
  <c r="J3138" i="1"/>
  <c r="I3138" i="1"/>
  <c r="S3127" i="1"/>
  <c r="R3127" i="1"/>
  <c r="Q3127" i="1"/>
  <c r="P3127" i="1"/>
  <c r="O3127" i="1"/>
  <c r="N3127" i="1"/>
  <c r="M3127" i="1"/>
  <c r="B22" i="8"/>
  <c r="R22" i="8" s="1"/>
  <c r="B24" i="8"/>
  <c r="R24" i="8" s="1"/>
  <c r="B25" i="8"/>
  <c r="R25" i="8" s="1"/>
  <c r="B26" i="8"/>
  <c r="R26" i="8" s="1"/>
  <c r="B27" i="8"/>
  <c r="R27" i="8" s="1"/>
  <c r="B28" i="8"/>
  <c r="R28" i="8" s="1"/>
  <c r="B29" i="8"/>
  <c r="R29" i="8" s="1"/>
  <c r="B30" i="8"/>
  <c r="R30" i="8" s="1"/>
  <c r="B31" i="8"/>
  <c r="R31" i="8" s="1"/>
  <c r="B34" i="8"/>
  <c r="R34" i="8" s="1"/>
  <c r="B35" i="8"/>
  <c r="R35" i="8" s="1"/>
  <c r="B36" i="8"/>
  <c r="R36" i="8" s="1"/>
  <c r="B38" i="8"/>
  <c r="R38" i="8" s="1"/>
  <c r="B40" i="8"/>
  <c r="R40" i="8" s="1"/>
  <c r="B41" i="8"/>
  <c r="R41" i="8" s="1"/>
  <c r="B42" i="8"/>
  <c r="R42" i="8" s="1"/>
  <c r="B43" i="8"/>
  <c r="R43" i="8" s="1"/>
  <c r="B44" i="8"/>
  <c r="R44" i="8" s="1"/>
  <c r="B45" i="8"/>
  <c r="R45" i="8" s="1"/>
  <c r="B47" i="8"/>
  <c r="R47" i="8" s="1"/>
  <c r="B49" i="8"/>
  <c r="R49" i="8" s="1"/>
  <c r="B51" i="8"/>
  <c r="R51" i="8" s="1"/>
  <c r="B52" i="8"/>
  <c r="R52" i="8" s="1"/>
  <c r="B53" i="8"/>
  <c r="R53" i="8" s="1"/>
  <c r="B54" i="8"/>
  <c r="R54" i="8" s="1"/>
  <c r="B56" i="8"/>
  <c r="R56" i="8" s="1"/>
  <c r="B57" i="8"/>
  <c r="R57" i="8" s="1"/>
  <c r="B58" i="8"/>
  <c r="R58" i="8" s="1"/>
  <c r="B61" i="8"/>
  <c r="R61" i="8" s="1"/>
  <c r="B62" i="8"/>
  <c r="R62" i="8" s="1"/>
  <c r="B66" i="8"/>
  <c r="R66" i="8" s="1"/>
  <c r="B67" i="8"/>
  <c r="R67" i="8" s="1"/>
  <c r="B68" i="8"/>
  <c r="R68" i="8" s="1"/>
  <c r="B69" i="8"/>
  <c r="R69" i="8" s="1"/>
  <c r="B70" i="8"/>
  <c r="R70" i="8" s="1"/>
  <c r="B71" i="8"/>
  <c r="R71" i="8" s="1"/>
  <c r="B72" i="8"/>
  <c r="R72" i="8" s="1"/>
  <c r="B73" i="8"/>
  <c r="R73" i="8" s="1"/>
  <c r="B74" i="8"/>
  <c r="R74" i="8" s="1"/>
  <c r="B79" i="8"/>
  <c r="R79" i="8" s="1"/>
  <c r="B80" i="8"/>
  <c r="R80" i="8" s="1"/>
  <c r="B81" i="8"/>
  <c r="R81" i="8" s="1"/>
  <c r="B85" i="8"/>
  <c r="R85" i="8" s="1"/>
  <c r="B23" i="8"/>
  <c r="R23" i="8" s="1"/>
  <c r="B48" i="8"/>
  <c r="R48" i="8" s="1"/>
  <c r="A23" i="8"/>
  <c r="A48" i="8"/>
  <c r="A79" i="8"/>
  <c r="A80" i="8"/>
  <c r="A81" i="8"/>
  <c r="A71" i="8"/>
  <c r="A72" i="8"/>
  <c r="A73" i="8"/>
  <c r="A74" i="8"/>
  <c r="A58" i="8"/>
  <c r="A61" i="8"/>
  <c r="A62" i="8"/>
  <c r="A66" i="8"/>
  <c r="A67" i="8"/>
  <c r="A68" i="8"/>
  <c r="A69" i="8"/>
  <c r="A70" i="8"/>
  <c r="R2548" i="1"/>
  <c r="Q2546" i="1"/>
  <c r="AD70" i="8" l="1"/>
  <c r="AE70" i="8"/>
  <c r="O70" i="8"/>
  <c r="AD73" i="8"/>
  <c r="AE73" i="8"/>
  <c r="O73" i="8"/>
  <c r="AD60" i="8"/>
  <c r="AE60" i="8"/>
  <c r="O60" i="8"/>
  <c r="AD68" i="8"/>
  <c r="AE68" i="8"/>
  <c r="O68" i="8"/>
  <c r="AD72" i="8"/>
  <c r="AE72" i="8"/>
  <c r="O72" i="8"/>
  <c r="AD71" i="8"/>
  <c r="AE71" i="8"/>
  <c r="O71" i="8"/>
  <c r="AD33" i="8"/>
  <c r="O33" i="8"/>
  <c r="AE33" i="8"/>
  <c r="AD46" i="8"/>
  <c r="AE46" i="8"/>
  <c r="O46" i="8"/>
  <c r="AD59" i="8"/>
  <c r="AE59" i="8"/>
  <c r="O59" i="8"/>
  <c r="AD78" i="8"/>
  <c r="AE78" i="8"/>
  <c r="AD83" i="8"/>
  <c r="O83" i="8"/>
  <c r="AE83" i="8"/>
  <c r="AD23" i="8"/>
  <c r="O23" i="8"/>
  <c r="AE23" i="8"/>
  <c r="AD69" i="8"/>
  <c r="O69" i="8"/>
  <c r="AE69" i="8"/>
  <c r="AD63" i="8"/>
  <c r="O63" i="8"/>
  <c r="AE63" i="8"/>
  <c r="AD66" i="8"/>
  <c r="O66" i="8"/>
  <c r="AE66" i="8"/>
  <c r="AD81" i="8"/>
  <c r="AE81" i="8"/>
  <c r="O81" i="8"/>
  <c r="AD74" i="8"/>
  <c r="AE74" i="8"/>
  <c r="O74" i="8"/>
  <c r="AD84" i="8"/>
  <c r="AE84" i="8"/>
  <c r="AD67" i="8"/>
  <c r="O67" i="8"/>
  <c r="AE67" i="8"/>
  <c r="AD62" i="8"/>
  <c r="O62" i="8"/>
  <c r="AE62" i="8"/>
  <c r="AD80" i="8"/>
  <c r="AE80" i="8"/>
  <c r="O80" i="8"/>
  <c r="AD32" i="8"/>
  <c r="O32" i="8"/>
  <c r="AE32" i="8"/>
  <c r="AD50" i="8"/>
  <c r="O50" i="8"/>
  <c r="AE50" i="8"/>
  <c r="AD65" i="8"/>
  <c r="AE65" i="8"/>
  <c r="O65" i="8"/>
  <c r="AD77" i="8"/>
  <c r="O77" i="8"/>
  <c r="AE77" i="8"/>
  <c r="AD82" i="8"/>
  <c r="O82" i="8"/>
  <c r="AE82" i="8"/>
  <c r="AD39" i="8"/>
  <c r="AE39" i="8"/>
  <c r="O39" i="8"/>
  <c r="AD61" i="8"/>
  <c r="AE61" i="8"/>
  <c r="O61" i="8"/>
  <c r="AD79" i="8"/>
  <c r="AE79" i="8"/>
  <c r="O79" i="8"/>
  <c r="AD58" i="8"/>
  <c r="AE58" i="8"/>
  <c r="AD48" i="8"/>
  <c r="O48" i="8"/>
  <c r="AE48" i="8"/>
  <c r="AD37" i="8"/>
  <c r="O37" i="8"/>
  <c r="AE37" i="8"/>
  <c r="AD55" i="8"/>
  <c r="O55" i="8"/>
  <c r="AE55" i="8"/>
  <c r="AD64" i="8"/>
  <c r="O64" i="8"/>
  <c r="AE64" i="8"/>
  <c r="AD76" i="8"/>
  <c r="O76" i="8"/>
  <c r="AE76" i="8"/>
  <c r="Q3170" i="1"/>
  <c r="K657" i="1"/>
  <c r="K683" i="1" s="1"/>
  <c r="T69" i="8"/>
  <c r="Z69" i="8"/>
  <c r="U69" i="8"/>
  <c r="V69" i="8"/>
  <c r="S69" i="8"/>
  <c r="W69" i="8"/>
  <c r="X69" i="8"/>
  <c r="Y69" i="8"/>
  <c r="Q69" i="8"/>
  <c r="V58" i="8"/>
  <c r="U58" i="8"/>
  <c r="W58" i="8"/>
  <c r="X58" i="8"/>
  <c r="T58" i="8"/>
  <c r="Y58" i="8"/>
  <c r="Z58" i="8"/>
  <c r="S58" i="8"/>
  <c r="Q58" i="8"/>
  <c r="V80" i="8"/>
  <c r="W80" i="8"/>
  <c r="X80" i="8"/>
  <c r="S80" i="8"/>
  <c r="Y80" i="8"/>
  <c r="T80" i="8"/>
  <c r="Z80" i="8"/>
  <c r="U80" i="8"/>
  <c r="Q80" i="8"/>
  <c r="V33" i="8"/>
  <c r="AB33" i="8"/>
  <c r="S33" i="8"/>
  <c r="Z33" i="8"/>
  <c r="T33" i="8"/>
  <c r="AA33" i="8"/>
  <c r="U33" i="8"/>
  <c r="AC33" i="8"/>
  <c r="X33" i="8"/>
  <c r="W33" i="8"/>
  <c r="Y33" i="8"/>
  <c r="Q33" i="8"/>
  <c r="V39" i="8"/>
  <c r="AB39" i="8"/>
  <c r="S39" i="8"/>
  <c r="Z39" i="8"/>
  <c r="T39" i="8"/>
  <c r="AA39" i="8"/>
  <c r="U39" i="8"/>
  <c r="AC39" i="8"/>
  <c r="X39" i="8"/>
  <c r="Y39" i="8"/>
  <c r="W39" i="8"/>
  <c r="Q39" i="8"/>
  <c r="V55" i="8"/>
  <c r="AB55" i="8"/>
  <c r="U55" i="8"/>
  <c r="AC55" i="8"/>
  <c r="W55" i="8"/>
  <c r="X55" i="8"/>
  <c r="AA55" i="8"/>
  <c r="S55" i="8"/>
  <c r="T55" i="8"/>
  <c r="Y55" i="8"/>
  <c r="Z55" i="8"/>
  <c r="Q55" i="8"/>
  <c r="T65" i="8"/>
  <c r="Z65" i="8"/>
  <c r="U65" i="8"/>
  <c r="V65" i="8"/>
  <c r="S65" i="8"/>
  <c r="W65" i="8"/>
  <c r="X65" i="8"/>
  <c r="Y65" i="8"/>
  <c r="Q65" i="8"/>
  <c r="V78" i="8"/>
  <c r="W78" i="8"/>
  <c r="X78" i="8"/>
  <c r="S78" i="8"/>
  <c r="Y78" i="8"/>
  <c r="T78" i="8"/>
  <c r="Z78" i="8"/>
  <c r="U78" i="8"/>
  <c r="Q78" i="8"/>
  <c r="V84" i="8"/>
  <c r="W84" i="8"/>
  <c r="X84" i="8"/>
  <c r="S84" i="8"/>
  <c r="Y84" i="8"/>
  <c r="T84" i="8"/>
  <c r="Z84" i="8"/>
  <c r="U84" i="8"/>
  <c r="Q84" i="8"/>
  <c r="V81" i="8"/>
  <c r="W81" i="8"/>
  <c r="X81" i="8"/>
  <c r="S81" i="8"/>
  <c r="Y81" i="8"/>
  <c r="T81" i="8"/>
  <c r="Z81" i="8"/>
  <c r="U81" i="8"/>
  <c r="Q81" i="8"/>
  <c r="T67" i="8"/>
  <c r="Z67" i="8"/>
  <c r="U67" i="8"/>
  <c r="V67" i="8"/>
  <c r="S67" i="8"/>
  <c r="W67" i="8"/>
  <c r="X67" i="8"/>
  <c r="Y67" i="8"/>
  <c r="Q67" i="8"/>
  <c r="V73" i="8"/>
  <c r="W73" i="8"/>
  <c r="X73" i="8"/>
  <c r="S73" i="8"/>
  <c r="Y73" i="8"/>
  <c r="T73" i="8"/>
  <c r="Z73" i="8"/>
  <c r="U73" i="8"/>
  <c r="Q73" i="8"/>
  <c r="V48" i="8"/>
  <c r="S48" i="8"/>
  <c r="Z48" i="8"/>
  <c r="T48" i="8"/>
  <c r="U48" i="8"/>
  <c r="X48" i="8"/>
  <c r="Y48" i="8"/>
  <c r="W48" i="8"/>
  <c r="Q48" i="8"/>
  <c r="V62" i="8"/>
  <c r="X62" i="8"/>
  <c r="Y62" i="8"/>
  <c r="S62" i="8"/>
  <c r="Z62" i="8"/>
  <c r="T62" i="8"/>
  <c r="U62" i="8"/>
  <c r="W62" i="8"/>
  <c r="Q62" i="8"/>
  <c r="W70" i="8"/>
  <c r="Q70" i="8"/>
  <c r="V61" i="8"/>
  <c r="U61" i="8"/>
  <c r="W61" i="8"/>
  <c r="X61" i="8"/>
  <c r="S61" i="8"/>
  <c r="T61" i="8"/>
  <c r="Y61" i="8"/>
  <c r="Z61" i="8"/>
  <c r="Q61" i="8"/>
  <c r="T68" i="8"/>
  <c r="Z68" i="8"/>
  <c r="U68" i="8"/>
  <c r="V68" i="8"/>
  <c r="S68" i="8"/>
  <c r="W68" i="8"/>
  <c r="X68" i="8"/>
  <c r="Y68" i="8"/>
  <c r="Q68" i="8"/>
  <c r="X74" i="8"/>
  <c r="Y74" i="8"/>
  <c r="Z74" i="8"/>
  <c r="Q74" i="8"/>
  <c r="W79" i="8"/>
  <c r="X79" i="8"/>
  <c r="Y79" i="8"/>
  <c r="Z79" i="8"/>
  <c r="AA79" i="8"/>
  <c r="Q79" i="8"/>
  <c r="T66" i="8"/>
  <c r="Z66" i="8"/>
  <c r="U66" i="8"/>
  <c r="V66" i="8"/>
  <c r="S66" i="8"/>
  <c r="W66" i="8"/>
  <c r="X66" i="8"/>
  <c r="Y66" i="8"/>
  <c r="Q66" i="8"/>
  <c r="V72" i="8"/>
  <c r="W72" i="8"/>
  <c r="X72" i="8"/>
  <c r="S72" i="8"/>
  <c r="Y72" i="8"/>
  <c r="T72" i="8"/>
  <c r="Z72" i="8"/>
  <c r="U72" i="8"/>
  <c r="Q72" i="8"/>
  <c r="V23" i="8"/>
  <c r="W23" i="8"/>
  <c r="X23" i="8"/>
  <c r="Y23" i="8"/>
  <c r="S23" i="8"/>
  <c r="Z23" i="8"/>
  <c r="U23" i="8"/>
  <c r="T23" i="8"/>
  <c r="Q23" i="8"/>
  <c r="V32" i="8"/>
  <c r="AB32" i="8"/>
  <c r="X32" i="8"/>
  <c r="Y32" i="8"/>
  <c r="S32" i="8"/>
  <c r="Z32" i="8"/>
  <c r="U32" i="8"/>
  <c r="AC32" i="8"/>
  <c r="W32" i="8"/>
  <c r="AA32" i="8"/>
  <c r="T32" i="8"/>
  <c r="Q32" i="8"/>
  <c r="V46" i="8"/>
  <c r="AB46" i="8"/>
  <c r="U46" i="8"/>
  <c r="AC46" i="8"/>
  <c r="W46" i="8"/>
  <c r="X46" i="8"/>
  <c r="S46" i="8"/>
  <c r="Z46" i="8"/>
  <c r="AA46" i="8"/>
  <c r="T46" i="8"/>
  <c r="Y46" i="8"/>
  <c r="Q46" i="8"/>
  <c r="V60" i="8"/>
  <c r="AB60" i="8"/>
  <c r="S60" i="8"/>
  <c r="Z60" i="8"/>
  <c r="T60" i="8"/>
  <c r="AA60" i="8"/>
  <c r="U60" i="8"/>
  <c r="AC60" i="8"/>
  <c r="Y60" i="8"/>
  <c r="W60" i="8"/>
  <c r="X60" i="8"/>
  <c r="Q60" i="8"/>
  <c r="T64" i="8"/>
  <c r="Z64" i="8"/>
  <c r="U64" i="8"/>
  <c r="AA64" i="8"/>
  <c r="V64" i="8"/>
  <c r="AB64" i="8"/>
  <c r="S64" i="8"/>
  <c r="W64" i="8"/>
  <c r="X64" i="8"/>
  <c r="Y64" i="8"/>
  <c r="AC64" i="8"/>
  <c r="Q64" i="8"/>
  <c r="V77" i="8"/>
  <c r="AB77" i="8"/>
  <c r="W77" i="8"/>
  <c r="AC77" i="8"/>
  <c r="X77" i="8"/>
  <c r="S77" i="8"/>
  <c r="Y77" i="8"/>
  <c r="T77" i="8"/>
  <c r="Z77" i="8"/>
  <c r="U77" i="8"/>
  <c r="AA77" i="8"/>
  <c r="Q77" i="8"/>
  <c r="V83" i="8"/>
  <c r="AB83" i="8"/>
  <c r="W83" i="8"/>
  <c r="AC83" i="8"/>
  <c r="X83" i="8"/>
  <c r="S83" i="8"/>
  <c r="Y83" i="8"/>
  <c r="T83" i="8"/>
  <c r="Z83" i="8"/>
  <c r="U83" i="8"/>
  <c r="AA83" i="8"/>
  <c r="Q83" i="8"/>
  <c r="V71" i="8"/>
  <c r="W71" i="8"/>
  <c r="X71" i="8"/>
  <c r="S71" i="8"/>
  <c r="Y71" i="8"/>
  <c r="T71" i="8"/>
  <c r="Z71" i="8"/>
  <c r="U71" i="8"/>
  <c r="Q71" i="8"/>
  <c r="V37" i="8"/>
  <c r="AB37" i="8"/>
  <c r="U37" i="8"/>
  <c r="AC37" i="8"/>
  <c r="W37" i="8"/>
  <c r="X37" i="8"/>
  <c r="S37" i="8"/>
  <c r="Z37" i="8"/>
  <c r="AA37" i="8"/>
  <c r="T37" i="8"/>
  <c r="Y37" i="8"/>
  <c r="Q37" i="8"/>
  <c r="V50" i="8"/>
  <c r="AB50" i="8"/>
  <c r="X50" i="8"/>
  <c r="Y50" i="8"/>
  <c r="S50" i="8"/>
  <c r="Z50" i="8"/>
  <c r="U50" i="8"/>
  <c r="AC50" i="8"/>
  <c r="W50" i="8"/>
  <c r="AA50" i="8"/>
  <c r="T50" i="8"/>
  <c r="Q50" i="8"/>
  <c r="V59" i="8"/>
  <c r="AB59" i="8"/>
  <c r="X59" i="8"/>
  <c r="Y59" i="8"/>
  <c r="S59" i="8"/>
  <c r="Z59" i="8"/>
  <c r="W59" i="8"/>
  <c r="AA59" i="8"/>
  <c r="AC59" i="8"/>
  <c r="T59" i="8"/>
  <c r="U59" i="8"/>
  <c r="Q59" i="8"/>
  <c r="V63" i="8"/>
  <c r="S63" i="8"/>
  <c r="Z63" i="8"/>
  <c r="T63" i="8"/>
  <c r="AA63" i="8"/>
  <c r="U63" i="8"/>
  <c r="AB63" i="8"/>
  <c r="W63" i="8"/>
  <c r="X63" i="8"/>
  <c r="Y63" i="8"/>
  <c r="AC63" i="8"/>
  <c r="Q63" i="8"/>
  <c r="V76" i="8"/>
  <c r="AB76" i="8"/>
  <c r="W76" i="8"/>
  <c r="AC76" i="8"/>
  <c r="X76" i="8"/>
  <c r="S76" i="8"/>
  <c r="Y76" i="8"/>
  <c r="T76" i="8"/>
  <c r="Z76" i="8"/>
  <c r="U76" i="8"/>
  <c r="AA76" i="8"/>
  <c r="Q76" i="8"/>
  <c r="V82" i="8"/>
  <c r="AB82" i="8"/>
  <c r="W82" i="8"/>
  <c r="AC82" i="8"/>
  <c r="X82" i="8"/>
  <c r="S82" i="8"/>
  <c r="Y82" i="8"/>
  <c r="T82" i="8"/>
  <c r="Z82" i="8"/>
  <c r="U82" i="8"/>
  <c r="AA82" i="8"/>
  <c r="Q82" i="8"/>
  <c r="J3170" i="1"/>
  <c r="N33" i="8"/>
  <c r="N55" i="8"/>
  <c r="N65" i="8"/>
  <c r="G75" i="8"/>
  <c r="N74" i="8"/>
  <c r="N48" i="8"/>
  <c r="I75" i="8"/>
  <c r="N68" i="8"/>
  <c r="N23" i="8"/>
  <c r="N32" i="8"/>
  <c r="N46" i="8"/>
  <c r="F60" i="8"/>
  <c r="L60" i="8"/>
  <c r="C60" i="8"/>
  <c r="I60" i="8"/>
  <c r="K60" i="8"/>
  <c r="M60" i="8"/>
  <c r="D60" i="8"/>
  <c r="N60" i="8"/>
  <c r="E60" i="8"/>
  <c r="J60" i="8"/>
  <c r="F64" i="8"/>
  <c r="L64" i="8"/>
  <c r="C64" i="8"/>
  <c r="I64" i="8"/>
  <c r="D64" i="8"/>
  <c r="M64" i="8"/>
  <c r="J64" i="8"/>
  <c r="E64" i="8"/>
  <c r="K64" i="8"/>
  <c r="N64" i="8"/>
  <c r="F77" i="8"/>
  <c r="L77" i="8"/>
  <c r="C77" i="8"/>
  <c r="I77" i="8"/>
  <c r="E77" i="8"/>
  <c r="K77" i="8"/>
  <c r="M77" i="8"/>
  <c r="D77" i="8"/>
  <c r="G77" i="8"/>
  <c r="J77" i="8"/>
  <c r="N77" i="8"/>
  <c r="N83" i="8"/>
  <c r="D75" i="8"/>
  <c r="N70" i="8"/>
  <c r="N79" i="8"/>
  <c r="N37" i="8"/>
  <c r="N50" i="8"/>
  <c r="N59" i="8"/>
  <c r="N63" i="8"/>
  <c r="N76" i="8"/>
  <c r="N82" i="8"/>
  <c r="Q995" i="1"/>
  <c r="Q2204" i="1"/>
  <c r="L1534" i="1"/>
  <c r="L1560" i="1" s="1"/>
  <c r="P1534" i="1"/>
  <c r="P1560" i="1" s="1"/>
  <c r="I1788" i="1"/>
  <c r="I1814" i="1" s="1"/>
  <c r="N3170" i="1"/>
  <c r="N3192" i="1" s="1"/>
  <c r="J1788" i="1"/>
  <c r="J1814" i="1" s="1"/>
  <c r="R1990" i="1"/>
  <c r="R2016" i="1" s="1"/>
  <c r="R3170" i="1"/>
  <c r="R3192" i="1" s="1"/>
  <c r="L3170" i="1"/>
  <c r="L3192" i="1" s="1"/>
  <c r="J699" i="1"/>
  <c r="J725" i="1" s="1"/>
  <c r="N901" i="1"/>
  <c r="I657" i="1"/>
  <c r="I683" i="1" s="1"/>
  <c r="L657" i="1"/>
  <c r="L683" i="1" s="1"/>
  <c r="R699" i="1"/>
  <c r="R725" i="1" s="1"/>
  <c r="M901" i="1"/>
  <c r="Q901" i="1"/>
  <c r="Q927" i="1" s="1"/>
  <c r="N995" i="1"/>
  <c r="R995" i="1"/>
  <c r="L995" i="1"/>
  <c r="R1788" i="1"/>
  <c r="R1814" i="1" s="1"/>
  <c r="N1788" i="1"/>
  <c r="N1990" i="1"/>
  <c r="O657" i="1"/>
  <c r="I699" i="1"/>
  <c r="I725" i="1" s="1"/>
  <c r="I1534" i="1"/>
  <c r="I1560" i="1" s="1"/>
  <c r="I2178" i="1"/>
  <c r="I3170" i="1"/>
  <c r="I3192" i="1" s="1"/>
  <c r="P657" i="1"/>
  <c r="P683" i="1" s="1"/>
  <c r="I995" i="1"/>
  <c r="I1021" i="1" s="1"/>
  <c r="I1990" i="1"/>
  <c r="I2016" i="1" s="1"/>
  <c r="N699" i="1"/>
  <c r="L1990" i="1"/>
  <c r="L2016" i="1" s="1"/>
  <c r="S1788" i="1"/>
  <c r="S1814" i="1" s="1"/>
  <c r="L699" i="1"/>
  <c r="L725" i="1" s="1"/>
  <c r="P1788" i="1"/>
  <c r="P1814" i="1" s="1"/>
  <c r="J1990" i="1"/>
  <c r="J2016" i="1" s="1"/>
  <c r="N2902" i="1"/>
  <c r="N2906" i="1" s="1"/>
  <c r="R901" i="1"/>
  <c r="R927" i="1" s="1"/>
  <c r="J901" i="1"/>
  <c r="R657" i="1"/>
  <c r="R683" i="1" s="1"/>
  <c r="N1556" i="1"/>
  <c r="N2054" i="1"/>
  <c r="N2058" i="1" s="1"/>
  <c r="L1356" i="1"/>
  <c r="M1356" i="1" s="1"/>
  <c r="M1363" i="1" s="1"/>
  <c r="P901" i="1"/>
  <c r="P927" i="1" s="1"/>
  <c r="L901" i="1"/>
  <c r="L927" i="1" s="1"/>
  <c r="S995" i="1"/>
  <c r="O995" i="1"/>
  <c r="K995" i="1"/>
  <c r="M995" i="1"/>
  <c r="P2865" i="1"/>
  <c r="M699" i="1"/>
  <c r="I901" i="1"/>
  <c r="I927" i="1" s="1"/>
  <c r="P995" i="1"/>
  <c r="Q1534" i="1"/>
  <c r="Q1560" i="1" s="1"/>
  <c r="M1534" i="1"/>
  <c r="M1788" i="1"/>
  <c r="Q1788" i="1"/>
  <c r="Q1814" i="1" s="1"/>
  <c r="O1788" i="1"/>
  <c r="O2178" i="1"/>
  <c r="O2204" i="1" s="1"/>
  <c r="M3170" i="1"/>
  <c r="M3192" i="1" s="1"/>
  <c r="R2865" i="1"/>
  <c r="P3192" i="1"/>
  <c r="R2204" i="1"/>
  <c r="N2200" i="1"/>
  <c r="P2204" i="1"/>
  <c r="J2852" i="1"/>
  <c r="K2852" i="1" s="1"/>
  <c r="S2865" i="1"/>
  <c r="N2860" i="1"/>
  <c r="Q2865" i="1"/>
  <c r="N1014" i="1"/>
  <c r="O1014" i="1" s="1"/>
  <c r="J3150" i="1"/>
  <c r="J3188" i="1"/>
  <c r="S2204" i="1"/>
  <c r="L2193" i="1"/>
  <c r="M2193" i="1" s="1"/>
  <c r="M2200" i="1" s="1"/>
  <c r="N1807" i="1"/>
  <c r="O1807" i="1" s="1"/>
  <c r="O1810" i="1" s="1"/>
  <c r="K2854" i="1"/>
  <c r="L2854" i="1" s="1"/>
  <c r="N1363" i="1"/>
  <c r="L1010" i="1"/>
  <c r="M1010" i="1" s="1"/>
  <c r="M1017" i="1" s="1"/>
  <c r="K1801" i="1"/>
  <c r="L1801" i="1" s="1"/>
  <c r="L916" i="1"/>
  <c r="M916" i="1" s="1"/>
  <c r="M923" i="1" s="1"/>
  <c r="K670" i="1"/>
  <c r="L670" i="1" s="1"/>
  <c r="N721" i="1"/>
  <c r="S657" i="1"/>
  <c r="S683" i="1" s="1"/>
  <c r="P699" i="1"/>
  <c r="P725" i="1" s="1"/>
  <c r="K1788" i="1"/>
  <c r="K1814" i="1" s="1"/>
  <c r="Q1990" i="1"/>
  <c r="Q2016" i="1" s="1"/>
  <c r="M1990" i="1"/>
  <c r="M2178" i="1"/>
  <c r="N2012" i="1"/>
  <c r="N2241" i="1"/>
  <c r="N2245" i="1" s="1"/>
  <c r="L1788" i="1"/>
  <c r="L1814" i="1" s="1"/>
  <c r="P1990" i="1"/>
  <c r="P2016" i="1" s="1"/>
  <c r="N2178" i="1"/>
  <c r="L2178" i="1"/>
  <c r="Q699" i="1"/>
  <c r="Q725" i="1" s="1"/>
  <c r="S901" i="1"/>
  <c r="S927" i="1" s="1"/>
  <c r="O901" i="1"/>
  <c r="K901" i="1"/>
  <c r="R1534" i="1"/>
  <c r="R1560" i="1" s="1"/>
  <c r="N1534" i="1"/>
  <c r="J1534" i="1"/>
  <c r="J1560" i="1" s="1"/>
  <c r="O2778" i="1"/>
  <c r="N2789" i="1"/>
  <c r="N2784" i="1"/>
  <c r="M657" i="1"/>
  <c r="S699" i="1"/>
  <c r="S725" i="1" s="1"/>
  <c r="O699" i="1"/>
  <c r="O725" i="1" s="1"/>
  <c r="K699" i="1"/>
  <c r="K725" i="1" s="1"/>
  <c r="J995" i="1"/>
  <c r="J1021" i="1" s="1"/>
  <c r="S1990" i="1"/>
  <c r="S2016" i="1" s="1"/>
  <c r="O1990" i="1"/>
  <c r="O2016" i="1" s="1"/>
  <c r="K1990" i="1"/>
  <c r="K2016" i="1" s="1"/>
  <c r="S3170" i="1"/>
  <c r="S3192" i="1" s="1"/>
  <c r="O3170" i="1"/>
  <c r="O3192" i="1" s="1"/>
  <c r="K3170" i="1"/>
  <c r="K3192" i="1" s="1"/>
  <c r="N657" i="1"/>
  <c r="N683" i="1" s="1"/>
  <c r="J657" i="1"/>
  <c r="J683" i="1" s="1"/>
  <c r="S1534" i="1"/>
  <c r="S1560" i="1" s="1"/>
  <c r="O1534" i="1"/>
  <c r="O1560" i="1" s="1"/>
  <c r="K1534" i="1"/>
  <c r="K1560" i="1" s="1"/>
  <c r="K2178" i="1"/>
  <c r="O679" i="1"/>
  <c r="Q3192" i="1"/>
  <c r="Q657" i="1"/>
  <c r="Q683" i="1" s="1"/>
  <c r="M2241" i="1"/>
  <c r="M2245" i="1" s="1"/>
  <c r="N2234" i="1"/>
  <c r="K1547" i="1"/>
  <c r="L1547" i="1" s="1"/>
  <c r="L1549" i="1"/>
  <c r="M1549" i="1" s="1"/>
  <c r="J1545" i="1"/>
  <c r="K1545" i="1" s="1"/>
  <c r="M2054" i="1"/>
  <c r="M2058" i="1" s="1"/>
  <c r="N2047" i="1"/>
  <c r="L2005" i="1"/>
  <c r="M2005" i="1" s="1"/>
  <c r="K2003" i="1"/>
  <c r="L2003" i="1" s="1"/>
  <c r="J2001" i="1"/>
  <c r="K2001" i="1" s="1"/>
  <c r="L714" i="1"/>
  <c r="M714" i="1" s="1"/>
  <c r="K712" i="1"/>
  <c r="L712" i="1" s="1"/>
  <c r="J710" i="1"/>
  <c r="K710" i="1" s="1"/>
  <c r="L672" i="1"/>
  <c r="M672" i="1" s="1"/>
  <c r="J668" i="1"/>
  <c r="K668" i="1" s="1"/>
  <c r="N920" i="1"/>
  <c r="O920" i="1" s="1"/>
  <c r="O923" i="1" s="1"/>
  <c r="J912" i="1"/>
  <c r="K912" i="1" s="1"/>
  <c r="K923" i="1" s="1"/>
  <c r="L1803" i="1"/>
  <c r="M1803" i="1" s="1"/>
  <c r="M1810" i="1" s="1"/>
  <c r="J1799" i="1"/>
  <c r="K1799" i="1" s="1"/>
  <c r="J1006" i="1"/>
  <c r="K1006" i="1" s="1"/>
  <c r="K1008" i="1"/>
  <c r="L1008" i="1" s="1"/>
  <c r="Q1332" i="1"/>
  <c r="P1338" i="1"/>
  <c r="K1354" i="1"/>
  <c r="L1354" i="1" s="1"/>
  <c r="J1352" i="1"/>
  <c r="K1352" i="1" s="1"/>
  <c r="Q2832" i="1"/>
  <c r="P2843" i="1"/>
  <c r="P2849" i="1"/>
  <c r="P2838" i="1"/>
  <c r="M2169" i="1"/>
  <c r="L2180" i="1"/>
  <c r="L2175" i="1"/>
  <c r="I2187" i="1"/>
  <c r="J2187" i="1" s="1"/>
  <c r="J2189" i="1"/>
  <c r="K2189" i="1" s="1"/>
  <c r="K2191" i="1"/>
  <c r="L2191" i="1" s="1"/>
  <c r="L3167" i="1"/>
  <c r="L3172" i="1"/>
  <c r="M3161" i="1"/>
  <c r="L3134" i="1"/>
  <c r="L3129" i="1"/>
  <c r="M3123" i="1"/>
  <c r="J3192" i="1" l="1"/>
  <c r="D83" i="8" s="1"/>
  <c r="D50" i="8"/>
  <c r="E50" i="8"/>
  <c r="I63" i="8"/>
  <c r="I50" i="8"/>
  <c r="H83" i="8"/>
  <c r="G64" i="8"/>
  <c r="D32" i="8"/>
  <c r="I59" i="8"/>
  <c r="K83" i="8"/>
  <c r="H77" i="8"/>
  <c r="J59" i="8"/>
  <c r="F83" i="8"/>
  <c r="H32" i="8"/>
  <c r="K55" i="8"/>
  <c r="D55" i="8"/>
  <c r="D39" i="8"/>
  <c r="F33" i="8"/>
  <c r="C33" i="8"/>
  <c r="D33" i="8"/>
  <c r="I33" i="8"/>
  <c r="J76" i="8"/>
  <c r="M63" i="8"/>
  <c r="E59" i="8"/>
  <c r="C59" i="8"/>
  <c r="J50" i="8"/>
  <c r="C50" i="8"/>
  <c r="C37" i="8"/>
  <c r="J83" i="8"/>
  <c r="E83" i="8"/>
  <c r="H60" i="8"/>
  <c r="G60" i="8"/>
  <c r="C32" i="8"/>
  <c r="F32" i="8"/>
  <c r="J55" i="8"/>
  <c r="C55" i="8"/>
  <c r="M76" i="8"/>
  <c r="L76" i="8"/>
  <c r="K63" i="8"/>
  <c r="L63" i="8"/>
  <c r="L59" i="8"/>
  <c r="M50" i="8"/>
  <c r="L50" i="8"/>
  <c r="L37" i="8"/>
  <c r="M37" i="8"/>
  <c r="G83" i="8"/>
  <c r="I83" i="8"/>
  <c r="K32" i="8"/>
  <c r="L32" i="8"/>
  <c r="L55" i="8"/>
  <c r="C39" i="8"/>
  <c r="L33" i="8"/>
  <c r="M33" i="8"/>
  <c r="J37" i="8"/>
  <c r="J63" i="8"/>
  <c r="D59" i="8"/>
  <c r="F59" i="8"/>
  <c r="F50" i="8"/>
  <c r="C83" i="8"/>
  <c r="J32" i="8"/>
  <c r="E32" i="8"/>
  <c r="F55" i="8"/>
  <c r="K33" i="8"/>
  <c r="E55" i="8"/>
  <c r="K76" i="8"/>
  <c r="K59" i="8"/>
  <c r="M59" i="8"/>
  <c r="K50" i="8"/>
  <c r="F37" i="8"/>
  <c r="K37" i="8"/>
  <c r="M83" i="8"/>
  <c r="L83" i="8"/>
  <c r="H64" i="8"/>
  <c r="M32" i="8"/>
  <c r="M55" i="8"/>
  <c r="E33" i="8"/>
  <c r="J33" i="8"/>
  <c r="O683" i="1"/>
  <c r="O1814" i="1"/>
  <c r="O1017" i="1"/>
  <c r="O1021" i="1" s="1"/>
  <c r="N2016" i="1"/>
  <c r="N725" i="1"/>
  <c r="O927" i="1"/>
  <c r="N916" i="1"/>
  <c r="N1560" i="1"/>
  <c r="M927" i="1"/>
  <c r="M1021" i="1"/>
  <c r="L2200" i="1"/>
  <c r="L2204" i="1" s="1"/>
  <c r="N2204" i="1"/>
  <c r="J923" i="1"/>
  <c r="J927" i="1" s="1"/>
  <c r="M2204" i="1"/>
  <c r="L1017" i="1"/>
  <c r="L1021" i="1" s="1"/>
  <c r="M1814" i="1"/>
  <c r="N923" i="1"/>
  <c r="N927" i="1" s="1"/>
  <c r="J2200" i="1"/>
  <c r="J2204" i="1" s="1"/>
  <c r="K1017" i="1"/>
  <c r="K1021" i="1" s="1"/>
  <c r="K927" i="1"/>
  <c r="N1810" i="1"/>
  <c r="N1814" i="1" s="1"/>
  <c r="N1017" i="1"/>
  <c r="N1021" i="1" s="1"/>
  <c r="O2789" i="1"/>
  <c r="O2784" i="1"/>
  <c r="P2778" i="1"/>
  <c r="M1556" i="1"/>
  <c r="M1560" i="1" s="1"/>
  <c r="N1549" i="1"/>
  <c r="M2012" i="1"/>
  <c r="M2016" i="1" s="1"/>
  <c r="N2005" i="1"/>
  <c r="M721" i="1"/>
  <c r="M725" i="1" s="1"/>
  <c r="M679" i="1"/>
  <c r="M683" i="1" s="1"/>
  <c r="P1017" i="1"/>
  <c r="P1021" i="1" s="1"/>
  <c r="Q1338" i="1"/>
  <c r="R1332" i="1"/>
  <c r="Q2849" i="1"/>
  <c r="R2832" i="1"/>
  <c r="Q2843" i="1"/>
  <c r="Q2838" i="1"/>
  <c r="M2180" i="1"/>
  <c r="M2175" i="1"/>
  <c r="N2169" i="1"/>
  <c r="I2200" i="1"/>
  <c r="I2204" i="1" s="1"/>
  <c r="K2200" i="1"/>
  <c r="K2204" i="1" s="1"/>
  <c r="M3172" i="1"/>
  <c r="M3167" i="1"/>
  <c r="N3161" i="1"/>
  <c r="N3123" i="1"/>
  <c r="M3134" i="1"/>
  <c r="M3129" i="1"/>
  <c r="E63" i="8" l="1"/>
  <c r="H55" i="8"/>
  <c r="F39" i="8"/>
  <c r="G37" i="8"/>
  <c r="H59" i="8"/>
  <c r="C63" i="8"/>
  <c r="G63" i="8"/>
  <c r="E39" i="8"/>
  <c r="D37" i="8"/>
  <c r="I55" i="8"/>
  <c r="G33" i="8"/>
  <c r="D63" i="8"/>
  <c r="H63" i="8"/>
  <c r="I32" i="8"/>
  <c r="E37" i="8"/>
  <c r="I39" i="8"/>
  <c r="G32" i="8"/>
  <c r="H37" i="8"/>
  <c r="F63" i="8"/>
  <c r="I37" i="8"/>
  <c r="G50" i="8"/>
  <c r="H50" i="8"/>
  <c r="J39" i="8"/>
  <c r="G59" i="8"/>
  <c r="H39" i="8"/>
  <c r="G55" i="8"/>
  <c r="G39" i="8"/>
  <c r="H33" i="8"/>
  <c r="R1017" i="1"/>
  <c r="R1021" i="1" s="1"/>
  <c r="T1017" i="1"/>
  <c r="T1021" i="1" s="1"/>
  <c r="Q2778" i="1"/>
  <c r="P2789" i="1"/>
  <c r="P2784" i="1"/>
  <c r="Q1017" i="1"/>
  <c r="Q1021" i="1" s="1"/>
  <c r="S1017" i="1"/>
  <c r="S1021" i="1" s="1"/>
  <c r="S1332" i="1"/>
  <c r="R1338" i="1"/>
  <c r="R2849" i="1"/>
  <c r="R2843" i="1"/>
  <c r="R2838" i="1"/>
  <c r="S2832" i="1"/>
  <c r="T2832" i="1" s="1"/>
  <c r="U2832" i="1" s="1"/>
  <c r="N2175" i="1"/>
  <c r="O2169" i="1"/>
  <c r="N2180" i="1"/>
  <c r="N3172" i="1"/>
  <c r="N3167" i="1"/>
  <c r="O3161" i="1"/>
  <c r="O3123" i="1"/>
  <c r="N3134" i="1"/>
  <c r="N3129" i="1"/>
  <c r="U2843" i="1" l="1"/>
  <c r="U2838" i="1"/>
  <c r="U2849" i="1"/>
  <c r="N39" i="8"/>
  <c r="L39" i="8"/>
  <c r="M39" i="8"/>
  <c r="K39" i="8"/>
  <c r="S1338" i="1"/>
  <c r="T1332" i="1"/>
  <c r="T2838" i="1"/>
  <c r="T2849" i="1"/>
  <c r="T2843" i="1"/>
  <c r="Q2784" i="1"/>
  <c r="R2778" i="1"/>
  <c r="Q2789" i="1"/>
  <c r="S2843" i="1"/>
  <c r="S2838" i="1"/>
  <c r="S2849" i="1"/>
  <c r="O2175" i="1"/>
  <c r="P2169" i="1"/>
  <c r="O2180" i="1"/>
  <c r="O3172" i="1"/>
  <c r="O3167" i="1"/>
  <c r="P3161" i="1"/>
  <c r="O3134" i="1"/>
  <c r="O3129" i="1"/>
  <c r="P3123" i="1"/>
  <c r="T1338" i="1" l="1"/>
  <c r="U1332" i="1"/>
  <c r="U1338" i="1" s="1"/>
  <c r="S2778" i="1"/>
  <c r="T2778" i="1" s="1"/>
  <c r="U2778" i="1" s="1"/>
  <c r="R2789" i="1"/>
  <c r="R2784" i="1"/>
  <c r="P2175" i="1"/>
  <c r="P2180" i="1"/>
  <c r="Q2169" i="1"/>
  <c r="P3172" i="1"/>
  <c r="Q3161" i="1"/>
  <c r="P3167" i="1"/>
  <c r="P3134" i="1"/>
  <c r="P3129" i="1"/>
  <c r="Q3123" i="1"/>
  <c r="U2789" i="1" l="1"/>
  <c r="U2784" i="1"/>
  <c r="T2789" i="1"/>
  <c r="T2784" i="1"/>
  <c r="S2789" i="1"/>
  <c r="S2784" i="1"/>
  <c r="Q2180" i="1"/>
  <c r="Q2175" i="1"/>
  <c r="R2169" i="1"/>
  <c r="Q3172" i="1"/>
  <c r="Q3167" i="1"/>
  <c r="R3161" i="1"/>
  <c r="R3123" i="1"/>
  <c r="Q3134" i="1"/>
  <c r="Q3129" i="1"/>
  <c r="R2180" i="1" l="1"/>
  <c r="R2175" i="1"/>
  <c r="S2169" i="1"/>
  <c r="T2169" i="1" s="1"/>
  <c r="U2169" i="1" s="1"/>
  <c r="R3172" i="1"/>
  <c r="R3167" i="1"/>
  <c r="S3161" i="1"/>
  <c r="T3161" i="1" s="1"/>
  <c r="U3161" i="1" s="1"/>
  <c r="S3123" i="1"/>
  <c r="T3123" i="1" s="1"/>
  <c r="U3123" i="1" s="1"/>
  <c r="R3134" i="1"/>
  <c r="R3129" i="1"/>
  <c r="U3129" i="1" l="1"/>
  <c r="U3134" i="1"/>
  <c r="U3172" i="1"/>
  <c r="U3167" i="1"/>
  <c r="U2175" i="1"/>
  <c r="U2180" i="1"/>
  <c r="T3167" i="1"/>
  <c r="T3172" i="1"/>
  <c r="T2175" i="1"/>
  <c r="T2180" i="1"/>
  <c r="T3129" i="1"/>
  <c r="T3134" i="1"/>
  <c r="S2175" i="1"/>
  <c r="S2180" i="1"/>
  <c r="S3172" i="1"/>
  <c r="S3167" i="1"/>
  <c r="S3134" i="1"/>
  <c r="S3129" i="1"/>
  <c r="A19" i="6" l="1"/>
  <c r="A20" i="6"/>
  <c r="A18" i="6"/>
  <c r="A17" i="6"/>
  <c r="J1433" i="1"/>
  <c r="K1433" i="1"/>
  <c r="L1433" i="1"/>
  <c r="M1433" i="1"/>
  <c r="N1433" i="1"/>
  <c r="O1433" i="1"/>
  <c r="P1433" i="1"/>
  <c r="Q1433" i="1"/>
  <c r="R1433" i="1"/>
  <c r="S1433" i="1"/>
  <c r="J1434" i="1"/>
  <c r="K1434" i="1"/>
  <c r="L1434" i="1"/>
  <c r="M1434" i="1"/>
  <c r="N1434" i="1"/>
  <c r="O1434" i="1"/>
  <c r="P1434" i="1"/>
  <c r="Q1434" i="1"/>
  <c r="R1434" i="1"/>
  <c r="S1434" i="1"/>
  <c r="I1434" i="1"/>
  <c r="I1433" i="1"/>
  <c r="J190" i="1"/>
  <c r="K190" i="1"/>
  <c r="L190" i="1"/>
  <c r="M190" i="1"/>
  <c r="N190" i="1"/>
  <c r="O190" i="1"/>
  <c r="P190" i="1"/>
  <c r="Q190" i="1"/>
  <c r="R190" i="1"/>
  <c r="S190" i="1"/>
  <c r="J191" i="1"/>
  <c r="K191" i="1"/>
  <c r="L191" i="1"/>
  <c r="M191" i="1"/>
  <c r="N191" i="1"/>
  <c r="O191" i="1"/>
  <c r="P191" i="1"/>
  <c r="Q191" i="1"/>
  <c r="R191" i="1"/>
  <c r="S191" i="1"/>
  <c r="I191" i="1"/>
  <c r="I190" i="1"/>
  <c r="I3206" i="1"/>
  <c r="I3078" i="1"/>
  <c r="J3026" i="1"/>
  <c r="K3026" i="1"/>
  <c r="L3026" i="1"/>
  <c r="M3026" i="1"/>
  <c r="N3026" i="1"/>
  <c r="O3026" i="1"/>
  <c r="P3026" i="1"/>
  <c r="Q3026" i="1"/>
  <c r="R3026" i="1"/>
  <c r="S3026" i="1"/>
  <c r="I3026" i="1"/>
  <c r="J2973" i="1"/>
  <c r="K2973" i="1"/>
  <c r="L2973" i="1"/>
  <c r="M2973" i="1"/>
  <c r="N2973" i="1"/>
  <c r="O2973" i="1"/>
  <c r="P2973" i="1"/>
  <c r="Q2973" i="1"/>
  <c r="R2973" i="1"/>
  <c r="S2973" i="1"/>
  <c r="I2973" i="1"/>
  <c r="I2920" i="1"/>
  <c r="I2732" i="1"/>
  <c r="J2679" i="1"/>
  <c r="K2679" i="1"/>
  <c r="L2679" i="1"/>
  <c r="M2679" i="1"/>
  <c r="N2679" i="1"/>
  <c r="O2679" i="1"/>
  <c r="P2679" i="1"/>
  <c r="Q2679" i="1"/>
  <c r="R2679" i="1"/>
  <c r="S2679" i="1"/>
  <c r="I2679" i="1"/>
  <c r="J2627" i="1"/>
  <c r="K2627" i="1"/>
  <c r="L2627" i="1"/>
  <c r="M2627" i="1"/>
  <c r="N2627" i="1"/>
  <c r="O2627" i="1"/>
  <c r="P2627" i="1"/>
  <c r="Q2627" i="1"/>
  <c r="R2627" i="1"/>
  <c r="S2627" i="1"/>
  <c r="I2627" i="1"/>
  <c r="J2575" i="1"/>
  <c r="K2575" i="1"/>
  <c r="L2575" i="1"/>
  <c r="M2575" i="1"/>
  <c r="N2575" i="1"/>
  <c r="O2575" i="1"/>
  <c r="P2575" i="1"/>
  <c r="Q2575" i="1"/>
  <c r="R2575" i="1"/>
  <c r="S2575" i="1"/>
  <c r="I2575" i="1"/>
  <c r="J2522" i="1"/>
  <c r="K2522" i="1"/>
  <c r="L2522" i="1"/>
  <c r="M2522" i="1"/>
  <c r="N2522" i="1"/>
  <c r="O2522" i="1"/>
  <c r="P2522" i="1"/>
  <c r="Q2522" i="1"/>
  <c r="R2522" i="1"/>
  <c r="S2522" i="1"/>
  <c r="I2522" i="1"/>
  <c r="J2469" i="1"/>
  <c r="K2469" i="1"/>
  <c r="L2469" i="1"/>
  <c r="M2469" i="1"/>
  <c r="N2469" i="1"/>
  <c r="O2469" i="1"/>
  <c r="P2469" i="1"/>
  <c r="Q2469" i="1"/>
  <c r="R2469" i="1"/>
  <c r="S2469" i="1"/>
  <c r="I2469" i="1"/>
  <c r="J2416" i="1"/>
  <c r="K2416" i="1"/>
  <c r="L2416" i="1"/>
  <c r="M2416" i="1"/>
  <c r="N2416" i="1"/>
  <c r="O2416" i="1"/>
  <c r="P2416" i="1"/>
  <c r="Q2416" i="1"/>
  <c r="R2416" i="1"/>
  <c r="S2416" i="1"/>
  <c r="I2416" i="1"/>
  <c r="I2363" i="1"/>
  <c r="J2311" i="1"/>
  <c r="K2311" i="1"/>
  <c r="L2311" i="1"/>
  <c r="M2311" i="1"/>
  <c r="N2311" i="1"/>
  <c r="O2311" i="1"/>
  <c r="P2311" i="1"/>
  <c r="Q2311" i="1"/>
  <c r="R2311" i="1"/>
  <c r="S2311" i="1"/>
  <c r="I2311" i="1"/>
  <c r="I2259" i="1"/>
  <c r="I2124" i="1"/>
  <c r="J2072" i="1"/>
  <c r="K2072" i="1"/>
  <c r="L2072" i="1"/>
  <c r="M2072" i="1"/>
  <c r="N2072" i="1"/>
  <c r="O2072" i="1"/>
  <c r="P2072" i="1"/>
  <c r="Q2072" i="1"/>
  <c r="R2072" i="1"/>
  <c r="S2072" i="1"/>
  <c r="I2072" i="1"/>
  <c r="J1936" i="1"/>
  <c r="K1936" i="1"/>
  <c r="L1936" i="1"/>
  <c r="M1936" i="1"/>
  <c r="N1936" i="1"/>
  <c r="O1936" i="1"/>
  <c r="P1936" i="1"/>
  <c r="Q1936" i="1"/>
  <c r="R1936" i="1"/>
  <c r="S1936" i="1"/>
  <c r="I1936" i="1"/>
  <c r="J1883" i="1"/>
  <c r="K1883" i="1"/>
  <c r="L1883" i="1"/>
  <c r="M1883" i="1"/>
  <c r="N1883" i="1"/>
  <c r="O1883" i="1"/>
  <c r="P1883" i="1"/>
  <c r="Q1883" i="1"/>
  <c r="R1883" i="1"/>
  <c r="S1883" i="1"/>
  <c r="I1883" i="1"/>
  <c r="I1829" i="1"/>
  <c r="J1735" i="1"/>
  <c r="K1735" i="1"/>
  <c r="L1735" i="1"/>
  <c r="M1735" i="1"/>
  <c r="N1735" i="1"/>
  <c r="O1735" i="1"/>
  <c r="P1735" i="1"/>
  <c r="Q1735" i="1"/>
  <c r="R1735" i="1"/>
  <c r="S1735" i="1"/>
  <c r="I1735" i="1"/>
  <c r="I1681" i="1"/>
  <c r="J1627" i="1"/>
  <c r="K1627" i="1"/>
  <c r="L1627" i="1"/>
  <c r="M1627" i="1"/>
  <c r="N1627" i="1"/>
  <c r="O1627" i="1"/>
  <c r="P1627" i="1"/>
  <c r="Q1627" i="1"/>
  <c r="R1627" i="1"/>
  <c r="S1627" i="1"/>
  <c r="I1627" i="1"/>
  <c r="J1574" i="1"/>
  <c r="K1574" i="1"/>
  <c r="L1574" i="1"/>
  <c r="M1574" i="1"/>
  <c r="N1574" i="1"/>
  <c r="O1574" i="1"/>
  <c r="P1574" i="1"/>
  <c r="Q1574" i="1"/>
  <c r="R1574" i="1"/>
  <c r="S1574" i="1"/>
  <c r="I1574" i="1"/>
  <c r="I1479" i="1"/>
  <c r="I1381" i="1"/>
  <c r="I1293" i="1"/>
  <c r="I1247" i="1"/>
  <c r="J1194" i="1"/>
  <c r="K1194" i="1"/>
  <c r="L1194" i="1"/>
  <c r="M1194" i="1"/>
  <c r="N1194" i="1"/>
  <c r="O1194" i="1"/>
  <c r="P1194" i="1"/>
  <c r="Q1194" i="1"/>
  <c r="R1194" i="1"/>
  <c r="S1194" i="1"/>
  <c r="I1194" i="1"/>
  <c r="I1141" i="1"/>
  <c r="I1088" i="1"/>
  <c r="I1035" i="1"/>
  <c r="J941" i="1"/>
  <c r="K941" i="1"/>
  <c r="L941" i="1"/>
  <c r="M941" i="1"/>
  <c r="N941" i="1"/>
  <c r="O941" i="1"/>
  <c r="P941" i="1"/>
  <c r="Q941" i="1"/>
  <c r="R941" i="1"/>
  <c r="S941" i="1"/>
  <c r="I941" i="1"/>
  <c r="J847" i="1"/>
  <c r="K847" i="1"/>
  <c r="L847" i="1"/>
  <c r="M847" i="1"/>
  <c r="N847" i="1"/>
  <c r="O847" i="1"/>
  <c r="P847" i="1"/>
  <c r="Q847" i="1"/>
  <c r="R847" i="1"/>
  <c r="S847" i="1"/>
  <c r="I847" i="1"/>
  <c r="J794" i="1"/>
  <c r="K794" i="1"/>
  <c r="L794" i="1"/>
  <c r="M794" i="1"/>
  <c r="N794" i="1"/>
  <c r="O794" i="1"/>
  <c r="P794" i="1"/>
  <c r="Q794" i="1"/>
  <c r="R794" i="1"/>
  <c r="S794" i="1"/>
  <c r="I794" i="1"/>
  <c r="I740" i="1"/>
  <c r="J602" i="1"/>
  <c r="K602" i="1"/>
  <c r="L602" i="1"/>
  <c r="M602" i="1"/>
  <c r="N602" i="1"/>
  <c r="O602" i="1"/>
  <c r="P602" i="1"/>
  <c r="Q602" i="1"/>
  <c r="R602" i="1"/>
  <c r="S602" i="1"/>
  <c r="J603" i="1"/>
  <c r="K603" i="1"/>
  <c r="L603" i="1"/>
  <c r="M603" i="1"/>
  <c r="N603" i="1"/>
  <c r="O603" i="1"/>
  <c r="P603" i="1"/>
  <c r="Q603" i="1"/>
  <c r="R603" i="1"/>
  <c r="S603" i="1"/>
  <c r="I603" i="1"/>
  <c r="I602" i="1"/>
  <c r="J550" i="1"/>
  <c r="K550" i="1"/>
  <c r="L550" i="1"/>
  <c r="M550" i="1"/>
  <c r="N550" i="1"/>
  <c r="O550" i="1"/>
  <c r="P550" i="1"/>
  <c r="Q550" i="1"/>
  <c r="R550" i="1"/>
  <c r="S550" i="1"/>
  <c r="J551" i="1"/>
  <c r="K551" i="1"/>
  <c r="L551" i="1"/>
  <c r="M551" i="1"/>
  <c r="N551" i="1"/>
  <c r="O551" i="1"/>
  <c r="P551" i="1"/>
  <c r="Q551" i="1"/>
  <c r="R551" i="1"/>
  <c r="S551" i="1"/>
  <c r="I551" i="1"/>
  <c r="I550" i="1"/>
  <c r="J498" i="1"/>
  <c r="K498" i="1"/>
  <c r="L498" i="1"/>
  <c r="M498" i="1"/>
  <c r="N498" i="1"/>
  <c r="O498" i="1"/>
  <c r="P498" i="1"/>
  <c r="Q498" i="1"/>
  <c r="R498" i="1"/>
  <c r="S498" i="1"/>
  <c r="J499" i="1"/>
  <c r="K499" i="1"/>
  <c r="L499" i="1"/>
  <c r="M499" i="1"/>
  <c r="N499" i="1"/>
  <c r="O499" i="1"/>
  <c r="P499" i="1"/>
  <c r="Q499" i="1"/>
  <c r="R499" i="1"/>
  <c r="S499" i="1"/>
  <c r="I499" i="1"/>
  <c r="I498" i="1"/>
  <c r="J445" i="1"/>
  <c r="K445" i="1"/>
  <c r="L445" i="1"/>
  <c r="M445" i="1"/>
  <c r="N445" i="1"/>
  <c r="O445" i="1"/>
  <c r="P445" i="1"/>
  <c r="Q445" i="1"/>
  <c r="R445" i="1"/>
  <c r="S445" i="1"/>
  <c r="J446" i="1"/>
  <c r="K446" i="1"/>
  <c r="L446" i="1"/>
  <c r="M446" i="1"/>
  <c r="N446" i="1"/>
  <c r="O446" i="1"/>
  <c r="P446" i="1"/>
  <c r="Q446" i="1"/>
  <c r="R446" i="1"/>
  <c r="S446" i="1"/>
  <c r="I446" i="1"/>
  <c r="I445" i="1"/>
  <c r="J392" i="1"/>
  <c r="K392" i="1"/>
  <c r="L392" i="1"/>
  <c r="M392" i="1"/>
  <c r="N392" i="1"/>
  <c r="O392" i="1"/>
  <c r="P392" i="1"/>
  <c r="Q392" i="1"/>
  <c r="R392" i="1"/>
  <c r="S392" i="1"/>
  <c r="J393" i="1"/>
  <c r="K393" i="1"/>
  <c r="L393" i="1"/>
  <c r="M393" i="1"/>
  <c r="N393" i="1"/>
  <c r="O393" i="1"/>
  <c r="P393" i="1"/>
  <c r="Q393" i="1"/>
  <c r="R393" i="1"/>
  <c r="S393" i="1"/>
  <c r="I393" i="1"/>
  <c r="I392" i="1"/>
  <c r="J339" i="1"/>
  <c r="K339" i="1"/>
  <c r="L339" i="1"/>
  <c r="M339" i="1"/>
  <c r="N339" i="1"/>
  <c r="O339" i="1"/>
  <c r="P339" i="1"/>
  <c r="Q339" i="1"/>
  <c r="R339" i="1"/>
  <c r="S339" i="1"/>
  <c r="J340" i="1"/>
  <c r="K340" i="1"/>
  <c r="L340" i="1"/>
  <c r="M340" i="1"/>
  <c r="N340" i="1"/>
  <c r="O340" i="1"/>
  <c r="P340" i="1"/>
  <c r="Q340" i="1"/>
  <c r="R340" i="1"/>
  <c r="S340" i="1"/>
  <c r="I340" i="1"/>
  <c r="I339" i="1"/>
  <c r="J286" i="1"/>
  <c r="K286" i="1"/>
  <c r="L286" i="1"/>
  <c r="M286" i="1"/>
  <c r="N286" i="1"/>
  <c r="O286" i="1"/>
  <c r="P286" i="1"/>
  <c r="Q286" i="1"/>
  <c r="R286" i="1"/>
  <c r="S286" i="1"/>
  <c r="J287" i="1"/>
  <c r="K287" i="1"/>
  <c r="L287" i="1"/>
  <c r="M287" i="1"/>
  <c r="N287" i="1"/>
  <c r="O287" i="1"/>
  <c r="P287" i="1"/>
  <c r="Q287" i="1"/>
  <c r="R287" i="1"/>
  <c r="S287" i="1"/>
  <c r="I287" i="1"/>
  <c r="I286" i="1"/>
  <c r="J233" i="1"/>
  <c r="K233" i="1"/>
  <c r="L233" i="1"/>
  <c r="M233" i="1"/>
  <c r="N233" i="1"/>
  <c r="O233" i="1"/>
  <c r="P233" i="1"/>
  <c r="Q233" i="1"/>
  <c r="R233" i="1"/>
  <c r="S233" i="1"/>
  <c r="J234" i="1"/>
  <c r="K234" i="1"/>
  <c r="L234" i="1"/>
  <c r="M234" i="1"/>
  <c r="N234" i="1"/>
  <c r="O234" i="1"/>
  <c r="P234" i="1"/>
  <c r="Q234" i="1"/>
  <c r="R234" i="1"/>
  <c r="S234" i="1"/>
  <c r="I234" i="1"/>
  <c r="I233" i="1"/>
  <c r="J136" i="1"/>
  <c r="K136" i="1"/>
  <c r="L136" i="1"/>
  <c r="M136" i="1"/>
  <c r="N136" i="1"/>
  <c r="O136" i="1"/>
  <c r="P136" i="1"/>
  <c r="Q136" i="1"/>
  <c r="R136" i="1"/>
  <c r="S136" i="1"/>
  <c r="J137" i="1"/>
  <c r="K137" i="1"/>
  <c r="L137" i="1"/>
  <c r="M137" i="1"/>
  <c r="N137" i="1"/>
  <c r="O137" i="1"/>
  <c r="P137" i="1"/>
  <c r="Q137" i="1"/>
  <c r="R137" i="1"/>
  <c r="S137" i="1"/>
  <c r="I137" i="1"/>
  <c r="I136" i="1"/>
  <c r="J83" i="1"/>
  <c r="K83" i="1"/>
  <c r="L83" i="1"/>
  <c r="M83" i="1"/>
  <c r="N83" i="1"/>
  <c r="O83" i="1"/>
  <c r="P83" i="1"/>
  <c r="Q83" i="1"/>
  <c r="R83" i="1"/>
  <c r="S83" i="1"/>
  <c r="J84" i="1"/>
  <c r="K84" i="1"/>
  <c r="L84" i="1"/>
  <c r="M84" i="1"/>
  <c r="N84" i="1"/>
  <c r="O84" i="1"/>
  <c r="P84" i="1"/>
  <c r="Q84" i="1"/>
  <c r="R84" i="1"/>
  <c r="S84" i="1"/>
  <c r="I84" i="1"/>
  <c r="I83" i="1"/>
  <c r="J2470" i="1" l="1"/>
  <c r="J2576" i="1"/>
  <c r="J2733" i="1"/>
  <c r="J1382" i="1"/>
  <c r="J447" i="1"/>
  <c r="J1195" i="1"/>
  <c r="M2364" i="1"/>
  <c r="R2470" i="1"/>
  <c r="J2921" i="1"/>
  <c r="J3027" i="1"/>
  <c r="J3207" i="1"/>
  <c r="J1435" i="1"/>
  <c r="J1736" i="1"/>
  <c r="J2073" i="1"/>
  <c r="P2260" i="1"/>
  <c r="J2364" i="1"/>
  <c r="N2470" i="1"/>
  <c r="P2073" i="1"/>
  <c r="L2073" i="1"/>
  <c r="L2260" i="1"/>
  <c r="M1435" i="1"/>
  <c r="J192" i="1"/>
  <c r="J288" i="1"/>
  <c r="P394" i="1"/>
  <c r="J741" i="1"/>
  <c r="J1036" i="1"/>
  <c r="I741" i="1"/>
  <c r="N1575" i="1"/>
  <c r="J1575" i="1"/>
  <c r="R3027" i="1"/>
  <c r="N3027" i="1"/>
  <c r="P3079" i="1"/>
  <c r="R192" i="1"/>
  <c r="I1575" i="1"/>
  <c r="Q341" i="1"/>
  <c r="R447" i="1"/>
  <c r="J795" i="1"/>
  <c r="P795" i="1"/>
  <c r="L795" i="1"/>
  <c r="R848" i="1"/>
  <c r="N848" i="1"/>
  <c r="J848" i="1"/>
  <c r="P942" i="1"/>
  <c r="L942" i="1"/>
  <c r="Q1089" i="1"/>
  <c r="M1089" i="1"/>
  <c r="R1195" i="1"/>
  <c r="N1195" i="1"/>
  <c r="M1628" i="1"/>
  <c r="R1736" i="1"/>
  <c r="N1736" i="1"/>
  <c r="K741" i="1"/>
  <c r="P1089" i="1"/>
  <c r="L1089" i="1"/>
  <c r="R1142" i="1"/>
  <c r="Q85" i="1"/>
  <c r="M85" i="1"/>
  <c r="Q235" i="1"/>
  <c r="M235" i="1"/>
  <c r="M341" i="1"/>
  <c r="N447" i="1"/>
  <c r="P1248" i="1"/>
  <c r="L1248" i="1"/>
  <c r="Q1382" i="1"/>
  <c r="M1382" i="1"/>
  <c r="P1830" i="1"/>
  <c r="L1830" i="1"/>
  <c r="P1937" i="1"/>
  <c r="L1937" i="1"/>
  <c r="P85" i="1"/>
  <c r="L85" i="1"/>
  <c r="P235" i="1"/>
  <c r="L235" i="1"/>
  <c r="N1142" i="1"/>
  <c r="J1142" i="1"/>
  <c r="O1435" i="1"/>
  <c r="K1435" i="1"/>
  <c r="I447" i="1"/>
  <c r="L2523" i="1"/>
  <c r="M2628" i="1"/>
  <c r="R2733" i="1"/>
  <c r="N2733" i="1"/>
  <c r="Q2921" i="1"/>
  <c r="M2921" i="1"/>
  <c r="L3079" i="1"/>
  <c r="N192" i="1"/>
  <c r="P288" i="1"/>
  <c r="L288" i="1"/>
  <c r="L394" i="1"/>
  <c r="Q500" i="1"/>
  <c r="M500" i="1"/>
  <c r="Q604" i="1"/>
  <c r="M604" i="1"/>
  <c r="M1937" i="1"/>
  <c r="Q1435" i="1"/>
  <c r="L138" i="1"/>
  <c r="Q394" i="1"/>
  <c r="L447" i="1"/>
  <c r="M552" i="1"/>
  <c r="O741" i="1"/>
  <c r="R795" i="1"/>
  <c r="L848" i="1"/>
  <c r="Q1036" i="1"/>
  <c r="M1036" i="1"/>
  <c r="Q1142" i="1"/>
  <c r="M1142" i="1"/>
  <c r="R1248" i="1"/>
  <c r="N1248" i="1"/>
  <c r="J1248" i="1"/>
  <c r="P1294" i="1"/>
  <c r="L1294" i="1"/>
  <c r="M1480" i="1"/>
  <c r="Q1575" i="1"/>
  <c r="M1575" i="1"/>
  <c r="Q1682" i="1"/>
  <c r="M1682" i="1"/>
  <c r="P1736" i="1"/>
  <c r="P1774" i="1" s="1"/>
  <c r="L1736" i="1"/>
  <c r="P552" i="1"/>
  <c r="L552" i="1"/>
  <c r="N741" i="1"/>
  <c r="Q795" i="1"/>
  <c r="M795" i="1"/>
  <c r="Q942" i="1"/>
  <c r="M942" i="1"/>
  <c r="P1036" i="1"/>
  <c r="L1036" i="1"/>
  <c r="Q1248" i="1"/>
  <c r="M1248" i="1"/>
  <c r="R1382" i="1"/>
  <c r="N1382" i="1"/>
  <c r="P1480" i="1"/>
  <c r="L1480" i="1"/>
  <c r="P1682" i="1"/>
  <c r="L1682" i="1"/>
  <c r="Q1830" i="1"/>
  <c r="M1830" i="1"/>
  <c r="I1884" i="1"/>
  <c r="M2073" i="1"/>
  <c r="M2260" i="1"/>
  <c r="I2312" i="1"/>
  <c r="R2364" i="1"/>
  <c r="N2364" i="1"/>
  <c r="P2417" i="1"/>
  <c r="L2417" i="1"/>
  <c r="Q2523" i="1"/>
  <c r="M2523" i="1"/>
  <c r="P2576" i="1"/>
  <c r="L2576" i="1"/>
  <c r="P2680" i="1"/>
  <c r="L2680" i="1"/>
  <c r="R2921" i="1"/>
  <c r="N2921" i="1"/>
  <c r="P2974" i="1"/>
  <c r="L2974" i="1"/>
  <c r="Q3079" i="1"/>
  <c r="M3079" i="1"/>
  <c r="P3207" i="1"/>
  <c r="L3207" i="1"/>
  <c r="P1435" i="1"/>
  <c r="L1435" i="1"/>
  <c r="I85" i="1"/>
  <c r="Q138" i="1"/>
  <c r="M138" i="1"/>
  <c r="I235" i="1"/>
  <c r="R288" i="1"/>
  <c r="N288" i="1"/>
  <c r="P341" i="1"/>
  <c r="L341" i="1"/>
  <c r="Q447" i="1"/>
  <c r="M447" i="1"/>
  <c r="P500" i="1"/>
  <c r="L500" i="1"/>
  <c r="P604" i="1"/>
  <c r="L604" i="1"/>
  <c r="Q848" i="1"/>
  <c r="M848" i="1"/>
  <c r="R1036" i="1"/>
  <c r="N1036" i="1"/>
  <c r="Q1195" i="1"/>
  <c r="M1195" i="1"/>
  <c r="Q1294" i="1"/>
  <c r="M1294" i="1"/>
  <c r="P1382" i="1"/>
  <c r="L1382" i="1"/>
  <c r="R1575" i="1"/>
  <c r="P1628" i="1"/>
  <c r="L1628" i="1"/>
  <c r="Q1736" i="1"/>
  <c r="M1736" i="1"/>
  <c r="Q1884" i="1"/>
  <c r="M1884" i="1"/>
  <c r="Q2125" i="1"/>
  <c r="M2125" i="1"/>
  <c r="I2260" i="1"/>
  <c r="Q2312" i="1"/>
  <c r="M2312" i="1"/>
  <c r="P2364" i="1"/>
  <c r="L2364" i="1"/>
  <c r="Q2470" i="1"/>
  <c r="M2470" i="1"/>
  <c r="R2576" i="1"/>
  <c r="N2576" i="1"/>
  <c r="P2628" i="1"/>
  <c r="L2628" i="1"/>
  <c r="Q2733" i="1"/>
  <c r="M2733" i="1"/>
  <c r="P2921" i="1"/>
  <c r="L2921" i="1"/>
  <c r="M3027" i="1"/>
  <c r="R3207" i="1"/>
  <c r="N3207" i="1"/>
  <c r="Q192" i="1"/>
  <c r="M192" i="1"/>
  <c r="R1435" i="1"/>
  <c r="N1435" i="1"/>
  <c r="P138" i="1"/>
  <c r="Q288" i="1"/>
  <c r="M288" i="1"/>
  <c r="M394" i="1"/>
  <c r="P447" i="1"/>
  <c r="Q552" i="1"/>
  <c r="S741" i="1"/>
  <c r="N795" i="1"/>
  <c r="P848" i="1"/>
  <c r="P1884" i="1"/>
  <c r="L1884" i="1"/>
  <c r="N2073" i="1"/>
  <c r="P2125" i="1"/>
  <c r="L2125" i="1"/>
  <c r="P2312" i="1"/>
  <c r="L2312" i="1"/>
  <c r="Q2417" i="1"/>
  <c r="M2417" i="1"/>
  <c r="P2470" i="1"/>
  <c r="L2470" i="1"/>
  <c r="R2523" i="1"/>
  <c r="N2523" i="1"/>
  <c r="Q2576" i="1"/>
  <c r="M2576" i="1"/>
  <c r="Q2680" i="1"/>
  <c r="M2680" i="1"/>
  <c r="P2733" i="1"/>
  <c r="M2974" i="1"/>
  <c r="Q3207" i="1"/>
  <c r="M3207" i="1"/>
  <c r="P192" i="1"/>
  <c r="L192" i="1"/>
  <c r="R1830" i="1"/>
  <c r="N1830" i="1"/>
  <c r="J1830" i="1"/>
  <c r="P741" i="1"/>
  <c r="L741" i="1"/>
  <c r="S942" i="1"/>
  <c r="O942" i="1"/>
  <c r="K942" i="1"/>
  <c r="S85" i="1"/>
  <c r="O85" i="1"/>
  <c r="K85" i="1"/>
  <c r="S2125" i="1"/>
  <c r="O2125" i="1"/>
  <c r="K2125" i="1"/>
  <c r="Q2364" i="1"/>
  <c r="R3079" i="1"/>
  <c r="N3079" i="1"/>
  <c r="J3079" i="1"/>
  <c r="R500" i="1"/>
  <c r="N500" i="1"/>
  <c r="J500" i="1"/>
  <c r="N1089" i="1"/>
  <c r="J1089" i="1"/>
  <c r="P1195" i="1"/>
  <c r="L1195" i="1"/>
  <c r="O2260" i="1"/>
  <c r="K2260" i="1"/>
  <c r="S2733" i="1"/>
  <c r="O2733" i="1"/>
  <c r="K2733" i="1"/>
  <c r="K447" i="1"/>
  <c r="S795" i="1"/>
  <c r="O795" i="1"/>
  <c r="K795" i="1"/>
  <c r="R942" i="1"/>
  <c r="N942" i="1"/>
  <c r="J942" i="1"/>
  <c r="S1142" i="1"/>
  <c r="O1142" i="1"/>
  <c r="K1142" i="1"/>
  <c r="R1294" i="1"/>
  <c r="N1294" i="1"/>
  <c r="J1294" i="1"/>
  <c r="I1382" i="1"/>
  <c r="R1628" i="1"/>
  <c r="N1628" i="1"/>
  <c r="J1628" i="1"/>
  <c r="R2974" i="1"/>
  <c r="N2974" i="1"/>
  <c r="J2974" i="1"/>
  <c r="I3079" i="1"/>
  <c r="O447" i="1"/>
  <c r="R235" i="1"/>
  <c r="N235" i="1"/>
  <c r="J235" i="1"/>
  <c r="S341" i="1"/>
  <c r="O341" i="1"/>
  <c r="K341" i="1"/>
  <c r="R552" i="1"/>
  <c r="N552" i="1"/>
  <c r="J552" i="1"/>
  <c r="S1575" i="1"/>
  <c r="O1575" i="1"/>
  <c r="K1575" i="1"/>
  <c r="R2417" i="1"/>
  <c r="N2417" i="1"/>
  <c r="J2417" i="1"/>
  <c r="L2733" i="1"/>
  <c r="S2921" i="1"/>
  <c r="O2921" i="1"/>
  <c r="K2921" i="1"/>
  <c r="Q3027" i="1"/>
  <c r="R85" i="1"/>
  <c r="N85" i="1"/>
  <c r="J85" i="1"/>
  <c r="S394" i="1"/>
  <c r="O394" i="1"/>
  <c r="K394" i="1"/>
  <c r="R604" i="1"/>
  <c r="N604" i="1"/>
  <c r="J604" i="1"/>
  <c r="S1036" i="1"/>
  <c r="O1036" i="1"/>
  <c r="K1036" i="1"/>
  <c r="S1195" i="1"/>
  <c r="O1195" i="1"/>
  <c r="K1195" i="1"/>
  <c r="S1382" i="1"/>
  <c r="O1382" i="1"/>
  <c r="K1382" i="1"/>
  <c r="S1480" i="1"/>
  <c r="O1480" i="1"/>
  <c r="K1480" i="1"/>
  <c r="R1937" i="1"/>
  <c r="N1937" i="1"/>
  <c r="J1937" i="1"/>
  <c r="N2125" i="1"/>
  <c r="J2125" i="1"/>
  <c r="S2523" i="1"/>
  <c r="O2523" i="1"/>
  <c r="K2523" i="1"/>
  <c r="O2628" i="1"/>
  <c r="K2628" i="1"/>
  <c r="P3027" i="1"/>
  <c r="L3027" i="1"/>
  <c r="S192" i="1"/>
  <c r="O192" i="1"/>
  <c r="K192" i="1"/>
  <c r="S138" i="1"/>
  <c r="O138" i="1"/>
  <c r="K138" i="1"/>
  <c r="S235" i="1"/>
  <c r="O235" i="1"/>
  <c r="K235" i="1"/>
  <c r="S288" i="1"/>
  <c r="O288" i="1"/>
  <c r="K288" i="1"/>
  <c r="R394" i="1"/>
  <c r="N394" i="1"/>
  <c r="J394" i="1"/>
  <c r="S552" i="1"/>
  <c r="O552" i="1"/>
  <c r="K552" i="1"/>
  <c r="R741" i="1"/>
  <c r="P1142" i="1"/>
  <c r="L1142" i="1"/>
  <c r="S1248" i="1"/>
  <c r="O1248" i="1"/>
  <c r="K1248" i="1"/>
  <c r="O1628" i="1"/>
  <c r="K1628" i="1"/>
  <c r="S1830" i="1"/>
  <c r="O1830" i="1"/>
  <c r="K1830" i="1"/>
  <c r="Q1937" i="1"/>
  <c r="N2312" i="1"/>
  <c r="J2312" i="1"/>
  <c r="S2417" i="1"/>
  <c r="O2417" i="1"/>
  <c r="K2417" i="1"/>
  <c r="N2628" i="1"/>
  <c r="J2628" i="1"/>
  <c r="O2974" i="1"/>
  <c r="O3079" i="1"/>
  <c r="K3079" i="1"/>
  <c r="R138" i="1"/>
  <c r="J138" i="1"/>
  <c r="R341" i="1"/>
  <c r="N341" i="1"/>
  <c r="J341" i="1"/>
  <c r="S500" i="1"/>
  <c r="O500" i="1"/>
  <c r="S1294" i="1"/>
  <c r="O1294" i="1"/>
  <c r="K1294" i="1"/>
  <c r="Q1480" i="1"/>
  <c r="P1575" i="1"/>
  <c r="L1575" i="1"/>
  <c r="R1682" i="1"/>
  <c r="N1682" i="1"/>
  <c r="J1682" i="1"/>
  <c r="N1884" i="1"/>
  <c r="J1884" i="1"/>
  <c r="O1937" i="1"/>
  <c r="K1937" i="1"/>
  <c r="R2073" i="1"/>
  <c r="Q2260" i="1"/>
  <c r="O2312" i="1"/>
  <c r="K2312" i="1"/>
  <c r="S2470" i="1"/>
  <c r="O2470" i="1"/>
  <c r="K2470" i="1"/>
  <c r="P2523" i="1"/>
  <c r="S2576" i="1"/>
  <c r="O2576" i="1"/>
  <c r="K2576" i="1"/>
  <c r="R2680" i="1"/>
  <c r="N2680" i="1"/>
  <c r="J2680" i="1"/>
  <c r="S3207" i="1"/>
  <c r="O3207" i="1"/>
  <c r="K3207" i="1"/>
  <c r="I604" i="1"/>
  <c r="I795" i="1"/>
  <c r="I1036" i="1"/>
  <c r="I1248" i="1"/>
  <c r="I2470" i="1"/>
  <c r="N138" i="1"/>
  <c r="K500" i="1"/>
  <c r="S604" i="1"/>
  <c r="O604" i="1"/>
  <c r="K604" i="1"/>
  <c r="Q741" i="1"/>
  <c r="M741" i="1"/>
  <c r="S848" i="1"/>
  <c r="O848" i="1"/>
  <c r="K848" i="1"/>
  <c r="O1089" i="1"/>
  <c r="K1089" i="1"/>
  <c r="N1480" i="1"/>
  <c r="J1480" i="1"/>
  <c r="Q1628" i="1"/>
  <c r="O1682" i="1"/>
  <c r="K1682" i="1"/>
  <c r="S1736" i="1"/>
  <c r="S1774" i="1" s="1"/>
  <c r="O1736" i="1"/>
  <c r="O1774" i="1" s="1"/>
  <c r="K1736" i="1"/>
  <c r="S1884" i="1"/>
  <c r="O1884" i="1"/>
  <c r="K1884" i="1"/>
  <c r="O2073" i="1"/>
  <c r="K2073" i="1"/>
  <c r="R2260" i="1"/>
  <c r="N2260" i="1"/>
  <c r="J2260" i="1"/>
  <c r="O2364" i="1"/>
  <c r="K2364" i="1"/>
  <c r="S2680" i="1"/>
  <c r="O2680" i="1"/>
  <c r="K2680" i="1"/>
  <c r="Q2974" i="1"/>
  <c r="O3027" i="1"/>
  <c r="K3027" i="1"/>
  <c r="S1435" i="1"/>
  <c r="S447" i="1"/>
  <c r="S3079" i="1"/>
  <c r="S3027" i="1"/>
  <c r="S2974" i="1"/>
  <c r="K2974" i="1"/>
  <c r="I2733" i="1"/>
  <c r="S2628" i="1"/>
  <c r="Q2628" i="1"/>
  <c r="R2628" i="1"/>
  <c r="J2523" i="1"/>
  <c r="S2364" i="1"/>
  <c r="S2312" i="1"/>
  <c r="R2312" i="1"/>
  <c r="S2260" i="1"/>
  <c r="R2125" i="1"/>
  <c r="S2073" i="1"/>
  <c r="Q2073" i="1"/>
  <c r="S1937" i="1"/>
  <c r="R1884" i="1"/>
  <c r="S1682" i="1"/>
  <c r="S1628" i="1"/>
  <c r="R1480" i="1"/>
  <c r="S1089" i="1"/>
  <c r="R1089" i="1"/>
  <c r="I3207" i="1"/>
  <c r="I3027" i="1"/>
  <c r="I2974" i="1"/>
  <c r="I2921" i="1"/>
  <c r="I2680" i="1"/>
  <c r="I2628" i="1"/>
  <c r="I2576" i="1"/>
  <c r="I2523" i="1"/>
  <c r="I2417" i="1"/>
  <c r="I2364" i="1"/>
  <c r="I2125" i="1"/>
  <c r="I2073" i="1"/>
  <c r="I1937" i="1"/>
  <c r="I1830" i="1"/>
  <c r="I1736" i="1"/>
  <c r="I1682" i="1"/>
  <c r="I1628" i="1"/>
  <c r="I1480" i="1"/>
  <c r="I1294" i="1"/>
  <c r="I1195" i="1"/>
  <c r="I1142" i="1"/>
  <c r="I1089" i="1"/>
  <c r="I942" i="1"/>
  <c r="I848" i="1"/>
  <c r="I552" i="1"/>
  <c r="I500" i="1"/>
  <c r="I288" i="1"/>
  <c r="I394" i="1"/>
  <c r="I341" i="1"/>
  <c r="I138" i="1"/>
  <c r="R123" i="1" l="1"/>
  <c r="I123" i="1"/>
  <c r="M2840" i="1"/>
  <c r="J2840" i="1"/>
  <c r="L2840" i="1"/>
  <c r="N2840" i="1"/>
  <c r="O2840" i="1"/>
  <c r="K2840" i="1"/>
  <c r="L9" i="6"/>
  <c r="K2841" i="1" l="1"/>
  <c r="N2841" i="1"/>
  <c r="M3132" i="1"/>
  <c r="M3154" i="1" s="1"/>
  <c r="L2841" i="1"/>
  <c r="O2841" i="1"/>
  <c r="M2841" i="1"/>
  <c r="I2841" i="1"/>
  <c r="I2865" i="1" s="1"/>
  <c r="N3132" i="1"/>
  <c r="N3154" i="1" s="1"/>
  <c r="O3132" i="1"/>
  <c r="O3154" i="1" s="1"/>
  <c r="J2841" i="1"/>
  <c r="K3132" i="1"/>
  <c r="K3154" i="1" s="1"/>
  <c r="I3132" i="1"/>
  <c r="I3154" i="1" s="1"/>
  <c r="R3132" i="1"/>
  <c r="R3154" i="1" s="1"/>
  <c r="S3132" i="1"/>
  <c r="S3154" i="1" s="1"/>
  <c r="L3132" i="1"/>
  <c r="L3154" i="1" s="1"/>
  <c r="J3132" i="1"/>
  <c r="J3154" i="1" s="1"/>
  <c r="P3132" i="1"/>
  <c r="P3154" i="1" s="1"/>
  <c r="Q3132" i="1"/>
  <c r="Q3154" i="1" s="1"/>
  <c r="L20" i="6"/>
  <c r="L3241" i="1"/>
  <c r="L3245" i="1" s="1"/>
  <c r="K3241" i="1"/>
  <c r="K3245" i="1" s="1"/>
  <c r="J3241" i="1"/>
  <c r="J3245" i="1" s="1"/>
  <c r="I3241" i="1"/>
  <c r="I3245" i="1" s="1"/>
  <c r="R3232" i="1"/>
  <c r="Q3230" i="1"/>
  <c r="O3228" i="1"/>
  <c r="P3228" i="1" s="1"/>
  <c r="P3241" i="1" s="1"/>
  <c r="P3245" i="1" s="1"/>
  <c r="N3226" i="1"/>
  <c r="O3226" i="1" s="1"/>
  <c r="N3224" i="1"/>
  <c r="L3222" i="1"/>
  <c r="M3222" i="1" s="1"/>
  <c r="M3241" i="1" s="1"/>
  <c r="M3245" i="1" s="1"/>
  <c r="K3221" i="1"/>
  <c r="K3220" i="1"/>
  <c r="L3220" i="1" s="1"/>
  <c r="J3219" i="1"/>
  <c r="J3218" i="1"/>
  <c r="K3218" i="1" s="1"/>
  <c r="I3217" i="1"/>
  <c r="J3216" i="1"/>
  <c r="I3215" i="1"/>
  <c r="J3215" i="1" s="1"/>
  <c r="K3215" i="1" s="1"/>
  <c r="L3215" i="1" s="1"/>
  <c r="M3215" i="1" s="1"/>
  <c r="N3215" i="1" s="1"/>
  <c r="O3215" i="1" s="1"/>
  <c r="P3215" i="1" s="1"/>
  <c r="Q3215" i="1" s="1"/>
  <c r="R3215" i="1" s="1"/>
  <c r="S3215" i="1" s="1"/>
  <c r="T3215" i="1" s="1"/>
  <c r="U3215" i="1" s="1"/>
  <c r="J3209" i="1"/>
  <c r="K3209" i="1" s="1"/>
  <c r="L3209" i="1" s="1"/>
  <c r="M3209" i="1" s="1"/>
  <c r="N3209" i="1" s="1"/>
  <c r="O3209" i="1" s="1"/>
  <c r="P3209" i="1" s="1"/>
  <c r="Q3209" i="1" s="1"/>
  <c r="R3209" i="1" s="1"/>
  <c r="S3209" i="1" s="1"/>
  <c r="T3209" i="1" s="1"/>
  <c r="U3209" i="1" s="1"/>
  <c r="J3204" i="1"/>
  <c r="K3204" i="1" s="1"/>
  <c r="L3204" i="1" s="1"/>
  <c r="M3204" i="1" s="1"/>
  <c r="N3204" i="1" s="1"/>
  <c r="O3204" i="1" s="1"/>
  <c r="P3204" i="1" s="1"/>
  <c r="Q3204" i="1" s="1"/>
  <c r="R3204" i="1" s="1"/>
  <c r="S3204" i="1" s="1"/>
  <c r="T3204" i="1" s="1"/>
  <c r="U3204" i="1" s="1"/>
  <c r="AC84" i="8"/>
  <c r="R3202" i="1"/>
  <c r="AB84" i="8" s="1"/>
  <c r="Q3202" i="1"/>
  <c r="AA84" i="8" s="1"/>
  <c r="G3199" i="1"/>
  <c r="J3198" i="1"/>
  <c r="K3198" i="1" s="1"/>
  <c r="L3198" i="1" s="1"/>
  <c r="M3198" i="1" s="1"/>
  <c r="N3198" i="1" s="1"/>
  <c r="O3198" i="1" s="1"/>
  <c r="P3198" i="1" s="1"/>
  <c r="Q3198" i="1" s="1"/>
  <c r="R3198" i="1" s="1"/>
  <c r="S3198" i="1" s="1"/>
  <c r="T3198" i="1" s="1"/>
  <c r="U3198" i="1" s="1"/>
  <c r="L3113" i="1"/>
  <c r="L3117" i="1" s="1"/>
  <c r="K3113" i="1"/>
  <c r="K3117" i="1" s="1"/>
  <c r="J3113" i="1"/>
  <c r="J3117" i="1" s="1"/>
  <c r="I3113" i="1"/>
  <c r="I3117" i="1" s="1"/>
  <c r="S3106" i="1"/>
  <c r="S3113" i="1" s="1"/>
  <c r="R3104" i="1"/>
  <c r="Q3102" i="1"/>
  <c r="O3100" i="1"/>
  <c r="P3100" i="1" s="1"/>
  <c r="P3113" i="1" s="1"/>
  <c r="P3117" i="1" s="1"/>
  <c r="N3098" i="1"/>
  <c r="O3098" i="1" s="1"/>
  <c r="N3096" i="1"/>
  <c r="L3094" i="1"/>
  <c r="M3094" i="1" s="1"/>
  <c r="M3113" i="1" s="1"/>
  <c r="M3117" i="1" s="1"/>
  <c r="K3093" i="1"/>
  <c r="K3092" i="1"/>
  <c r="L3092" i="1" s="1"/>
  <c r="J3091" i="1"/>
  <c r="J3090" i="1"/>
  <c r="K3090" i="1" s="1"/>
  <c r="I3089" i="1"/>
  <c r="J3088" i="1"/>
  <c r="I3087" i="1"/>
  <c r="J3087" i="1" s="1"/>
  <c r="K3087" i="1" s="1"/>
  <c r="L3087" i="1" s="1"/>
  <c r="M3087" i="1" s="1"/>
  <c r="N3087" i="1" s="1"/>
  <c r="O3087" i="1" s="1"/>
  <c r="P3087" i="1" s="1"/>
  <c r="Q3087" i="1" s="1"/>
  <c r="R3087" i="1" s="1"/>
  <c r="S3087" i="1" s="1"/>
  <c r="T3087" i="1" s="1"/>
  <c r="U3087" i="1" s="1"/>
  <c r="J3081" i="1"/>
  <c r="K3081" i="1" s="1"/>
  <c r="L3081" i="1" s="1"/>
  <c r="M3081" i="1" s="1"/>
  <c r="N3081" i="1" s="1"/>
  <c r="O3081" i="1" s="1"/>
  <c r="P3081" i="1" s="1"/>
  <c r="Q3081" i="1" s="1"/>
  <c r="R3081" i="1" s="1"/>
  <c r="S3081" i="1" s="1"/>
  <c r="T3081" i="1" s="1"/>
  <c r="U3081" i="1" s="1"/>
  <c r="J3076" i="1"/>
  <c r="K3076" i="1" s="1"/>
  <c r="L3076" i="1" s="1"/>
  <c r="M3076" i="1" s="1"/>
  <c r="N3076" i="1" s="1"/>
  <c r="O3076" i="1" s="1"/>
  <c r="P3076" i="1" s="1"/>
  <c r="Q3076" i="1" s="1"/>
  <c r="R3076" i="1" s="1"/>
  <c r="S3076" i="1" s="1"/>
  <c r="T3076" i="1" s="1"/>
  <c r="U3076" i="1" s="1"/>
  <c r="AC81" i="8"/>
  <c r="R3074" i="1"/>
  <c r="AB81" i="8" s="1"/>
  <c r="Q3074" i="1"/>
  <c r="AA81" i="8" s="1"/>
  <c r="G3071" i="1"/>
  <c r="J3070" i="1"/>
  <c r="K3070" i="1" s="1"/>
  <c r="L3070" i="1" s="1"/>
  <c r="M3070" i="1" s="1"/>
  <c r="N3070" i="1" s="1"/>
  <c r="O3070" i="1" s="1"/>
  <c r="P3070" i="1" s="1"/>
  <c r="Q3070" i="1" s="1"/>
  <c r="R3070" i="1" s="1"/>
  <c r="S3070" i="1" s="1"/>
  <c r="T3070" i="1" s="1"/>
  <c r="U3070" i="1" s="1"/>
  <c r="L3061" i="1"/>
  <c r="L3065" i="1" s="1"/>
  <c r="K3061" i="1"/>
  <c r="K3065" i="1" s="1"/>
  <c r="J3061" i="1"/>
  <c r="J3065" i="1" s="1"/>
  <c r="I3061" i="1"/>
  <c r="I3065" i="1" s="1"/>
  <c r="S3054" i="1"/>
  <c r="R3052" i="1"/>
  <c r="Q3050" i="1"/>
  <c r="O3048" i="1"/>
  <c r="P3048" i="1" s="1"/>
  <c r="P3061" i="1" s="1"/>
  <c r="P3065" i="1" s="1"/>
  <c r="N3046" i="1"/>
  <c r="O3046" i="1" s="1"/>
  <c r="N3044" i="1"/>
  <c r="L3042" i="1"/>
  <c r="M3042" i="1" s="1"/>
  <c r="M3061" i="1" s="1"/>
  <c r="M3065" i="1" s="1"/>
  <c r="K3041" i="1"/>
  <c r="K3040" i="1"/>
  <c r="L3040" i="1" s="1"/>
  <c r="J3039" i="1"/>
  <c r="J3038" i="1"/>
  <c r="K3038" i="1" s="1"/>
  <c r="I3037" i="1"/>
  <c r="J3036" i="1"/>
  <c r="I3035" i="1"/>
  <c r="J3035" i="1" s="1"/>
  <c r="K3035" i="1" s="1"/>
  <c r="L3035" i="1" s="1"/>
  <c r="M3035" i="1" s="1"/>
  <c r="N3035" i="1" s="1"/>
  <c r="O3035" i="1" s="1"/>
  <c r="P3035" i="1" s="1"/>
  <c r="Q3035" i="1" s="1"/>
  <c r="R3035" i="1" s="1"/>
  <c r="S3035" i="1" s="1"/>
  <c r="T3035" i="1" s="1"/>
  <c r="U3035" i="1" s="1"/>
  <c r="J3029" i="1"/>
  <c r="K3029" i="1" s="1"/>
  <c r="L3029" i="1" s="1"/>
  <c r="M3029" i="1" s="1"/>
  <c r="N3029" i="1" s="1"/>
  <c r="O3029" i="1" s="1"/>
  <c r="P3029" i="1" s="1"/>
  <c r="Q3029" i="1" s="1"/>
  <c r="R3029" i="1" s="1"/>
  <c r="S3029" i="1" s="1"/>
  <c r="T3029" i="1" s="1"/>
  <c r="U3029" i="1" s="1"/>
  <c r="J3024" i="1"/>
  <c r="K3024" i="1" s="1"/>
  <c r="L3024" i="1" s="1"/>
  <c r="M3024" i="1" s="1"/>
  <c r="N3024" i="1" s="1"/>
  <c r="O3024" i="1" s="1"/>
  <c r="P3024" i="1" s="1"/>
  <c r="Q3024" i="1" s="1"/>
  <c r="R3024" i="1" s="1"/>
  <c r="S3024" i="1" s="1"/>
  <c r="T3024" i="1" s="1"/>
  <c r="U3024" i="1" s="1"/>
  <c r="AC80" i="8"/>
  <c r="R3022" i="1"/>
  <c r="AB80" i="8" s="1"/>
  <c r="Q3022" i="1"/>
  <c r="AA80" i="8" s="1"/>
  <c r="G3019" i="1"/>
  <c r="J3018" i="1"/>
  <c r="K3018" i="1" s="1"/>
  <c r="L3018" i="1" s="1"/>
  <c r="M3018" i="1" s="1"/>
  <c r="N3018" i="1" s="1"/>
  <c r="O3018" i="1" s="1"/>
  <c r="P3018" i="1" s="1"/>
  <c r="Q3018" i="1" s="1"/>
  <c r="R3018" i="1" s="1"/>
  <c r="S3018" i="1" s="1"/>
  <c r="T3018" i="1" s="1"/>
  <c r="U3018" i="1" s="1"/>
  <c r="L2955" i="1"/>
  <c r="L2959" i="1" s="1"/>
  <c r="K2955" i="1"/>
  <c r="K2959" i="1" s="1"/>
  <c r="J2955" i="1"/>
  <c r="J2959" i="1" s="1"/>
  <c r="I2955" i="1"/>
  <c r="I2959" i="1" s="1"/>
  <c r="R2946" i="1"/>
  <c r="Q2944" i="1"/>
  <c r="O2942" i="1"/>
  <c r="P2942" i="1" s="1"/>
  <c r="P2955" i="1" s="1"/>
  <c r="P2959" i="1" s="1"/>
  <c r="N2940" i="1"/>
  <c r="O2940" i="1" s="1"/>
  <c r="N2938" i="1"/>
  <c r="L2936" i="1"/>
  <c r="M2936" i="1" s="1"/>
  <c r="M2955" i="1" s="1"/>
  <c r="M2959" i="1" s="1"/>
  <c r="K2935" i="1"/>
  <c r="K2934" i="1"/>
  <c r="L2934" i="1" s="1"/>
  <c r="J2933" i="1"/>
  <c r="J2932" i="1"/>
  <c r="K2932" i="1" s="1"/>
  <c r="I2931" i="1"/>
  <c r="J2930" i="1"/>
  <c r="I2929" i="1"/>
  <c r="J2929" i="1" s="1"/>
  <c r="K2929" i="1" s="1"/>
  <c r="L2929" i="1" s="1"/>
  <c r="M2929" i="1" s="1"/>
  <c r="N2929" i="1" s="1"/>
  <c r="O2929" i="1" s="1"/>
  <c r="P2929" i="1" s="1"/>
  <c r="Q2929" i="1" s="1"/>
  <c r="R2929" i="1" s="1"/>
  <c r="S2929" i="1" s="1"/>
  <c r="T2929" i="1" s="1"/>
  <c r="U2929" i="1" s="1"/>
  <c r="J2923" i="1"/>
  <c r="K2923" i="1" s="1"/>
  <c r="L2923" i="1" s="1"/>
  <c r="M2923" i="1" s="1"/>
  <c r="N2923" i="1" s="1"/>
  <c r="O2923" i="1" s="1"/>
  <c r="P2923" i="1" s="1"/>
  <c r="Q2923" i="1" s="1"/>
  <c r="R2923" i="1" s="1"/>
  <c r="S2923" i="1" s="1"/>
  <c r="T2923" i="1" s="1"/>
  <c r="U2923" i="1" s="1"/>
  <c r="J2918" i="1"/>
  <c r="K2918" i="1" s="1"/>
  <c r="L2918" i="1" s="1"/>
  <c r="M2918" i="1" s="1"/>
  <c r="N2918" i="1" s="1"/>
  <c r="O2918" i="1" s="1"/>
  <c r="P2918" i="1" s="1"/>
  <c r="Q2918" i="1" s="1"/>
  <c r="R2918" i="1" s="1"/>
  <c r="S2918" i="1" s="1"/>
  <c r="T2918" i="1" s="1"/>
  <c r="U2918" i="1" s="1"/>
  <c r="S2916" i="1"/>
  <c r="AC78" i="8" s="1"/>
  <c r="R2916" i="1"/>
  <c r="AB78" i="8" s="1"/>
  <c r="Q2916" i="1"/>
  <c r="AA78" i="8" s="1"/>
  <c r="G2913" i="1"/>
  <c r="J2912" i="1"/>
  <c r="K2912" i="1" s="1"/>
  <c r="L2912" i="1" s="1"/>
  <c r="M2912" i="1" s="1"/>
  <c r="N2912" i="1" s="1"/>
  <c r="O2912" i="1" s="1"/>
  <c r="P2912" i="1" s="1"/>
  <c r="Q2912" i="1" s="1"/>
  <c r="R2912" i="1" s="1"/>
  <c r="S2912" i="1" s="1"/>
  <c r="T2912" i="1" s="1"/>
  <c r="U2912" i="1" s="1"/>
  <c r="L2714" i="1"/>
  <c r="L2718" i="1" s="1"/>
  <c r="K2714" i="1"/>
  <c r="K2718" i="1" s="1"/>
  <c r="J2714" i="1"/>
  <c r="J2718" i="1" s="1"/>
  <c r="I2714" i="1"/>
  <c r="I2718" i="1" s="1"/>
  <c r="R2705" i="1"/>
  <c r="Q2703" i="1"/>
  <c r="O2701" i="1"/>
  <c r="P2701" i="1" s="1"/>
  <c r="P2714" i="1" s="1"/>
  <c r="P2718" i="1" s="1"/>
  <c r="N2699" i="1"/>
  <c r="O2699" i="1" s="1"/>
  <c r="N2697" i="1"/>
  <c r="L2695" i="1"/>
  <c r="M2695" i="1" s="1"/>
  <c r="M2714" i="1" s="1"/>
  <c r="M2718" i="1" s="1"/>
  <c r="K2694" i="1"/>
  <c r="K2693" i="1"/>
  <c r="L2693" i="1" s="1"/>
  <c r="J2692" i="1"/>
  <c r="J2691" i="1"/>
  <c r="K2691" i="1" s="1"/>
  <c r="I2690" i="1"/>
  <c r="J2689" i="1"/>
  <c r="I2688" i="1"/>
  <c r="J2688" i="1" s="1"/>
  <c r="K2688" i="1" s="1"/>
  <c r="L2688" i="1" s="1"/>
  <c r="M2688" i="1" s="1"/>
  <c r="N2688" i="1" s="1"/>
  <c r="O2688" i="1" s="1"/>
  <c r="P2688" i="1" s="1"/>
  <c r="Q2688" i="1" s="1"/>
  <c r="R2688" i="1" s="1"/>
  <c r="S2688" i="1" s="1"/>
  <c r="T2688" i="1" s="1"/>
  <c r="U2688" i="1" s="1"/>
  <c r="J2682" i="1"/>
  <c r="K2682" i="1" s="1"/>
  <c r="L2682" i="1" s="1"/>
  <c r="M2682" i="1" s="1"/>
  <c r="N2682" i="1" s="1"/>
  <c r="O2682" i="1" s="1"/>
  <c r="P2682" i="1" s="1"/>
  <c r="Q2682" i="1" s="1"/>
  <c r="R2682" i="1" s="1"/>
  <c r="S2682" i="1" s="1"/>
  <c r="T2682" i="1" s="1"/>
  <c r="U2682" i="1" s="1"/>
  <c r="J2677" i="1"/>
  <c r="K2677" i="1" s="1"/>
  <c r="L2677" i="1" s="1"/>
  <c r="M2677" i="1" s="1"/>
  <c r="N2677" i="1" s="1"/>
  <c r="O2677" i="1" s="1"/>
  <c r="P2677" i="1" s="1"/>
  <c r="Q2677" i="1" s="1"/>
  <c r="R2677" i="1" s="1"/>
  <c r="S2677" i="1" s="1"/>
  <c r="T2677" i="1" s="1"/>
  <c r="U2677" i="1" s="1"/>
  <c r="S2675" i="1"/>
  <c r="AC73" i="8" s="1"/>
  <c r="R2675" i="1"/>
  <c r="AB73" i="8" s="1"/>
  <c r="Q2675" i="1"/>
  <c r="AA73" i="8" s="1"/>
  <c r="G2672" i="1"/>
  <c r="J2671" i="1"/>
  <c r="K2671" i="1" s="1"/>
  <c r="L2671" i="1" s="1"/>
  <c r="M2671" i="1" s="1"/>
  <c r="N2671" i="1" s="1"/>
  <c r="O2671" i="1" s="1"/>
  <c r="P2671" i="1" s="1"/>
  <c r="Q2671" i="1" s="1"/>
  <c r="R2671" i="1" s="1"/>
  <c r="S2671" i="1" s="1"/>
  <c r="T2671" i="1" s="1"/>
  <c r="U2671" i="1" s="1"/>
  <c r="L2662" i="1"/>
  <c r="L2666" i="1" s="1"/>
  <c r="K2662" i="1"/>
  <c r="K2666" i="1" s="1"/>
  <c r="J2662" i="1"/>
  <c r="J2666" i="1" s="1"/>
  <c r="I2662" i="1"/>
  <c r="I2666" i="1" s="1"/>
  <c r="R2653" i="1"/>
  <c r="Q2651" i="1"/>
  <c r="O2649" i="1"/>
  <c r="P2649" i="1" s="1"/>
  <c r="P2662" i="1" s="1"/>
  <c r="P2666" i="1" s="1"/>
  <c r="N2647" i="1"/>
  <c r="O2647" i="1" s="1"/>
  <c r="N2645" i="1"/>
  <c r="L2643" i="1"/>
  <c r="M2643" i="1" s="1"/>
  <c r="M2662" i="1" s="1"/>
  <c r="M2666" i="1" s="1"/>
  <c r="K2642" i="1"/>
  <c r="K2641" i="1"/>
  <c r="L2641" i="1" s="1"/>
  <c r="J2640" i="1"/>
  <c r="J2639" i="1"/>
  <c r="K2639" i="1" s="1"/>
  <c r="I2638" i="1"/>
  <c r="J2637" i="1"/>
  <c r="I2636" i="1"/>
  <c r="J2636" i="1" s="1"/>
  <c r="K2636" i="1" s="1"/>
  <c r="L2636" i="1" s="1"/>
  <c r="M2636" i="1" s="1"/>
  <c r="N2636" i="1" s="1"/>
  <c r="O2636" i="1" s="1"/>
  <c r="P2636" i="1" s="1"/>
  <c r="Q2636" i="1" s="1"/>
  <c r="R2636" i="1" s="1"/>
  <c r="S2636" i="1" s="1"/>
  <c r="T2636" i="1" s="1"/>
  <c r="U2636" i="1" s="1"/>
  <c r="J2630" i="1"/>
  <c r="K2630" i="1" s="1"/>
  <c r="L2630" i="1" s="1"/>
  <c r="M2630" i="1" s="1"/>
  <c r="N2630" i="1" s="1"/>
  <c r="O2630" i="1" s="1"/>
  <c r="P2630" i="1" s="1"/>
  <c r="Q2630" i="1" s="1"/>
  <c r="R2630" i="1" s="1"/>
  <c r="S2630" i="1" s="1"/>
  <c r="T2630" i="1" s="1"/>
  <c r="U2630" i="1" s="1"/>
  <c r="J2625" i="1"/>
  <c r="K2625" i="1" s="1"/>
  <c r="L2625" i="1" s="1"/>
  <c r="M2625" i="1" s="1"/>
  <c r="N2625" i="1" s="1"/>
  <c r="O2625" i="1" s="1"/>
  <c r="P2625" i="1" s="1"/>
  <c r="Q2625" i="1" s="1"/>
  <c r="R2625" i="1" s="1"/>
  <c r="S2625" i="1" s="1"/>
  <c r="T2625" i="1" s="1"/>
  <c r="U2625" i="1" s="1"/>
  <c r="S2623" i="1"/>
  <c r="AC72" i="8" s="1"/>
  <c r="R2623" i="1"/>
  <c r="AB72" i="8" s="1"/>
  <c r="Q2623" i="1"/>
  <c r="AA72" i="8" s="1"/>
  <c r="G2620" i="1"/>
  <c r="J2619" i="1"/>
  <c r="K2619" i="1" s="1"/>
  <c r="L2619" i="1" s="1"/>
  <c r="M2619" i="1" s="1"/>
  <c r="N2619" i="1" s="1"/>
  <c r="O2619" i="1" s="1"/>
  <c r="P2619" i="1" s="1"/>
  <c r="Q2619" i="1" s="1"/>
  <c r="R2619" i="1" s="1"/>
  <c r="S2619" i="1" s="1"/>
  <c r="T2619" i="1" s="1"/>
  <c r="U2619" i="1" s="1"/>
  <c r="L2610" i="1"/>
  <c r="L2614" i="1" s="1"/>
  <c r="K2610" i="1"/>
  <c r="K2614" i="1" s="1"/>
  <c r="J2610" i="1"/>
  <c r="J2614" i="1" s="1"/>
  <c r="I2610" i="1"/>
  <c r="I2614" i="1" s="1"/>
  <c r="R2601" i="1"/>
  <c r="Q2599" i="1"/>
  <c r="O2597" i="1"/>
  <c r="P2597" i="1" s="1"/>
  <c r="P2610" i="1" s="1"/>
  <c r="P2614" i="1" s="1"/>
  <c r="N2595" i="1"/>
  <c r="O2595" i="1" s="1"/>
  <c r="N2593" i="1"/>
  <c r="L2591" i="1"/>
  <c r="M2591" i="1" s="1"/>
  <c r="M2610" i="1" s="1"/>
  <c r="M2614" i="1" s="1"/>
  <c r="K2590" i="1"/>
  <c r="K2589" i="1"/>
  <c r="L2589" i="1" s="1"/>
  <c r="J2588" i="1"/>
  <c r="J2587" i="1"/>
  <c r="K2587" i="1" s="1"/>
  <c r="I2586" i="1"/>
  <c r="J2585" i="1"/>
  <c r="I2584" i="1"/>
  <c r="J2584" i="1" s="1"/>
  <c r="K2584" i="1" s="1"/>
  <c r="L2584" i="1" s="1"/>
  <c r="M2584" i="1" s="1"/>
  <c r="N2584" i="1" s="1"/>
  <c r="O2584" i="1" s="1"/>
  <c r="P2584" i="1" s="1"/>
  <c r="Q2584" i="1" s="1"/>
  <c r="R2584" i="1" s="1"/>
  <c r="S2584" i="1" s="1"/>
  <c r="T2584" i="1" s="1"/>
  <c r="U2584" i="1" s="1"/>
  <c r="J2578" i="1"/>
  <c r="K2578" i="1" s="1"/>
  <c r="L2578" i="1" s="1"/>
  <c r="M2578" i="1" s="1"/>
  <c r="N2578" i="1" s="1"/>
  <c r="O2578" i="1" s="1"/>
  <c r="P2578" i="1" s="1"/>
  <c r="Q2578" i="1" s="1"/>
  <c r="R2578" i="1" s="1"/>
  <c r="S2578" i="1" s="1"/>
  <c r="T2578" i="1" s="1"/>
  <c r="U2578" i="1" s="1"/>
  <c r="J2573" i="1"/>
  <c r="K2573" i="1" s="1"/>
  <c r="L2573" i="1" s="1"/>
  <c r="M2573" i="1" s="1"/>
  <c r="N2573" i="1" s="1"/>
  <c r="O2573" i="1" s="1"/>
  <c r="P2573" i="1" s="1"/>
  <c r="Q2573" i="1" s="1"/>
  <c r="R2573" i="1" s="1"/>
  <c r="S2573" i="1" s="1"/>
  <c r="T2573" i="1" s="1"/>
  <c r="U2573" i="1" s="1"/>
  <c r="S2571" i="1"/>
  <c r="AC71" i="8" s="1"/>
  <c r="R2571" i="1"/>
  <c r="AB71" i="8" s="1"/>
  <c r="Q2571" i="1"/>
  <c r="AA71" i="8" s="1"/>
  <c r="G2568" i="1"/>
  <c r="J2567" i="1"/>
  <c r="K2567" i="1" s="1"/>
  <c r="L2567" i="1" s="1"/>
  <c r="M2567" i="1" s="1"/>
  <c r="N2567" i="1" s="1"/>
  <c r="O2567" i="1" s="1"/>
  <c r="P2567" i="1" s="1"/>
  <c r="Q2567" i="1" s="1"/>
  <c r="R2567" i="1" s="1"/>
  <c r="S2567" i="1" s="1"/>
  <c r="T2567" i="1" s="1"/>
  <c r="U2567" i="1" s="1"/>
  <c r="L2504" i="1"/>
  <c r="L2508" i="1" s="1"/>
  <c r="K2504" i="1"/>
  <c r="K2508" i="1" s="1"/>
  <c r="J2504" i="1"/>
  <c r="J2508" i="1" s="1"/>
  <c r="I2504" i="1"/>
  <c r="I2508" i="1" s="1"/>
  <c r="R2495" i="1"/>
  <c r="Q2493" i="1"/>
  <c r="O2491" i="1"/>
  <c r="P2491" i="1" s="1"/>
  <c r="P2504" i="1" s="1"/>
  <c r="P2508" i="1" s="1"/>
  <c r="N2489" i="1"/>
  <c r="O2489" i="1" s="1"/>
  <c r="N2487" i="1"/>
  <c r="L2485" i="1"/>
  <c r="M2485" i="1" s="1"/>
  <c r="M2504" i="1" s="1"/>
  <c r="M2508" i="1" s="1"/>
  <c r="K2484" i="1"/>
  <c r="K2483" i="1"/>
  <c r="L2483" i="1" s="1"/>
  <c r="J2482" i="1"/>
  <c r="J2481" i="1"/>
  <c r="K2481" i="1" s="1"/>
  <c r="I2480" i="1"/>
  <c r="J2479" i="1"/>
  <c r="I2478" i="1"/>
  <c r="J2478" i="1" s="1"/>
  <c r="K2478" i="1" s="1"/>
  <c r="L2478" i="1" s="1"/>
  <c r="M2478" i="1" s="1"/>
  <c r="N2478" i="1" s="1"/>
  <c r="O2478" i="1" s="1"/>
  <c r="P2478" i="1" s="1"/>
  <c r="Q2478" i="1" s="1"/>
  <c r="R2478" i="1" s="1"/>
  <c r="S2478" i="1" s="1"/>
  <c r="T2478" i="1" s="1"/>
  <c r="U2478" i="1" s="1"/>
  <c r="J2472" i="1"/>
  <c r="K2472" i="1" s="1"/>
  <c r="L2472" i="1" s="1"/>
  <c r="M2472" i="1" s="1"/>
  <c r="N2472" i="1" s="1"/>
  <c r="O2472" i="1" s="1"/>
  <c r="P2472" i="1" s="1"/>
  <c r="Q2472" i="1" s="1"/>
  <c r="R2472" i="1" s="1"/>
  <c r="S2472" i="1" s="1"/>
  <c r="T2472" i="1" s="1"/>
  <c r="U2472" i="1" s="1"/>
  <c r="J2467" i="1"/>
  <c r="K2467" i="1" s="1"/>
  <c r="L2467" i="1" s="1"/>
  <c r="M2467" i="1" s="1"/>
  <c r="N2467" i="1" s="1"/>
  <c r="O2467" i="1" s="1"/>
  <c r="P2467" i="1" s="1"/>
  <c r="Q2467" i="1" s="1"/>
  <c r="R2467" i="1" s="1"/>
  <c r="S2467" i="1" s="1"/>
  <c r="T2467" i="1" s="1"/>
  <c r="U2467" i="1" s="1"/>
  <c r="AC69" i="8"/>
  <c r="R2465" i="1"/>
  <c r="AB69" i="8" s="1"/>
  <c r="Q2465" i="1"/>
  <c r="AA69" i="8" s="1"/>
  <c r="G2462" i="1"/>
  <c r="J2461" i="1"/>
  <c r="K2461" i="1" s="1"/>
  <c r="L2461" i="1" s="1"/>
  <c r="M2461" i="1" s="1"/>
  <c r="N2461" i="1" s="1"/>
  <c r="O2461" i="1" s="1"/>
  <c r="P2461" i="1" s="1"/>
  <c r="Q2461" i="1" s="1"/>
  <c r="R2461" i="1" s="1"/>
  <c r="S2461" i="1" s="1"/>
  <c r="T2461" i="1" s="1"/>
  <c r="U2461" i="1" s="1"/>
  <c r="L2398" i="1"/>
  <c r="L2402" i="1" s="1"/>
  <c r="K2398" i="1"/>
  <c r="K2402" i="1" s="1"/>
  <c r="J2398" i="1"/>
  <c r="J2402" i="1" s="1"/>
  <c r="I2398" i="1"/>
  <c r="I2402" i="1" s="1"/>
  <c r="R2389" i="1"/>
  <c r="Q2387" i="1"/>
  <c r="O2385" i="1"/>
  <c r="P2385" i="1" s="1"/>
  <c r="P2398" i="1" s="1"/>
  <c r="P2402" i="1" s="1"/>
  <c r="N2383" i="1"/>
  <c r="O2383" i="1" s="1"/>
  <c r="N2381" i="1"/>
  <c r="L2379" i="1"/>
  <c r="M2379" i="1" s="1"/>
  <c r="M2398" i="1" s="1"/>
  <c r="M2402" i="1" s="1"/>
  <c r="K2378" i="1"/>
  <c r="K2377" i="1"/>
  <c r="L2377" i="1" s="1"/>
  <c r="J2376" i="1"/>
  <c r="J2375" i="1"/>
  <c r="K2375" i="1" s="1"/>
  <c r="I2374" i="1"/>
  <c r="J2373" i="1"/>
  <c r="I2372" i="1"/>
  <c r="J2372" i="1" s="1"/>
  <c r="K2372" i="1" s="1"/>
  <c r="L2372" i="1" s="1"/>
  <c r="M2372" i="1" s="1"/>
  <c r="N2372" i="1" s="1"/>
  <c r="O2372" i="1" s="1"/>
  <c r="P2372" i="1" s="1"/>
  <c r="Q2372" i="1" s="1"/>
  <c r="R2372" i="1" s="1"/>
  <c r="S2372" i="1" s="1"/>
  <c r="T2372" i="1" s="1"/>
  <c r="U2372" i="1" s="1"/>
  <c r="J2366" i="1"/>
  <c r="K2366" i="1" s="1"/>
  <c r="L2366" i="1" s="1"/>
  <c r="M2366" i="1" s="1"/>
  <c r="N2366" i="1" s="1"/>
  <c r="O2366" i="1" s="1"/>
  <c r="P2366" i="1" s="1"/>
  <c r="Q2366" i="1" s="1"/>
  <c r="R2366" i="1" s="1"/>
  <c r="S2366" i="1" s="1"/>
  <c r="T2366" i="1" s="1"/>
  <c r="U2366" i="1" s="1"/>
  <c r="J2361" i="1"/>
  <c r="K2361" i="1" s="1"/>
  <c r="L2361" i="1" s="1"/>
  <c r="M2361" i="1" s="1"/>
  <c r="N2361" i="1" s="1"/>
  <c r="O2361" i="1" s="1"/>
  <c r="P2361" i="1" s="1"/>
  <c r="Q2361" i="1" s="1"/>
  <c r="R2361" i="1" s="1"/>
  <c r="S2361" i="1" s="1"/>
  <c r="T2361" i="1" s="1"/>
  <c r="U2361" i="1" s="1"/>
  <c r="S2359" i="1"/>
  <c r="AC67" i="8" s="1"/>
  <c r="R2359" i="1"/>
  <c r="AB67" i="8" s="1"/>
  <c r="Q2359" i="1"/>
  <c r="AA67" i="8" s="1"/>
  <c r="G2356" i="1"/>
  <c r="J2355" i="1"/>
  <c r="K2355" i="1" s="1"/>
  <c r="L2355" i="1" s="1"/>
  <c r="M2355" i="1" s="1"/>
  <c r="N2355" i="1" s="1"/>
  <c r="O2355" i="1" s="1"/>
  <c r="P2355" i="1" s="1"/>
  <c r="Q2355" i="1" s="1"/>
  <c r="R2355" i="1" s="1"/>
  <c r="S2355" i="1" s="1"/>
  <c r="T2355" i="1" s="1"/>
  <c r="U2355" i="1" s="1"/>
  <c r="L2346" i="1"/>
  <c r="L2350" i="1" s="1"/>
  <c r="K2346" i="1"/>
  <c r="K2350" i="1" s="1"/>
  <c r="J2346" i="1"/>
  <c r="J2350" i="1" s="1"/>
  <c r="I2346" i="1"/>
  <c r="I2350" i="1" s="1"/>
  <c r="R2337" i="1"/>
  <c r="Q2335" i="1"/>
  <c r="O2333" i="1"/>
  <c r="P2333" i="1" s="1"/>
  <c r="P2346" i="1" s="1"/>
  <c r="P2350" i="1" s="1"/>
  <c r="N2331" i="1"/>
  <c r="O2331" i="1" s="1"/>
  <c r="N2329" i="1"/>
  <c r="L2327" i="1"/>
  <c r="M2327" i="1" s="1"/>
  <c r="M2346" i="1" s="1"/>
  <c r="M2350" i="1" s="1"/>
  <c r="K2326" i="1"/>
  <c r="K2325" i="1"/>
  <c r="L2325" i="1" s="1"/>
  <c r="J2324" i="1"/>
  <c r="J2323" i="1"/>
  <c r="K2323" i="1" s="1"/>
  <c r="I2322" i="1"/>
  <c r="J2321" i="1"/>
  <c r="I2320" i="1"/>
  <c r="J2320" i="1" s="1"/>
  <c r="K2320" i="1" s="1"/>
  <c r="L2320" i="1" s="1"/>
  <c r="M2320" i="1" s="1"/>
  <c r="N2320" i="1" s="1"/>
  <c r="O2320" i="1" s="1"/>
  <c r="P2320" i="1" s="1"/>
  <c r="Q2320" i="1" s="1"/>
  <c r="R2320" i="1" s="1"/>
  <c r="S2320" i="1" s="1"/>
  <c r="T2320" i="1" s="1"/>
  <c r="U2320" i="1" s="1"/>
  <c r="J2314" i="1"/>
  <c r="K2314" i="1" s="1"/>
  <c r="L2314" i="1" s="1"/>
  <c r="M2314" i="1" s="1"/>
  <c r="N2314" i="1" s="1"/>
  <c r="O2314" i="1" s="1"/>
  <c r="P2314" i="1" s="1"/>
  <c r="Q2314" i="1" s="1"/>
  <c r="R2314" i="1" s="1"/>
  <c r="S2314" i="1" s="1"/>
  <c r="T2314" i="1" s="1"/>
  <c r="U2314" i="1" s="1"/>
  <c r="J2309" i="1"/>
  <c r="K2309" i="1" s="1"/>
  <c r="L2309" i="1" s="1"/>
  <c r="M2309" i="1" s="1"/>
  <c r="N2309" i="1" s="1"/>
  <c r="O2309" i="1" s="1"/>
  <c r="P2309" i="1" s="1"/>
  <c r="Q2309" i="1" s="1"/>
  <c r="R2309" i="1" s="1"/>
  <c r="S2309" i="1" s="1"/>
  <c r="T2309" i="1" s="1"/>
  <c r="U2309" i="1" s="1"/>
  <c r="S2307" i="1"/>
  <c r="AC66" i="8" s="1"/>
  <c r="R2307" i="1"/>
  <c r="AB66" i="8" s="1"/>
  <c r="Q2307" i="1"/>
  <c r="AA66" i="8" s="1"/>
  <c r="G2304" i="1"/>
  <c r="J2303" i="1"/>
  <c r="K2303" i="1" s="1"/>
  <c r="L2303" i="1" s="1"/>
  <c r="M2303" i="1" s="1"/>
  <c r="N2303" i="1" s="1"/>
  <c r="O2303" i="1" s="1"/>
  <c r="P2303" i="1" s="1"/>
  <c r="Q2303" i="1" s="1"/>
  <c r="R2303" i="1" s="1"/>
  <c r="S2303" i="1" s="1"/>
  <c r="T2303" i="1" s="1"/>
  <c r="U2303" i="1" s="1"/>
  <c r="L2159" i="1"/>
  <c r="L2163" i="1" s="1"/>
  <c r="K2159" i="1"/>
  <c r="K2163" i="1" s="1"/>
  <c r="J2159" i="1"/>
  <c r="J2163" i="1" s="1"/>
  <c r="I2159" i="1"/>
  <c r="I2163" i="1" s="1"/>
  <c r="R2150" i="1"/>
  <c r="Q2148" i="1"/>
  <c r="O2146" i="1"/>
  <c r="P2146" i="1" s="1"/>
  <c r="P2159" i="1" s="1"/>
  <c r="P2163" i="1" s="1"/>
  <c r="N2144" i="1"/>
  <c r="O2144" i="1" s="1"/>
  <c r="N2142" i="1"/>
  <c r="L2140" i="1"/>
  <c r="M2140" i="1" s="1"/>
  <c r="M2159" i="1" s="1"/>
  <c r="M2163" i="1" s="1"/>
  <c r="K2139" i="1"/>
  <c r="K2138" i="1"/>
  <c r="L2138" i="1" s="1"/>
  <c r="J2137" i="1"/>
  <c r="J2136" i="1"/>
  <c r="K2136" i="1" s="1"/>
  <c r="I2135" i="1"/>
  <c r="J2134" i="1"/>
  <c r="I2133" i="1"/>
  <c r="J2133" i="1" s="1"/>
  <c r="K2133" i="1" s="1"/>
  <c r="L2133" i="1" s="1"/>
  <c r="M2133" i="1" s="1"/>
  <c r="N2133" i="1" s="1"/>
  <c r="O2133" i="1" s="1"/>
  <c r="P2133" i="1" s="1"/>
  <c r="Q2133" i="1" s="1"/>
  <c r="R2133" i="1" s="1"/>
  <c r="S2133" i="1" s="1"/>
  <c r="T2133" i="1" s="1"/>
  <c r="U2133" i="1" s="1"/>
  <c r="J2127" i="1"/>
  <c r="K2127" i="1" s="1"/>
  <c r="L2127" i="1" s="1"/>
  <c r="M2127" i="1" s="1"/>
  <c r="N2127" i="1" s="1"/>
  <c r="O2127" i="1" s="1"/>
  <c r="P2127" i="1" s="1"/>
  <c r="Q2127" i="1" s="1"/>
  <c r="R2127" i="1" s="1"/>
  <c r="S2127" i="1" s="1"/>
  <c r="T2127" i="1" s="1"/>
  <c r="U2127" i="1" s="1"/>
  <c r="J2122" i="1"/>
  <c r="K2122" i="1" s="1"/>
  <c r="L2122" i="1" s="1"/>
  <c r="M2122" i="1" s="1"/>
  <c r="N2122" i="1" s="1"/>
  <c r="O2122" i="1" s="1"/>
  <c r="P2122" i="1" s="1"/>
  <c r="Q2122" i="1" s="1"/>
  <c r="R2122" i="1" s="1"/>
  <c r="S2122" i="1" s="1"/>
  <c r="T2122" i="1" s="1"/>
  <c r="U2122" i="1" s="1"/>
  <c r="S2120" i="1"/>
  <c r="AC62" i="8" s="1"/>
  <c r="R2120" i="1"/>
  <c r="AB62" i="8" s="1"/>
  <c r="Q2120" i="1"/>
  <c r="AA62" i="8" s="1"/>
  <c r="G2117" i="1"/>
  <c r="J2116" i="1"/>
  <c r="K2116" i="1" s="1"/>
  <c r="L2116" i="1" s="1"/>
  <c r="M2116" i="1" s="1"/>
  <c r="N2116" i="1" s="1"/>
  <c r="O2116" i="1" s="1"/>
  <c r="P2116" i="1" s="1"/>
  <c r="Q2116" i="1" s="1"/>
  <c r="R2116" i="1" s="1"/>
  <c r="S2116" i="1" s="1"/>
  <c r="T2116" i="1" s="1"/>
  <c r="U2116" i="1" s="1"/>
  <c r="L2107" i="1"/>
  <c r="L2111" i="1" s="1"/>
  <c r="K2107" i="1"/>
  <c r="K2111" i="1" s="1"/>
  <c r="J2107" i="1"/>
  <c r="J2111" i="1" s="1"/>
  <c r="I2107" i="1"/>
  <c r="I2111" i="1" s="1"/>
  <c r="R2098" i="1"/>
  <c r="Q2096" i="1"/>
  <c r="O2094" i="1"/>
  <c r="P2094" i="1" s="1"/>
  <c r="P2107" i="1" s="1"/>
  <c r="P2111" i="1" s="1"/>
  <c r="N2092" i="1"/>
  <c r="O2092" i="1" s="1"/>
  <c r="N2090" i="1"/>
  <c r="L2088" i="1"/>
  <c r="M2088" i="1" s="1"/>
  <c r="M2107" i="1" s="1"/>
  <c r="M2111" i="1" s="1"/>
  <c r="K2087" i="1"/>
  <c r="K2086" i="1"/>
  <c r="L2086" i="1" s="1"/>
  <c r="J2085" i="1"/>
  <c r="J2084" i="1"/>
  <c r="K2084" i="1" s="1"/>
  <c r="I2083" i="1"/>
  <c r="J2082" i="1"/>
  <c r="I2081" i="1"/>
  <c r="J2081" i="1" s="1"/>
  <c r="K2081" i="1" s="1"/>
  <c r="L2081" i="1" s="1"/>
  <c r="M2081" i="1" s="1"/>
  <c r="N2081" i="1" s="1"/>
  <c r="O2081" i="1" s="1"/>
  <c r="P2081" i="1" s="1"/>
  <c r="Q2081" i="1" s="1"/>
  <c r="R2081" i="1" s="1"/>
  <c r="S2081" i="1" s="1"/>
  <c r="T2081" i="1" s="1"/>
  <c r="U2081" i="1" s="1"/>
  <c r="J2075" i="1"/>
  <c r="K2075" i="1" s="1"/>
  <c r="L2075" i="1" s="1"/>
  <c r="M2075" i="1" s="1"/>
  <c r="N2075" i="1" s="1"/>
  <c r="O2075" i="1" s="1"/>
  <c r="P2075" i="1" s="1"/>
  <c r="Q2075" i="1" s="1"/>
  <c r="R2075" i="1" s="1"/>
  <c r="S2075" i="1" s="1"/>
  <c r="T2075" i="1" s="1"/>
  <c r="U2075" i="1" s="1"/>
  <c r="J2070" i="1"/>
  <c r="K2070" i="1" s="1"/>
  <c r="L2070" i="1" s="1"/>
  <c r="M2070" i="1" s="1"/>
  <c r="N2070" i="1" s="1"/>
  <c r="O2070" i="1" s="1"/>
  <c r="P2070" i="1" s="1"/>
  <c r="Q2070" i="1" s="1"/>
  <c r="R2070" i="1" s="1"/>
  <c r="S2070" i="1" s="1"/>
  <c r="T2070" i="1" s="1"/>
  <c r="U2070" i="1" s="1"/>
  <c r="S2068" i="1"/>
  <c r="AC61" i="8" s="1"/>
  <c r="R2068" i="1"/>
  <c r="AB61" i="8" s="1"/>
  <c r="Q2068" i="1"/>
  <c r="AA61" i="8" s="1"/>
  <c r="G2065" i="1"/>
  <c r="J2064" i="1"/>
  <c r="K2064" i="1" s="1"/>
  <c r="L2064" i="1" s="1"/>
  <c r="M2064" i="1" s="1"/>
  <c r="N2064" i="1" s="1"/>
  <c r="O2064" i="1" s="1"/>
  <c r="P2064" i="1" s="1"/>
  <c r="Q2064" i="1" s="1"/>
  <c r="R2064" i="1" s="1"/>
  <c r="S2064" i="1" s="1"/>
  <c r="T2064" i="1" s="1"/>
  <c r="U2064" i="1" s="1"/>
  <c r="L1971" i="1"/>
  <c r="L1975" i="1" s="1"/>
  <c r="K1971" i="1"/>
  <c r="K1975" i="1" s="1"/>
  <c r="J1971" i="1"/>
  <c r="J1975" i="1" s="1"/>
  <c r="I1971" i="1"/>
  <c r="I1975" i="1" s="1"/>
  <c r="R1962" i="1"/>
  <c r="Q1960" i="1"/>
  <c r="O1958" i="1"/>
  <c r="P1958" i="1" s="1"/>
  <c r="P1971" i="1" s="1"/>
  <c r="P1975" i="1" s="1"/>
  <c r="N1956" i="1"/>
  <c r="O1956" i="1" s="1"/>
  <c r="N1954" i="1"/>
  <c r="L1952" i="1"/>
  <c r="M1952" i="1" s="1"/>
  <c r="M1971" i="1" s="1"/>
  <c r="M1975" i="1" s="1"/>
  <c r="K1951" i="1"/>
  <c r="K1950" i="1"/>
  <c r="L1950" i="1" s="1"/>
  <c r="J1949" i="1"/>
  <c r="J1948" i="1"/>
  <c r="K1948" i="1" s="1"/>
  <c r="I1947" i="1"/>
  <c r="J1946" i="1"/>
  <c r="I1945" i="1"/>
  <c r="J1945" i="1" s="1"/>
  <c r="K1945" i="1" s="1"/>
  <c r="L1945" i="1" s="1"/>
  <c r="M1945" i="1" s="1"/>
  <c r="N1945" i="1" s="1"/>
  <c r="O1945" i="1" s="1"/>
  <c r="P1945" i="1" s="1"/>
  <c r="Q1945" i="1" s="1"/>
  <c r="R1945" i="1" s="1"/>
  <c r="S1945" i="1" s="1"/>
  <c r="T1945" i="1" s="1"/>
  <c r="U1945" i="1" s="1"/>
  <c r="J1939" i="1"/>
  <c r="K1939" i="1" s="1"/>
  <c r="L1939" i="1" s="1"/>
  <c r="M1939" i="1" s="1"/>
  <c r="N1939" i="1" s="1"/>
  <c r="O1939" i="1" s="1"/>
  <c r="P1939" i="1" s="1"/>
  <c r="Q1939" i="1" s="1"/>
  <c r="R1939" i="1" s="1"/>
  <c r="S1939" i="1" s="1"/>
  <c r="T1939" i="1" s="1"/>
  <c r="U1939" i="1" s="1"/>
  <c r="J1934" i="1"/>
  <c r="K1934" i="1" s="1"/>
  <c r="L1934" i="1" s="1"/>
  <c r="M1934" i="1" s="1"/>
  <c r="N1934" i="1" s="1"/>
  <c r="O1934" i="1" s="1"/>
  <c r="P1934" i="1" s="1"/>
  <c r="Q1934" i="1" s="1"/>
  <c r="R1934" i="1" s="1"/>
  <c r="S1934" i="1" s="1"/>
  <c r="T1934" i="1" s="1"/>
  <c r="U1934" i="1" s="1"/>
  <c r="AC58" i="8"/>
  <c r="R1932" i="1"/>
  <c r="AB58" i="8" s="1"/>
  <c r="Q1932" i="1"/>
  <c r="AA58" i="8" s="1"/>
  <c r="G1929" i="1"/>
  <c r="J1928" i="1"/>
  <c r="K1928" i="1" s="1"/>
  <c r="L1928" i="1" s="1"/>
  <c r="M1928" i="1" s="1"/>
  <c r="N1928" i="1" s="1"/>
  <c r="O1928" i="1" s="1"/>
  <c r="P1928" i="1" s="1"/>
  <c r="Q1928" i="1" s="1"/>
  <c r="R1928" i="1" s="1"/>
  <c r="S1928" i="1" s="1"/>
  <c r="T1928" i="1" s="1"/>
  <c r="U1928" i="1" s="1"/>
  <c r="L1609" i="1"/>
  <c r="L1613" i="1" s="1"/>
  <c r="K1609" i="1"/>
  <c r="K1613" i="1" s="1"/>
  <c r="J1609" i="1"/>
  <c r="J1613" i="1" s="1"/>
  <c r="I1609" i="1"/>
  <c r="I1613" i="1" s="1"/>
  <c r="R1600" i="1"/>
  <c r="Q1598" i="1"/>
  <c r="O1596" i="1"/>
  <c r="P1596" i="1" s="1"/>
  <c r="P1609" i="1" s="1"/>
  <c r="P1613" i="1" s="1"/>
  <c r="N1594" i="1"/>
  <c r="O1594" i="1" s="1"/>
  <c r="N1592" i="1"/>
  <c r="L1590" i="1"/>
  <c r="M1590" i="1" s="1"/>
  <c r="M1609" i="1" s="1"/>
  <c r="M1613" i="1" s="1"/>
  <c r="K1589" i="1"/>
  <c r="K1588" i="1"/>
  <c r="L1588" i="1" s="1"/>
  <c r="J1587" i="1"/>
  <c r="J1586" i="1"/>
  <c r="K1586" i="1" s="1"/>
  <c r="I1585" i="1"/>
  <c r="J1584" i="1"/>
  <c r="I1583" i="1"/>
  <c r="J1583" i="1" s="1"/>
  <c r="K1583" i="1" s="1"/>
  <c r="L1583" i="1" s="1"/>
  <c r="M1583" i="1" s="1"/>
  <c r="N1583" i="1" s="1"/>
  <c r="O1583" i="1" s="1"/>
  <c r="P1583" i="1" s="1"/>
  <c r="Q1583" i="1" s="1"/>
  <c r="R1583" i="1" s="1"/>
  <c r="S1583" i="1" s="1"/>
  <c r="T1583" i="1" s="1"/>
  <c r="U1583" i="1" s="1"/>
  <c r="J1577" i="1"/>
  <c r="K1577" i="1" s="1"/>
  <c r="L1577" i="1" s="1"/>
  <c r="M1577" i="1" s="1"/>
  <c r="N1577" i="1" s="1"/>
  <c r="O1577" i="1" s="1"/>
  <c r="P1577" i="1" s="1"/>
  <c r="Q1577" i="1" s="1"/>
  <c r="R1577" i="1" s="1"/>
  <c r="S1577" i="1" s="1"/>
  <c r="T1577" i="1" s="1"/>
  <c r="U1577" i="1" s="1"/>
  <c r="J1572" i="1"/>
  <c r="K1572" i="1" s="1"/>
  <c r="L1572" i="1" s="1"/>
  <c r="M1572" i="1" s="1"/>
  <c r="N1572" i="1" s="1"/>
  <c r="O1572" i="1" s="1"/>
  <c r="P1572" i="1" s="1"/>
  <c r="Q1572" i="1" s="1"/>
  <c r="R1572" i="1" s="1"/>
  <c r="S1572" i="1" s="1"/>
  <c r="T1572" i="1" s="1"/>
  <c r="U1572" i="1" s="1"/>
  <c r="S1570" i="1"/>
  <c r="R1570" i="1"/>
  <c r="Q1570" i="1"/>
  <c r="G1567" i="1"/>
  <c r="J1566" i="1"/>
  <c r="K1566" i="1" s="1"/>
  <c r="L1566" i="1" s="1"/>
  <c r="M1566" i="1" s="1"/>
  <c r="N1566" i="1" s="1"/>
  <c r="O1566" i="1" s="1"/>
  <c r="P1566" i="1" s="1"/>
  <c r="Q1566" i="1" s="1"/>
  <c r="R1566" i="1" s="1"/>
  <c r="S1566" i="1" s="1"/>
  <c r="T1566" i="1" s="1"/>
  <c r="U1566" i="1" s="1"/>
  <c r="L1416" i="1"/>
  <c r="L1420" i="1" s="1"/>
  <c r="K1416" i="1"/>
  <c r="K1420" i="1" s="1"/>
  <c r="J1416" i="1"/>
  <c r="J1420" i="1" s="1"/>
  <c r="I1416" i="1"/>
  <c r="I1420" i="1" s="1"/>
  <c r="S1409" i="1"/>
  <c r="S1416" i="1" s="1"/>
  <c r="R1407" i="1"/>
  <c r="Q1405" i="1"/>
  <c r="O1403" i="1"/>
  <c r="P1403" i="1" s="1"/>
  <c r="P1416" i="1" s="1"/>
  <c r="P1420" i="1" s="1"/>
  <c r="N1401" i="1"/>
  <c r="O1401" i="1" s="1"/>
  <c r="N1399" i="1"/>
  <c r="L1397" i="1"/>
  <c r="M1397" i="1" s="1"/>
  <c r="M1416" i="1" s="1"/>
  <c r="M1420" i="1" s="1"/>
  <c r="K1396" i="1"/>
  <c r="K1395" i="1"/>
  <c r="L1395" i="1" s="1"/>
  <c r="J1394" i="1"/>
  <c r="J1393" i="1"/>
  <c r="K1393" i="1" s="1"/>
  <c r="I1392" i="1"/>
  <c r="J1391" i="1"/>
  <c r="I1390" i="1"/>
  <c r="J1390" i="1" s="1"/>
  <c r="K1390" i="1" s="1"/>
  <c r="L1390" i="1" s="1"/>
  <c r="M1390" i="1" s="1"/>
  <c r="N1390" i="1" s="1"/>
  <c r="O1390" i="1" s="1"/>
  <c r="P1390" i="1" s="1"/>
  <c r="Q1390" i="1" s="1"/>
  <c r="R1390" i="1" s="1"/>
  <c r="S1390" i="1" s="1"/>
  <c r="T1390" i="1" s="1"/>
  <c r="U1390" i="1" s="1"/>
  <c r="J1384" i="1"/>
  <c r="K1384" i="1" s="1"/>
  <c r="L1384" i="1" s="1"/>
  <c r="M1384" i="1" s="1"/>
  <c r="N1384" i="1" s="1"/>
  <c r="O1384" i="1" s="1"/>
  <c r="P1384" i="1" s="1"/>
  <c r="Q1384" i="1" s="1"/>
  <c r="R1384" i="1" s="1"/>
  <c r="S1384" i="1" s="1"/>
  <c r="T1384" i="1" s="1"/>
  <c r="U1384" i="1" s="1"/>
  <c r="J1379" i="1"/>
  <c r="K1379" i="1" s="1"/>
  <c r="L1379" i="1" s="1"/>
  <c r="M1379" i="1" s="1"/>
  <c r="N1379" i="1" s="1"/>
  <c r="O1379" i="1" s="1"/>
  <c r="P1379" i="1" s="1"/>
  <c r="Q1379" i="1" s="1"/>
  <c r="R1379" i="1" s="1"/>
  <c r="S1379" i="1" s="1"/>
  <c r="T1379" i="1" s="1"/>
  <c r="U1379" i="1" s="1"/>
  <c r="S1377" i="1"/>
  <c r="R1377" i="1"/>
  <c r="Q1377" i="1"/>
  <c r="G1374" i="1"/>
  <c r="J1373" i="1"/>
  <c r="K1373" i="1" s="1"/>
  <c r="L1373" i="1" s="1"/>
  <c r="M1373" i="1" s="1"/>
  <c r="N1373" i="1" s="1"/>
  <c r="O1373" i="1" s="1"/>
  <c r="P1373" i="1" s="1"/>
  <c r="Q1373" i="1" s="1"/>
  <c r="R1373" i="1" s="1"/>
  <c r="S1373" i="1" s="1"/>
  <c r="T1373" i="1" s="1"/>
  <c r="U1373" i="1" s="1"/>
  <c r="G58" i="8" l="1"/>
  <c r="F62" i="8"/>
  <c r="J66" i="8"/>
  <c r="E66" i="8"/>
  <c r="D67" i="8"/>
  <c r="C69" i="8"/>
  <c r="G71" i="8"/>
  <c r="F73" i="8"/>
  <c r="J78" i="8"/>
  <c r="E78" i="8"/>
  <c r="D80" i="8"/>
  <c r="C81" i="8"/>
  <c r="G84" i="8"/>
  <c r="K82" i="8"/>
  <c r="C82" i="8"/>
  <c r="C58" i="8"/>
  <c r="G61" i="8"/>
  <c r="F66" i="8"/>
  <c r="J67" i="8"/>
  <c r="E67" i="8"/>
  <c r="D69" i="8"/>
  <c r="C71" i="8"/>
  <c r="G72" i="8"/>
  <c r="F78" i="8"/>
  <c r="J80" i="8"/>
  <c r="E80" i="8"/>
  <c r="D81" i="8"/>
  <c r="C84" i="8"/>
  <c r="J82" i="8"/>
  <c r="E82" i="8"/>
  <c r="D58" i="8"/>
  <c r="C61" i="8"/>
  <c r="G62" i="8"/>
  <c r="F67" i="8"/>
  <c r="J69" i="8"/>
  <c r="E69" i="8"/>
  <c r="D71" i="8"/>
  <c r="C72" i="8"/>
  <c r="G73" i="8"/>
  <c r="F80" i="8"/>
  <c r="J81" i="8"/>
  <c r="E81" i="8"/>
  <c r="D84" i="8"/>
  <c r="D82" i="8"/>
  <c r="J58" i="8"/>
  <c r="E58" i="8"/>
  <c r="D61" i="8"/>
  <c r="C62" i="8"/>
  <c r="G66" i="8"/>
  <c r="F69" i="8"/>
  <c r="J71" i="8"/>
  <c r="E71" i="8"/>
  <c r="D72" i="8"/>
  <c r="C73" i="8"/>
  <c r="G78" i="8"/>
  <c r="F81" i="8"/>
  <c r="J84" i="8"/>
  <c r="E84" i="8"/>
  <c r="F82" i="8"/>
  <c r="I82" i="8"/>
  <c r="G82" i="8"/>
  <c r="F58" i="8"/>
  <c r="J61" i="8"/>
  <c r="E61" i="8"/>
  <c r="D62" i="8"/>
  <c r="C66" i="8"/>
  <c r="G67" i="8"/>
  <c r="F71" i="8"/>
  <c r="J72" i="8"/>
  <c r="E72" i="8"/>
  <c r="D73" i="8"/>
  <c r="C78" i="8"/>
  <c r="G80" i="8"/>
  <c r="F84" i="8"/>
  <c r="M82" i="8"/>
  <c r="H82" i="8"/>
  <c r="F61" i="8"/>
  <c r="J62" i="8"/>
  <c r="E62" i="8"/>
  <c r="D66" i="8"/>
  <c r="C67" i="8"/>
  <c r="G69" i="8"/>
  <c r="F72" i="8"/>
  <c r="J73" i="8"/>
  <c r="E73" i="8"/>
  <c r="D78" i="8"/>
  <c r="C80" i="8"/>
  <c r="G81" i="8"/>
  <c r="L82" i="8"/>
  <c r="C76" i="8"/>
  <c r="S1975" i="1"/>
  <c r="S2614" i="1"/>
  <c r="S3245" i="1"/>
  <c r="S2111" i="1"/>
  <c r="T2111" i="1"/>
  <c r="S2163" i="1"/>
  <c r="T2163" i="1"/>
  <c r="S2718" i="1"/>
  <c r="S2350" i="1"/>
  <c r="T2350" i="1"/>
  <c r="S2959" i="1"/>
  <c r="S2402" i="1"/>
  <c r="T2402" i="1"/>
  <c r="S3061" i="1"/>
  <c r="S3065" i="1" s="1"/>
  <c r="T3065" i="1"/>
  <c r="S2666" i="1"/>
  <c r="S1420" i="1"/>
  <c r="T1420" i="1"/>
  <c r="S1613" i="1"/>
  <c r="T1613" i="1"/>
  <c r="S2508" i="1"/>
  <c r="T2508" i="1"/>
  <c r="S3117" i="1"/>
  <c r="T3106" i="1"/>
  <c r="M2865" i="1"/>
  <c r="O2865" i="1"/>
  <c r="J2865" i="1"/>
  <c r="L2865" i="1"/>
  <c r="N2865" i="1"/>
  <c r="K2865" i="1"/>
  <c r="Q2338" i="1"/>
  <c r="R2338" i="1" s="1"/>
  <c r="R2346" i="1" s="1"/>
  <c r="R2350" i="1" s="1"/>
  <c r="Q1963" i="1"/>
  <c r="R1963" i="1" s="1"/>
  <c r="R1971" i="1" s="1"/>
  <c r="R1975" i="1" s="1"/>
  <c r="Q2390" i="1"/>
  <c r="R2390" i="1" s="1"/>
  <c r="R2398" i="1" s="1"/>
  <c r="R2402" i="1" s="1"/>
  <c r="Q2706" i="1"/>
  <c r="R2706" i="1" s="1"/>
  <c r="R2714" i="1" s="1"/>
  <c r="R2718" i="1" s="1"/>
  <c r="Q3233" i="1"/>
  <c r="R3233" i="1" s="1"/>
  <c r="R3241" i="1" s="1"/>
  <c r="R3245" i="1" s="1"/>
  <c r="Q2654" i="1"/>
  <c r="R2654" i="1" s="1"/>
  <c r="R2662" i="1" s="1"/>
  <c r="R2666" i="1" s="1"/>
  <c r="Q3105" i="1"/>
  <c r="R3105" i="1" s="1"/>
  <c r="R3113" i="1" s="1"/>
  <c r="R3117" i="1" s="1"/>
  <c r="Q2496" i="1"/>
  <c r="Q2504" i="1" s="1"/>
  <c r="Q2508" i="1" s="1"/>
  <c r="Q2947" i="1"/>
  <c r="R2947" i="1" s="1"/>
  <c r="R2955" i="1" s="1"/>
  <c r="R2959" i="1" s="1"/>
  <c r="Q1601" i="1"/>
  <c r="R1601" i="1" s="1"/>
  <c r="R1609" i="1" s="1"/>
  <c r="R1613" i="1" s="1"/>
  <c r="Q2099" i="1"/>
  <c r="R2099" i="1" s="1"/>
  <c r="R2107" i="1" s="1"/>
  <c r="R2111" i="1" s="1"/>
  <c r="Q1408" i="1"/>
  <c r="R1408" i="1" s="1"/>
  <c r="R1416" i="1" s="1"/>
  <c r="R1420" i="1" s="1"/>
  <c r="Q2151" i="1"/>
  <c r="R2151" i="1" s="1"/>
  <c r="R2159" i="1" s="1"/>
  <c r="R2163" i="1" s="1"/>
  <c r="Q2602" i="1"/>
  <c r="R2602" i="1" s="1"/>
  <c r="R2610" i="1" s="1"/>
  <c r="R2614" i="1" s="1"/>
  <c r="Q3053" i="1"/>
  <c r="R3053" i="1" s="1"/>
  <c r="R3061" i="1" s="1"/>
  <c r="R3065" i="1" s="1"/>
  <c r="O3113" i="1"/>
  <c r="O3117" i="1" s="1"/>
  <c r="O2504" i="1"/>
  <c r="O2508" i="1" s="1"/>
  <c r="N2955" i="1"/>
  <c r="N2959" i="1" s="1"/>
  <c r="O2610" i="1"/>
  <c r="O2614" i="1" s="1"/>
  <c r="N3241" i="1"/>
  <c r="N3245" i="1" s="1"/>
  <c r="O2662" i="1"/>
  <c r="O2666" i="1" s="1"/>
  <c r="N3113" i="1"/>
  <c r="N3117" i="1" s="1"/>
  <c r="N2504" i="1"/>
  <c r="N2508" i="1" s="1"/>
  <c r="O1971" i="1"/>
  <c r="O1975" i="1" s="1"/>
  <c r="O2346" i="1"/>
  <c r="O2350" i="1" s="1"/>
  <c r="N2714" i="1"/>
  <c r="N2718" i="1" s="1"/>
  <c r="O2955" i="1"/>
  <c r="O2959" i="1" s="1"/>
  <c r="N3061" i="1"/>
  <c r="N3065" i="1" s="1"/>
  <c r="N2610" i="1"/>
  <c r="N2614" i="1" s="1"/>
  <c r="N2662" i="1"/>
  <c r="N2666" i="1" s="1"/>
  <c r="O2714" i="1"/>
  <c r="O2718" i="1" s="1"/>
  <c r="O3061" i="1"/>
  <c r="O3065" i="1" s="1"/>
  <c r="O3241" i="1"/>
  <c r="O3245" i="1" s="1"/>
  <c r="O2398" i="1"/>
  <c r="O2402" i="1" s="1"/>
  <c r="O2159" i="1"/>
  <c r="O2163" i="1" s="1"/>
  <c r="N2107" i="1"/>
  <c r="N2111" i="1" s="1"/>
  <c r="N2346" i="1"/>
  <c r="N2350" i="1" s="1"/>
  <c r="N2398" i="1"/>
  <c r="N2402" i="1" s="1"/>
  <c r="O2107" i="1"/>
  <c r="O2111" i="1" s="1"/>
  <c r="N1971" i="1"/>
  <c r="N1975" i="1" s="1"/>
  <c r="N2159" i="1"/>
  <c r="N2163" i="1" s="1"/>
  <c r="N1609" i="1"/>
  <c r="N1613" i="1" s="1"/>
  <c r="O1609" i="1"/>
  <c r="O1613" i="1" s="1"/>
  <c r="N1416" i="1"/>
  <c r="N1420" i="1" s="1"/>
  <c r="O1416" i="1"/>
  <c r="O1420" i="1" s="1"/>
  <c r="T2718" i="1" l="1"/>
  <c r="N73" i="8" s="1"/>
  <c r="T2959" i="1"/>
  <c r="N78" i="8" s="1"/>
  <c r="U2959" i="1"/>
  <c r="O78" i="8" s="1"/>
  <c r="T3117" i="1"/>
  <c r="N81" i="8" s="1"/>
  <c r="U3106" i="1"/>
  <c r="T2666" i="1"/>
  <c r="N72" i="8" s="1"/>
  <c r="T3245" i="1"/>
  <c r="N84" i="8" s="1"/>
  <c r="U3245" i="1"/>
  <c r="O84" i="8" s="1"/>
  <c r="T2614" i="1"/>
  <c r="N71" i="8" s="1"/>
  <c r="T1975" i="1"/>
  <c r="N58" i="8" s="1"/>
  <c r="U1975" i="1"/>
  <c r="O58" i="8" s="1"/>
  <c r="R2496" i="1"/>
  <c r="R2504" i="1" s="1"/>
  <c r="R2508" i="1" s="1"/>
  <c r="L69" i="8" s="1"/>
  <c r="I61" i="8"/>
  <c r="I67" i="8"/>
  <c r="H71" i="8"/>
  <c r="H69" i="8"/>
  <c r="I69" i="8"/>
  <c r="L61" i="8"/>
  <c r="L84" i="8"/>
  <c r="H76" i="8"/>
  <c r="M81" i="8"/>
  <c r="M67" i="8"/>
  <c r="M73" i="8"/>
  <c r="M84" i="8"/>
  <c r="H81" i="8"/>
  <c r="H58" i="8"/>
  <c r="H72" i="8"/>
  <c r="H78" i="8"/>
  <c r="H66" i="8"/>
  <c r="I84" i="8"/>
  <c r="I78" i="8"/>
  <c r="I72" i="8"/>
  <c r="L80" i="8"/>
  <c r="L78" i="8"/>
  <c r="L67" i="8"/>
  <c r="D76" i="8"/>
  <c r="M72" i="8"/>
  <c r="M78" i="8"/>
  <c r="M62" i="8"/>
  <c r="M71" i="8"/>
  <c r="I58" i="8"/>
  <c r="L72" i="8"/>
  <c r="E76" i="8"/>
  <c r="N67" i="8"/>
  <c r="H67" i="8"/>
  <c r="M69" i="8"/>
  <c r="H80" i="8"/>
  <c r="I81" i="8"/>
  <c r="L73" i="8"/>
  <c r="F76" i="8"/>
  <c r="N69" i="8"/>
  <c r="N62" i="8"/>
  <c r="H61" i="8"/>
  <c r="H73" i="8"/>
  <c r="L71" i="8"/>
  <c r="L58" i="8"/>
  <c r="I76" i="8"/>
  <c r="N66" i="8"/>
  <c r="I80" i="8"/>
  <c r="H84" i="8"/>
  <c r="K69" i="8"/>
  <c r="N80" i="8"/>
  <c r="N61" i="8"/>
  <c r="H62" i="8"/>
  <c r="I62" i="8"/>
  <c r="I73" i="8"/>
  <c r="I66" i="8"/>
  <c r="I71" i="8"/>
  <c r="L62" i="8"/>
  <c r="L81" i="8"/>
  <c r="L66" i="8"/>
  <c r="G76" i="8"/>
  <c r="M80" i="8"/>
  <c r="M66" i="8"/>
  <c r="M61" i="8"/>
  <c r="M58" i="8"/>
  <c r="Q2159" i="1"/>
  <c r="Q2163" i="1" s="1"/>
  <c r="Q1416" i="1"/>
  <c r="Q1420" i="1" s="1"/>
  <c r="Q1609" i="1"/>
  <c r="Q1613" i="1" s="1"/>
  <c r="Q2662" i="1"/>
  <c r="Q2666" i="1" s="1"/>
  <c r="Q1971" i="1"/>
  <c r="Q1975" i="1" s="1"/>
  <c r="Q2714" i="1"/>
  <c r="Q2718" i="1" s="1"/>
  <c r="Q2610" i="1"/>
  <c r="Q2614" i="1" s="1"/>
  <c r="Q2955" i="1"/>
  <c r="Q2959" i="1" s="1"/>
  <c r="Q3241" i="1"/>
  <c r="Q3245" i="1" s="1"/>
  <c r="Q2346" i="1"/>
  <c r="Q2350" i="1" s="1"/>
  <c r="Q3061" i="1"/>
  <c r="Q3065" i="1" s="1"/>
  <c r="Q2107" i="1"/>
  <c r="Q2111" i="1" s="1"/>
  <c r="Q2398" i="1"/>
  <c r="Q2402" i="1" s="1"/>
  <c r="Q3113" i="1"/>
  <c r="Q3117" i="1" s="1"/>
  <c r="L1176" i="1"/>
  <c r="L1180" i="1" s="1"/>
  <c r="K1176" i="1"/>
  <c r="K1180" i="1" s="1"/>
  <c r="J1176" i="1"/>
  <c r="J1180" i="1" s="1"/>
  <c r="I1176" i="1"/>
  <c r="I1180" i="1" s="1"/>
  <c r="R1167" i="1"/>
  <c r="Q1165" i="1"/>
  <c r="O1163" i="1"/>
  <c r="P1163" i="1" s="1"/>
  <c r="P1176" i="1" s="1"/>
  <c r="P1180" i="1" s="1"/>
  <c r="N1161" i="1"/>
  <c r="O1161" i="1" s="1"/>
  <c r="N1159" i="1"/>
  <c r="L1157" i="1"/>
  <c r="M1157" i="1" s="1"/>
  <c r="M1176" i="1" s="1"/>
  <c r="M1180" i="1" s="1"/>
  <c r="K1156" i="1"/>
  <c r="K1155" i="1"/>
  <c r="L1155" i="1" s="1"/>
  <c r="J1154" i="1"/>
  <c r="J1153" i="1"/>
  <c r="K1153" i="1" s="1"/>
  <c r="I1152" i="1"/>
  <c r="J1151" i="1"/>
  <c r="I1150" i="1"/>
  <c r="J1150" i="1" s="1"/>
  <c r="K1150" i="1" s="1"/>
  <c r="L1150" i="1" s="1"/>
  <c r="M1150" i="1" s="1"/>
  <c r="N1150" i="1" s="1"/>
  <c r="O1150" i="1" s="1"/>
  <c r="P1150" i="1" s="1"/>
  <c r="Q1150" i="1" s="1"/>
  <c r="R1150" i="1" s="1"/>
  <c r="S1150" i="1" s="1"/>
  <c r="T1150" i="1" s="1"/>
  <c r="U1150" i="1" s="1"/>
  <c r="J1144" i="1"/>
  <c r="K1144" i="1" s="1"/>
  <c r="L1144" i="1" s="1"/>
  <c r="M1144" i="1" s="1"/>
  <c r="N1144" i="1" s="1"/>
  <c r="O1144" i="1" s="1"/>
  <c r="P1144" i="1" s="1"/>
  <c r="Q1144" i="1" s="1"/>
  <c r="R1144" i="1" s="1"/>
  <c r="S1144" i="1" s="1"/>
  <c r="T1144" i="1" s="1"/>
  <c r="U1144" i="1" s="1"/>
  <c r="J1139" i="1"/>
  <c r="K1139" i="1" s="1"/>
  <c r="L1139" i="1" s="1"/>
  <c r="M1139" i="1" s="1"/>
  <c r="N1139" i="1" s="1"/>
  <c r="O1139" i="1" s="1"/>
  <c r="P1139" i="1" s="1"/>
  <c r="Q1139" i="1" s="1"/>
  <c r="R1139" i="1" s="1"/>
  <c r="S1139" i="1" s="1"/>
  <c r="T1139" i="1" s="1"/>
  <c r="U1139" i="1" s="1"/>
  <c r="S1137" i="1"/>
  <c r="R1137" i="1"/>
  <c r="Q1137" i="1"/>
  <c r="G1134" i="1"/>
  <c r="J1133" i="1"/>
  <c r="K1133" i="1" s="1"/>
  <c r="L1133" i="1" s="1"/>
  <c r="M1133" i="1" s="1"/>
  <c r="N1133" i="1" s="1"/>
  <c r="O1133" i="1" s="1"/>
  <c r="P1133" i="1" s="1"/>
  <c r="Q1133" i="1" s="1"/>
  <c r="R1133" i="1" s="1"/>
  <c r="S1133" i="1" s="1"/>
  <c r="T1133" i="1" s="1"/>
  <c r="U1133" i="1" s="1"/>
  <c r="L1070" i="1"/>
  <c r="L1074" i="1" s="1"/>
  <c r="K1070" i="1"/>
  <c r="K1074" i="1" s="1"/>
  <c r="J1070" i="1"/>
  <c r="J1074" i="1" s="1"/>
  <c r="I1070" i="1"/>
  <c r="I1074" i="1" s="1"/>
  <c r="R1061" i="1"/>
  <c r="Q1059" i="1"/>
  <c r="O1057" i="1"/>
  <c r="P1057" i="1" s="1"/>
  <c r="P1070" i="1" s="1"/>
  <c r="P1074" i="1" s="1"/>
  <c r="N1055" i="1"/>
  <c r="O1055" i="1" s="1"/>
  <c r="N1053" i="1"/>
  <c r="L1051" i="1"/>
  <c r="M1051" i="1" s="1"/>
  <c r="M1070" i="1" s="1"/>
  <c r="M1074" i="1" s="1"/>
  <c r="K1050" i="1"/>
  <c r="K1049" i="1"/>
  <c r="L1049" i="1" s="1"/>
  <c r="J1048" i="1"/>
  <c r="J1047" i="1"/>
  <c r="K1047" i="1" s="1"/>
  <c r="I1046" i="1"/>
  <c r="J1045" i="1"/>
  <c r="I1044" i="1"/>
  <c r="J1044" i="1" s="1"/>
  <c r="K1044" i="1" s="1"/>
  <c r="L1044" i="1" s="1"/>
  <c r="M1044" i="1" s="1"/>
  <c r="N1044" i="1" s="1"/>
  <c r="O1044" i="1" s="1"/>
  <c r="P1044" i="1" s="1"/>
  <c r="Q1044" i="1" s="1"/>
  <c r="R1044" i="1" s="1"/>
  <c r="S1044" i="1" s="1"/>
  <c r="T1044" i="1" s="1"/>
  <c r="U1044" i="1" s="1"/>
  <c r="J1038" i="1"/>
  <c r="K1038" i="1" s="1"/>
  <c r="L1038" i="1" s="1"/>
  <c r="M1038" i="1" s="1"/>
  <c r="N1038" i="1" s="1"/>
  <c r="O1038" i="1" s="1"/>
  <c r="P1038" i="1" s="1"/>
  <c r="Q1038" i="1" s="1"/>
  <c r="R1038" i="1" s="1"/>
  <c r="S1038" i="1" s="1"/>
  <c r="T1038" i="1" s="1"/>
  <c r="U1038" i="1" s="1"/>
  <c r="J1033" i="1"/>
  <c r="K1033" i="1" s="1"/>
  <c r="L1033" i="1" s="1"/>
  <c r="M1033" i="1" s="1"/>
  <c r="N1033" i="1" s="1"/>
  <c r="O1033" i="1" s="1"/>
  <c r="P1033" i="1" s="1"/>
  <c r="Q1033" i="1" s="1"/>
  <c r="R1033" i="1" s="1"/>
  <c r="S1033" i="1" s="1"/>
  <c r="T1033" i="1" s="1"/>
  <c r="U1033" i="1" s="1"/>
  <c r="S1031" i="1"/>
  <c r="Q1031" i="1"/>
  <c r="R1031" i="1"/>
  <c r="G1028" i="1"/>
  <c r="J1027" i="1"/>
  <c r="K1027" i="1" s="1"/>
  <c r="L1027" i="1" s="1"/>
  <c r="M1027" i="1" s="1"/>
  <c r="N1027" i="1" s="1"/>
  <c r="O1027" i="1" s="1"/>
  <c r="P1027" i="1" s="1"/>
  <c r="Q1027" i="1" s="1"/>
  <c r="R1027" i="1" s="1"/>
  <c r="S1027" i="1" s="1"/>
  <c r="T1027" i="1" s="1"/>
  <c r="U1027" i="1" s="1"/>
  <c r="K61" i="8" l="1"/>
  <c r="K73" i="8"/>
  <c r="K80" i="8"/>
  <c r="K58" i="8"/>
  <c r="K66" i="8"/>
  <c r="K72" i="8"/>
  <c r="K84" i="8"/>
  <c r="K81" i="8"/>
  <c r="K78" i="8"/>
  <c r="K67" i="8"/>
  <c r="K71" i="8"/>
  <c r="K62" i="8"/>
  <c r="S1180" i="1"/>
  <c r="T1180" i="1"/>
  <c r="S1074" i="1"/>
  <c r="Q1168" i="1"/>
  <c r="R1168" i="1" s="1"/>
  <c r="R1176" i="1" s="1"/>
  <c r="R1180" i="1" s="1"/>
  <c r="N1176" i="1"/>
  <c r="N1180" i="1" s="1"/>
  <c r="N1070" i="1"/>
  <c r="N1074" i="1" s="1"/>
  <c r="O1070" i="1"/>
  <c r="O1074" i="1" s="1"/>
  <c r="O1176" i="1"/>
  <c r="O1180" i="1" s="1"/>
  <c r="Q1062" i="1"/>
  <c r="T1074" i="1" l="1"/>
  <c r="U1074" i="1"/>
  <c r="Q1176" i="1"/>
  <c r="Q1180" i="1" s="1"/>
  <c r="Q1070" i="1"/>
  <c r="Q1074" i="1" s="1"/>
  <c r="R1062" i="1"/>
  <c r="R1070" i="1" s="1"/>
  <c r="R1074" i="1" s="1"/>
  <c r="P790" i="1" l="1"/>
  <c r="O790" i="1"/>
  <c r="N790" i="1"/>
  <c r="M790" i="1"/>
  <c r="J829" i="1"/>
  <c r="I829" i="1"/>
  <c r="R829" i="1"/>
  <c r="S822" i="1"/>
  <c r="S829" i="1" s="1"/>
  <c r="R820" i="1"/>
  <c r="Q818" i="1"/>
  <c r="Q829" i="1" s="1"/>
  <c r="P816" i="1"/>
  <c r="P829" i="1" s="1"/>
  <c r="O814" i="1"/>
  <c r="O829" i="1" s="1"/>
  <c r="M810" i="1"/>
  <c r="K809" i="1"/>
  <c r="J807" i="1"/>
  <c r="I805" i="1"/>
  <c r="I803" i="1"/>
  <c r="J803" i="1" s="1"/>
  <c r="K803" i="1" s="1"/>
  <c r="L803" i="1" s="1"/>
  <c r="M803" i="1" s="1"/>
  <c r="N803" i="1" s="1"/>
  <c r="O803" i="1" s="1"/>
  <c r="P803" i="1" s="1"/>
  <c r="Q803" i="1" s="1"/>
  <c r="R803" i="1" s="1"/>
  <c r="S803" i="1" s="1"/>
  <c r="T803" i="1" s="1"/>
  <c r="U803" i="1" s="1"/>
  <c r="P801" i="1"/>
  <c r="O801" i="1"/>
  <c r="N801" i="1"/>
  <c r="M801" i="1"/>
  <c r="L801" i="1"/>
  <c r="K801" i="1"/>
  <c r="J801" i="1"/>
  <c r="I801" i="1"/>
  <c r="I797" i="1"/>
  <c r="J797" i="1" s="1"/>
  <c r="K797" i="1" s="1"/>
  <c r="L797" i="1" s="1"/>
  <c r="M797" i="1" s="1"/>
  <c r="N797" i="1" s="1"/>
  <c r="O797" i="1" s="1"/>
  <c r="P797" i="1" s="1"/>
  <c r="Q797" i="1" s="1"/>
  <c r="R797" i="1" s="1"/>
  <c r="S797" i="1" s="1"/>
  <c r="T797" i="1" s="1"/>
  <c r="U797" i="1" s="1"/>
  <c r="I792" i="1"/>
  <c r="J792" i="1" s="1"/>
  <c r="K792" i="1" s="1"/>
  <c r="L792" i="1" s="1"/>
  <c r="M792" i="1" s="1"/>
  <c r="N792" i="1" s="1"/>
  <c r="O792" i="1" s="1"/>
  <c r="P792" i="1" s="1"/>
  <c r="Q792" i="1" s="1"/>
  <c r="R792" i="1" s="1"/>
  <c r="S792" i="1" s="1"/>
  <c r="T792" i="1" s="1"/>
  <c r="U792" i="1" s="1"/>
  <c r="L790" i="1"/>
  <c r="K790" i="1"/>
  <c r="J790" i="1"/>
  <c r="I790" i="1"/>
  <c r="R790" i="1"/>
  <c r="Q790" i="1"/>
  <c r="G787" i="1"/>
  <c r="I786" i="1"/>
  <c r="J786" i="1" s="1"/>
  <c r="K786" i="1" s="1"/>
  <c r="L786" i="1" s="1"/>
  <c r="M786" i="1" s="1"/>
  <c r="N786" i="1" s="1"/>
  <c r="O786" i="1" s="1"/>
  <c r="P786" i="1" s="1"/>
  <c r="Q786" i="1" s="1"/>
  <c r="R786" i="1" s="1"/>
  <c r="S786" i="1" s="1"/>
  <c r="T786" i="1" s="1"/>
  <c r="U786" i="1" s="1"/>
  <c r="N642" i="1"/>
  <c r="M642" i="1"/>
  <c r="L642" i="1"/>
  <c r="K642" i="1"/>
  <c r="J642" i="1"/>
  <c r="I642" i="1"/>
  <c r="N623" i="1"/>
  <c r="O623" i="1" s="1"/>
  <c r="N621" i="1"/>
  <c r="L619" i="1"/>
  <c r="M619" i="1" s="1"/>
  <c r="N619" i="1" s="1"/>
  <c r="K618" i="1"/>
  <c r="K617" i="1"/>
  <c r="L617" i="1" s="1"/>
  <c r="J616" i="1"/>
  <c r="J615" i="1"/>
  <c r="K615" i="1" s="1"/>
  <c r="I614" i="1"/>
  <c r="J613" i="1"/>
  <c r="I612" i="1"/>
  <c r="J612" i="1" s="1"/>
  <c r="K612" i="1" s="1"/>
  <c r="L612" i="1" s="1"/>
  <c r="M612" i="1" s="1"/>
  <c r="N612" i="1" s="1"/>
  <c r="O612" i="1" s="1"/>
  <c r="P612" i="1" s="1"/>
  <c r="Q612" i="1" s="1"/>
  <c r="R612" i="1" s="1"/>
  <c r="S612" i="1" s="1"/>
  <c r="T612" i="1" s="1"/>
  <c r="U612" i="1" s="1"/>
  <c r="J606" i="1"/>
  <c r="K606" i="1" s="1"/>
  <c r="L606" i="1" s="1"/>
  <c r="M606" i="1" s="1"/>
  <c r="N606" i="1" s="1"/>
  <c r="O606" i="1" s="1"/>
  <c r="P606" i="1" s="1"/>
  <c r="Q606" i="1" s="1"/>
  <c r="R606" i="1" s="1"/>
  <c r="S606" i="1" s="1"/>
  <c r="T606" i="1" s="1"/>
  <c r="U606" i="1" s="1"/>
  <c r="J601" i="1"/>
  <c r="K601" i="1" s="1"/>
  <c r="L601" i="1" s="1"/>
  <c r="M601" i="1" s="1"/>
  <c r="N601" i="1" s="1"/>
  <c r="O601" i="1" s="1"/>
  <c r="P601" i="1" s="1"/>
  <c r="Q601" i="1" s="1"/>
  <c r="R601" i="1" s="1"/>
  <c r="S601" i="1" s="1"/>
  <c r="T601" i="1" s="1"/>
  <c r="U601" i="1" s="1"/>
  <c r="R599" i="1"/>
  <c r="Q599" i="1"/>
  <c r="P599" i="1"/>
  <c r="O599" i="1"/>
  <c r="G596" i="1"/>
  <c r="J595" i="1"/>
  <c r="K595" i="1" s="1"/>
  <c r="L595" i="1" s="1"/>
  <c r="M595" i="1" s="1"/>
  <c r="N595" i="1" s="1"/>
  <c r="O595" i="1" s="1"/>
  <c r="P595" i="1" s="1"/>
  <c r="Q595" i="1" s="1"/>
  <c r="R595" i="1" s="1"/>
  <c r="S595" i="1" s="1"/>
  <c r="T595" i="1" s="1"/>
  <c r="U595" i="1" s="1"/>
  <c r="N590" i="1"/>
  <c r="M590" i="1"/>
  <c r="L590" i="1"/>
  <c r="K590" i="1"/>
  <c r="J590" i="1"/>
  <c r="I590" i="1"/>
  <c r="S579" i="1"/>
  <c r="S586" i="1" s="1"/>
  <c r="N571" i="1"/>
  <c r="O571" i="1" s="1"/>
  <c r="N569" i="1"/>
  <c r="L567" i="1"/>
  <c r="M567" i="1" s="1"/>
  <c r="N567" i="1" s="1"/>
  <c r="K566" i="1"/>
  <c r="K565" i="1"/>
  <c r="L565" i="1" s="1"/>
  <c r="J564" i="1"/>
  <c r="J563" i="1"/>
  <c r="K563" i="1" s="1"/>
  <c r="I562" i="1"/>
  <c r="J561" i="1"/>
  <c r="I560" i="1"/>
  <c r="J560" i="1" s="1"/>
  <c r="K560" i="1" s="1"/>
  <c r="L560" i="1" s="1"/>
  <c r="M560" i="1" s="1"/>
  <c r="N560" i="1" s="1"/>
  <c r="O560" i="1" s="1"/>
  <c r="P560" i="1" s="1"/>
  <c r="Q560" i="1" s="1"/>
  <c r="R560" i="1" s="1"/>
  <c r="S560" i="1" s="1"/>
  <c r="T560" i="1" s="1"/>
  <c r="U560" i="1" s="1"/>
  <c r="J554" i="1"/>
  <c r="K554" i="1" s="1"/>
  <c r="L554" i="1" s="1"/>
  <c r="M554" i="1" s="1"/>
  <c r="N554" i="1" s="1"/>
  <c r="O554" i="1" s="1"/>
  <c r="P554" i="1" s="1"/>
  <c r="Q554" i="1" s="1"/>
  <c r="R554" i="1" s="1"/>
  <c r="S554" i="1" s="1"/>
  <c r="T554" i="1" s="1"/>
  <c r="U554" i="1" s="1"/>
  <c r="J549" i="1"/>
  <c r="K549" i="1" s="1"/>
  <c r="L549" i="1" s="1"/>
  <c r="M549" i="1" s="1"/>
  <c r="N549" i="1" s="1"/>
  <c r="O549" i="1" s="1"/>
  <c r="P549" i="1" s="1"/>
  <c r="Q549" i="1" s="1"/>
  <c r="R549" i="1" s="1"/>
  <c r="S549" i="1" s="1"/>
  <c r="T549" i="1" s="1"/>
  <c r="U549" i="1" s="1"/>
  <c r="R547" i="1"/>
  <c r="Q547" i="1"/>
  <c r="P547" i="1"/>
  <c r="O547" i="1"/>
  <c r="G544" i="1"/>
  <c r="J543" i="1"/>
  <c r="K543" i="1" s="1"/>
  <c r="L543" i="1" s="1"/>
  <c r="M543" i="1" s="1"/>
  <c r="N543" i="1" s="1"/>
  <c r="O543" i="1" s="1"/>
  <c r="P543" i="1" s="1"/>
  <c r="Q543" i="1" s="1"/>
  <c r="R543" i="1" s="1"/>
  <c r="S543" i="1" s="1"/>
  <c r="T543" i="1" s="1"/>
  <c r="U543" i="1" s="1"/>
  <c r="P495" i="1"/>
  <c r="N538" i="1"/>
  <c r="M538" i="1"/>
  <c r="L538" i="1"/>
  <c r="K538" i="1"/>
  <c r="J538" i="1"/>
  <c r="I538" i="1"/>
  <c r="S527" i="1"/>
  <c r="S534" i="1" s="1"/>
  <c r="N519" i="1"/>
  <c r="O519" i="1" s="1"/>
  <c r="N517" i="1"/>
  <c r="L515" i="1"/>
  <c r="M515" i="1" s="1"/>
  <c r="N515" i="1" s="1"/>
  <c r="K514" i="1"/>
  <c r="K513" i="1"/>
  <c r="L513" i="1" s="1"/>
  <c r="J512" i="1"/>
  <c r="J511" i="1"/>
  <c r="K511" i="1" s="1"/>
  <c r="I510" i="1"/>
  <c r="J509" i="1"/>
  <c r="I508" i="1"/>
  <c r="J508" i="1" s="1"/>
  <c r="K508" i="1" s="1"/>
  <c r="L508" i="1" s="1"/>
  <c r="M508" i="1" s="1"/>
  <c r="N508" i="1" s="1"/>
  <c r="O508" i="1" s="1"/>
  <c r="P508" i="1" s="1"/>
  <c r="Q508" i="1" s="1"/>
  <c r="R508" i="1" s="1"/>
  <c r="S508" i="1" s="1"/>
  <c r="T508" i="1" s="1"/>
  <c r="U508" i="1" s="1"/>
  <c r="J502" i="1"/>
  <c r="K502" i="1" s="1"/>
  <c r="L502" i="1" s="1"/>
  <c r="M502" i="1" s="1"/>
  <c r="N502" i="1" s="1"/>
  <c r="O502" i="1" s="1"/>
  <c r="P502" i="1" s="1"/>
  <c r="Q502" i="1" s="1"/>
  <c r="R502" i="1" s="1"/>
  <c r="S502" i="1" s="1"/>
  <c r="T502" i="1" s="1"/>
  <c r="U502" i="1" s="1"/>
  <c r="J497" i="1"/>
  <c r="K497" i="1" s="1"/>
  <c r="L497" i="1" s="1"/>
  <c r="M497" i="1" s="1"/>
  <c r="N497" i="1" s="1"/>
  <c r="O497" i="1" s="1"/>
  <c r="P497" i="1" s="1"/>
  <c r="Q497" i="1" s="1"/>
  <c r="R497" i="1" s="1"/>
  <c r="S497" i="1" s="1"/>
  <c r="T497" i="1" s="1"/>
  <c r="U497" i="1" s="1"/>
  <c r="R495" i="1"/>
  <c r="O495" i="1"/>
  <c r="Q495" i="1"/>
  <c r="G492" i="1"/>
  <c r="J491" i="1"/>
  <c r="K491" i="1" s="1"/>
  <c r="L491" i="1" s="1"/>
  <c r="M491" i="1" s="1"/>
  <c r="N491" i="1" s="1"/>
  <c r="O491" i="1" s="1"/>
  <c r="P491" i="1" s="1"/>
  <c r="Q491" i="1" s="1"/>
  <c r="R491" i="1" s="1"/>
  <c r="S491" i="1" s="1"/>
  <c r="T491" i="1" s="1"/>
  <c r="U491" i="1" s="1"/>
  <c r="O379" i="1"/>
  <c r="N379" i="1"/>
  <c r="M379" i="1"/>
  <c r="L379" i="1"/>
  <c r="K379" i="1"/>
  <c r="J379" i="1"/>
  <c r="I379" i="1"/>
  <c r="R375" i="1"/>
  <c r="P364" i="1"/>
  <c r="Q364" i="1" s="1"/>
  <c r="Q375" i="1" s="1"/>
  <c r="O362" i="1"/>
  <c r="P362" i="1" s="1"/>
  <c r="N360" i="1"/>
  <c r="O360" i="1" s="1"/>
  <c r="N358" i="1"/>
  <c r="L356" i="1"/>
  <c r="M356" i="1" s="1"/>
  <c r="N356" i="1" s="1"/>
  <c r="K355" i="1"/>
  <c r="K354" i="1"/>
  <c r="L354" i="1" s="1"/>
  <c r="J353" i="1"/>
  <c r="J352" i="1"/>
  <c r="K352" i="1" s="1"/>
  <c r="I351" i="1"/>
  <c r="J350" i="1"/>
  <c r="I349" i="1"/>
  <c r="J349" i="1" s="1"/>
  <c r="K349" i="1" s="1"/>
  <c r="L349" i="1" s="1"/>
  <c r="M349" i="1" s="1"/>
  <c r="N349" i="1" s="1"/>
  <c r="O349" i="1" s="1"/>
  <c r="P349" i="1" s="1"/>
  <c r="Q349" i="1" s="1"/>
  <c r="R349" i="1" s="1"/>
  <c r="S349" i="1" s="1"/>
  <c r="T349" i="1" s="1"/>
  <c r="U349" i="1" s="1"/>
  <c r="J343" i="1"/>
  <c r="K343" i="1" s="1"/>
  <c r="L343" i="1" s="1"/>
  <c r="M343" i="1" s="1"/>
  <c r="N343" i="1" s="1"/>
  <c r="O343" i="1" s="1"/>
  <c r="P343" i="1" s="1"/>
  <c r="Q343" i="1" s="1"/>
  <c r="R343" i="1" s="1"/>
  <c r="S343" i="1" s="1"/>
  <c r="T343" i="1" s="1"/>
  <c r="U343" i="1" s="1"/>
  <c r="J338" i="1"/>
  <c r="K338" i="1" s="1"/>
  <c r="L338" i="1" s="1"/>
  <c r="M338" i="1" s="1"/>
  <c r="N338" i="1" s="1"/>
  <c r="O338" i="1" s="1"/>
  <c r="P338" i="1" s="1"/>
  <c r="Q338" i="1" s="1"/>
  <c r="R338" i="1" s="1"/>
  <c r="S338" i="1" s="1"/>
  <c r="T338" i="1" s="1"/>
  <c r="U338" i="1" s="1"/>
  <c r="R336" i="1"/>
  <c r="Q336" i="1"/>
  <c r="G333" i="1"/>
  <c r="J332" i="1"/>
  <c r="K332" i="1" s="1"/>
  <c r="L332" i="1" s="1"/>
  <c r="M332" i="1" s="1"/>
  <c r="N332" i="1" s="1"/>
  <c r="O332" i="1" s="1"/>
  <c r="P332" i="1" s="1"/>
  <c r="Q332" i="1" s="1"/>
  <c r="R332" i="1" s="1"/>
  <c r="O326" i="1"/>
  <c r="N326" i="1"/>
  <c r="M326" i="1"/>
  <c r="L326" i="1"/>
  <c r="K326" i="1"/>
  <c r="J326" i="1"/>
  <c r="I326" i="1"/>
  <c r="R322" i="1"/>
  <c r="P311" i="1"/>
  <c r="Q311" i="1" s="1"/>
  <c r="Q322" i="1" s="1"/>
  <c r="O309" i="1"/>
  <c r="P309" i="1" s="1"/>
  <c r="N307" i="1"/>
  <c r="O307" i="1" s="1"/>
  <c r="N305" i="1"/>
  <c r="L303" i="1"/>
  <c r="M303" i="1" s="1"/>
  <c r="N303" i="1" s="1"/>
  <c r="K302" i="1"/>
  <c r="K301" i="1"/>
  <c r="L301" i="1" s="1"/>
  <c r="J300" i="1"/>
  <c r="J299" i="1"/>
  <c r="K299" i="1" s="1"/>
  <c r="I298" i="1"/>
  <c r="J297" i="1"/>
  <c r="I296" i="1"/>
  <c r="J296" i="1" s="1"/>
  <c r="K296" i="1" s="1"/>
  <c r="L296" i="1" s="1"/>
  <c r="M296" i="1" s="1"/>
  <c r="N296" i="1" s="1"/>
  <c r="O296" i="1" s="1"/>
  <c r="P296" i="1" s="1"/>
  <c r="Q296" i="1" s="1"/>
  <c r="R296" i="1" s="1"/>
  <c r="S296" i="1" s="1"/>
  <c r="T296" i="1" s="1"/>
  <c r="U296" i="1" s="1"/>
  <c r="J290" i="1"/>
  <c r="K290" i="1" s="1"/>
  <c r="L290" i="1" s="1"/>
  <c r="M290" i="1" s="1"/>
  <c r="N290" i="1" s="1"/>
  <c r="O290" i="1" s="1"/>
  <c r="P290" i="1" s="1"/>
  <c r="Q290" i="1" s="1"/>
  <c r="R290" i="1" s="1"/>
  <c r="S290" i="1" s="1"/>
  <c r="T290" i="1" s="1"/>
  <c r="U290" i="1" s="1"/>
  <c r="J285" i="1"/>
  <c r="K285" i="1" s="1"/>
  <c r="L285" i="1" s="1"/>
  <c r="M285" i="1" s="1"/>
  <c r="N285" i="1" s="1"/>
  <c r="O285" i="1" s="1"/>
  <c r="P285" i="1" s="1"/>
  <c r="Q285" i="1" s="1"/>
  <c r="R285" i="1" s="1"/>
  <c r="S285" i="1" s="1"/>
  <c r="T285" i="1" s="1"/>
  <c r="U285" i="1" s="1"/>
  <c r="R283" i="1"/>
  <c r="Q283" i="1"/>
  <c r="G280" i="1"/>
  <c r="J279" i="1"/>
  <c r="K279" i="1" s="1"/>
  <c r="L279" i="1" s="1"/>
  <c r="M279" i="1" s="1"/>
  <c r="N279" i="1" s="1"/>
  <c r="O279" i="1" s="1"/>
  <c r="P279" i="1" s="1"/>
  <c r="Q279" i="1" s="1"/>
  <c r="R279" i="1" s="1"/>
  <c r="S279" i="1" s="1"/>
  <c r="T279" i="1" s="1"/>
  <c r="U279" i="1" s="1"/>
  <c r="S1222" i="1"/>
  <c r="S1229" i="1" s="1"/>
  <c r="Q1221" i="1"/>
  <c r="R1220" i="1"/>
  <c r="P1219" i="1"/>
  <c r="Q1218" i="1"/>
  <c r="Q1229" i="1" s="1"/>
  <c r="O1217" i="1"/>
  <c r="P1216" i="1"/>
  <c r="P1229" i="1" s="1"/>
  <c r="N1215" i="1"/>
  <c r="O1214" i="1"/>
  <c r="O1229" i="1" s="1"/>
  <c r="G1214" i="1"/>
  <c r="M1213" i="1"/>
  <c r="G1213" i="1"/>
  <c r="N1212" i="1"/>
  <c r="N1229" i="1" s="1"/>
  <c r="G1212" i="1"/>
  <c r="L1211" i="1"/>
  <c r="G1211" i="1"/>
  <c r="L1210" i="1"/>
  <c r="M1210" i="1" s="1"/>
  <c r="M1229" i="1" s="1"/>
  <c r="G1210" i="1"/>
  <c r="K1209" i="1"/>
  <c r="G1209" i="1"/>
  <c r="K1208" i="1"/>
  <c r="L1208" i="1" s="1"/>
  <c r="G1208" i="1"/>
  <c r="J1207" i="1"/>
  <c r="G1207" i="1"/>
  <c r="J1206" i="1"/>
  <c r="K1206" i="1" s="1"/>
  <c r="G1206" i="1"/>
  <c r="I1205" i="1"/>
  <c r="G1205" i="1"/>
  <c r="I1204" i="1"/>
  <c r="J1204" i="1" s="1"/>
  <c r="G1204" i="1"/>
  <c r="I1203" i="1"/>
  <c r="J1203" i="1" s="1"/>
  <c r="K1203" i="1" s="1"/>
  <c r="L1203" i="1" s="1"/>
  <c r="M1203" i="1" s="1"/>
  <c r="N1203" i="1" s="1"/>
  <c r="O1203" i="1" s="1"/>
  <c r="P1203" i="1" s="1"/>
  <c r="Q1203" i="1" s="1"/>
  <c r="R1203" i="1" s="1"/>
  <c r="S1203" i="1" s="1"/>
  <c r="T1203" i="1" s="1"/>
  <c r="U1203" i="1" s="1"/>
  <c r="S1201" i="1"/>
  <c r="R1201" i="1"/>
  <c r="Q1201" i="1"/>
  <c r="P1201" i="1"/>
  <c r="O1201" i="1"/>
  <c r="N1201" i="1"/>
  <c r="M1201" i="1"/>
  <c r="L1201" i="1"/>
  <c r="K1201" i="1"/>
  <c r="J1201" i="1"/>
  <c r="I1201" i="1"/>
  <c r="R1190" i="1"/>
  <c r="Q1190" i="1"/>
  <c r="G1187" i="1"/>
  <c r="I1186" i="1"/>
  <c r="J1186" i="1" s="1"/>
  <c r="O273" i="1"/>
  <c r="N273" i="1"/>
  <c r="M273" i="1"/>
  <c r="L273" i="1"/>
  <c r="K273" i="1"/>
  <c r="J273" i="1"/>
  <c r="I273" i="1"/>
  <c r="R269" i="1"/>
  <c r="P258" i="1"/>
  <c r="Q258" i="1" s="1"/>
  <c r="Q269" i="1" s="1"/>
  <c r="O256" i="1"/>
  <c r="P256" i="1" s="1"/>
  <c r="N254" i="1"/>
  <c r="O254" i="1" s="1"/>
  <c r="N252" i="1"/>
  <c r="L250" i="1"/>
  <c r="M250" i="1" s="1"/>
  <c r="N250" i="1" s="1"/>
  <c r="K249" i="1"/>
  <c r="K248" i="1"/>
  <c r="L248" i="1" s="1"/>
  <c r="J247" i="1"/>
  <c r="J246" i="1"/>
  <c r="K246" i="1" s="1"/>
  <c r="I245" i="1"/>
  <c r="J244" i="1"/>
  <c r="I243" i="1"/>
  <c r="J243" i="1" s="1"/>
  <c r="K243" i="1" s="1"/>
  <c r="L243" i="1" s="1"/>
  <c r="M243" i="1" s="1"/>
  <c r="N243" i="1" s="1"/>
  <c r="O243" i="1" s="1"/>
  <c r="P243" i="1" s="1"/>
  <c r="Q243" i="1" s="1"/>
  <c r="R243" i="1" s="1"/>
  <c r="S243" i="1" s="1"/>
  <c r="T243" i="1" s="1"/>
  <c r="U243" i="1" s="1"/>
  <c r="J237" i="1"/>
  <c r="K237" i="1" s="1"/>
  <c r="L237" i="1" s="1"/>
  <c r="M237" i="1" s="1"/>
  <c r="N237" i="1" s="1"/>
  <c r="O237" i="1" s="1"/>
  <c r="P237" i="1" s="1"/>
  <c r="Q237" i="1" s="1"/>
  <c r="R237" i="1" s="1"/>
  <c r="S237" i="1" s="1"/>
  <c r="T237" i="1" s="1"/>
  <c r="U237" i="1" s="1"/>
  <c r="J232" i="1"/>
  <c r="K232" i="1" s="1"/>
  <c r="L232" i="1" s="1"/>
  <c r="M232" i="1" s="1"/>
  <c r="N232" i="1" s="1"/>
  <c r="O232" i="1" s="1"/>
  <c r="P232" i="1" s="1"/>
  <c r="Q232" i="1" s="1"/>
  <c r="R232" i="1" s="1"/>
  <c r="S232" i="1" s="1"/>
  <c r="T232" i="1" s="1"/>
  <c r="U232" i="1" s="1"/>
  <c r="Q230" i="1"/>
  <c r="R230" i="1"/>
  <c r="G227" i="1"/>
  <c r="J226" i="1"/>
  <c r="K226" i="1" s="1"/>
  <c r="L226" i="1" s="1"/>
  <c r="M226" i="1" s="1"/>
  <c r="N226" i="1" s="1"/>
  <c r="O226" i="1" s="1"/>
  <c r="P226" i="1" s="1"/>
  <c r="Q226" i="1" s="1"/>
  <c r="R226" i="1" s="1"/>
  <c r="S226" i="1" s="1"/>
  <c r="T226" i="1" s="1"/>
  <c r="U226" i="1" s="1"/>
  <c r="K1229" i="1" l="1"/>
  <c r="K1233" i="1" s="1"/>
  <c r="S332" i="1"/>
  <c r="T332" i="1" s="1"/>
  <c r="U332" i="1" s="1"/>
  <c r="L1229" i="1"/>
  <c r="L1233" i="1" s="1"/>
  <c r="S590" i="1"/>
  <c r="S538" i="1"/>
  <c r="S833" i="1"/>
  <c r="M812" i="1"/>
  <c r="N812" i="1" s="1"/>
  <c r="N829" i="1" s="1"/>
  <c r="J806" i="1"/>
  <c r="K806" i="1" s="1"/>
  <c r="P523" i="1"/>
  <c r="Q523" i="1" s="1"/>
  <c r="Q534" i="1" s="1"/>
  <c r="Q538" i="1" s="1"/>
  <c r="P575" i="1"/>
  <c r="Q575" i="1" s="1"/>
  <c r="P627" i="1"/>
  <c r="Q627" i="1" s="1"/>
  <c r="Q638" i="1" s="1"/>
  <c r="Q642" i="1" s="1"/>
  <c r="R833" i="1"/>
  <c r="R642" i="1"/>
  <c r="Q833" i="1"/>
  <c r="I804" i="1"/>
  <c r="J804" i="1" s="1"/>
  <c r="K808" i="1"/>
  <c r="L808" i="1" s="1"/>
  <c r="L829" i="1" s="1"/>
  <c r="J1229" i="1"/>
  <c r="R326" i="1"/>
  <c r="P1233" i="1"/>
  <c r="S642" i="1"/>
  <c r="S326" i="1"/>
  <c r="R379" i="1"/>
  <c r="O625" i="1"/>
  <c r="P625" i="1" s="1"/>
  <c r="P375" i="1"/>
  <c r="P379" i="1" s="1"/>
  <c r="R590" i="1"/>
  <c r="O573" i="1"/>
  <c r="P573" i="1" s="1"/>
  <c r="P586" i="1" s="1"/>
  <c r="R538" i="1"/>
  <c r="O521" i="1"/>
  <c r="P322" i="1"/>
  <c r="P326" i="1" s="1"/>
  <c r="S379" i="1"/>
  <c r="M1233" i="1"/>
  <c r="Q1233" i="1"/>
  <c r="S273" i="1"/>
  <c r="Q379" i="1"/>
  <c r="Q326" i="1"/>
  <c r="N1233" i="1"/>
  <c r="P269" i="1"/>
  <c r="P273" i="1" s="1"/>
  <c r="O1233" i="1"/>
  <c r="I1229" i="1"/>
  <c r="R1229" i="1"/>
  <c r="I1192" i="1"/>
  <c r="I1197" i="1"/>
  <c r="R273" i="1"/>
  <c r="K1186" i="1"/>
  <c r="J1192" i="1"/>
  <c r="J1197" i="1"/>
  <c r="Q273" i="1"/>
  <c r="Q586" i="1" l="1"/>
  <c r="Q590" i="1" s="1"/>
  <c r="O586" i="1"/>
  <c r="O590" i="1" s="1"/>
  <c r="P590" i="1"/>
  <c r="M829" i="1"/>
  <c r="P638" i="1"/>
  <c r="P642" i="1" s="1"/>
  <c r="J1233" i="1"/>
  <c r="O638" i="1"/>
  <c r="O642" i="1" s="1"/>
  <c r="O534" i="1"/>
  <c r="O538" i="1" s="1"/>
  <c r="P521" i="1"/>
  <c r="P534" i="1" s="1"/>
  <c r="P538" i="1" s="1"/>
  <c r="I1233" i="1"/>
  <c r="R1233" i="1"/>
  <c r="S1233" i="1"/>
  <c r="K1197" i="1"/>
  <c r="K1192" i="1"/>
  <c r="L1186" i="1"/>
  <c r="R428" i="1"/>
  <c r="T176" i="1" l="1"/>
  <c r="L1197" i="1"/>
  <c r="L1192" i="1"/>
  <c r="M1186" i="1"/>
  <c r="N1186" i="1" l="1"/>
  <c r="M1197" i="1"/>
  <c r="M1192" i="1"/>
  <c r="R3008" i="1"/>
  <c r="R1117" i="1"/>
  <c r="R1123" i="1" s="1"/>
  <c r="S1116" i="1"/>
  <c r="S1123" i="1" s="1"/>
  <c r="R1114" i="1"/>
  <c r="Q1112" i="1"/>
  <c r="R475" i="1"/>
  <c r="R775" i="1"/>
  <c r="S1911" i="1"/>
  <c r="S1918" i="1" s="1"/>
  <c r="S1857" i="1"/>
  <c r="R1855" i="1"/>
  <c r="R1864" i="1" s="1"/>
  <c r="Q1853" i="1"/>
  <c r="S1655" i="1"/>
  <c r="S1662" i="1" s="1"/>
  <c r="R1653" i="1"/>
  <c r="Q1654" i="1"/>
  <c r="Q1651" i="1"/>
  <c r="P1652" i="1"/>
  <c r="P1649" i="1"/>
  <c r="S1276" i="1"/>
  <c r="R1276" i="1"/>
  <c r="Q1276" i="1"/>
  <c r="Q1280" i="1" s="1"/>
  <c r="L1276" i="1"/>
  <c r="L1280" i="1" s="1"/>
  <c r="K1276" i="1"/>
  <c r="K1280" i="1" s="1"/>
  <c r="J1276" i="1"/>
  <c r="J1280" i="1" s="1"/>
  <c r="I1276" i="1"/>
  <c r="I1280" i="1" s="1"/>
  <c r="R1275" i="1"/>
  <c r="Q1273" i="1"/>
  <c r="P1271" i="1"/>
  <c r="Q1271" i="1" s="1"/>
  <c r="P1269" i="1"/>
  <c r="P1276" i="1" s="1"/>
  <c r="P1280" i="1" s="1"/>
  <c r="N1267" i="1"/>
  <c r="O1267" i="1" s="1"/>
  <c r="O1276" i="1" s="1"/>
  <c r="O1280" i="1" s="1"/>
  <c r="N1265" i="1"/>
  <c r="L1263" i="1"/>
  <c r="M1263" i="1" s="1"/>
  <c r="K1262" i="1"/>
  <c r="K1261" i="1"/>
  <c r="L1261" i="1" s="1"/>
  <c r="J1260" i="1"/>
  <c r="J1259" i="1"/>
  <c r="K1259" i="1" s="1"/>
  <c r="I1258" i="1"/>
  <c r="J1257" i="1"/>
  <c r="I1256" i="1"/>
  <c r="J1256" i="1" s="1"/>
  <c r="K1256" i="1" s="1"/>
  <c r="L1256" i="1" s="1"/>
  <c r="M1256" i="1" s="1"/>
  <c r="N1256" i="1" s="1"/>
  <c r="O1256" i="1" s="1"/>
  <c r="P1256" i="1" s="1"/>
  <c r="Q1256" i="1" s="1"/>
  <c r="R1256" i="1" s="1"/>
  <c r="S1256" i="1" s="1"/>
  <c r="T1256" i="1" s="1"/>
  <c r="U1256" i="1" s="1"/>
  <c r="I1250" i="1"/>
  <c r="J1250" i="1" s="1"/>
  <c r="K1250" i="1" s="1"/>
  <c r="L1250" i="1" s="1"/>
  <c r="M1250" i="1" s="1"/>
  <c r="N1250" i="1" s="1"/>
  <c r="O1250" i="1" s="1"/>
  <c r="P1250" i="1" s="1"/>
  <c r="Q1250" i="1" s="1"/>
  <c r="R1250" i="1" s="1"/>
  <c r="S1250" i="1" s="1"/>
  <c r="T1250" i="1" s="1"/>
  <c r="U1250" i="1" s="1"/>
  <c r="I1245" i="1"/>
  <c r="J1245" i="1" s="1"/>
  <c r="K1245" i="1" s="1"/>
  <c r="L1245" i="1" s="1"/>
  <c r="M1245" i="1" s="1"/>
  <c r="N1245" i="1" s="1"/>
  <c r="O1245" i="1" s="1"/>
  <c r="P1245" i="1" s="1"/>
  <c r="Q1245" i="1" s="1"/>
  <c r="R1245" i="1" s="1"/>
  <c r="S1245" i="1" s="1"/>
  <c r="T1245" i="1" s="1"/>
  <c r="U1245" i="1" s="1"/>
  <c r="R1243" i="1"/>
  <c r="G1240" i="1"/>
  <c r="I1239" i="1"/>
  <c r="J1239" i="1" s="1"/>
  <c r="K1239" i="1" s="1"/>
  <c r="L1239" i="1" s="1"/>
  <c r="M1239" i="1" s="1"/>
  <c r="N1239" i="1" s="1"/>
  <c r="O1239" i="1" s="1"/>
  <c r="P1239" i="1" s="1"/>
  <c r="Q1239" i="1" s="1"/>
  <c r="R1239" i="1" s="1"/>
  <c r="S1239" i="1" s="1"/>
  <c r="T1239" i="1" s="1"/>
  <c r="U1239" i="1" s="1"/>
  <c r="R1321" i="1"/>
  <c r="S1321" i="1" s="1"/>
  <c r="T1321" i="1" s="1"/>
  <c r="Q1319" i="1"/>
  <c r="R1319" i="1" s="1"/>
  <c r="P1317" i="1"/>
  <c r="Q1317" i="1" s="1"/>
  <c r="P1315" i="1"/>
  <c r="S969" i="1"/>
  <c r="S976" i="1" s="1"/>
  <c r="R967" i="1"/>
  <c r="T1857" i="1" l="1"/>
  <c r="U1857" i="1" s="1"/>
  <c r="S1864" i="1"/>
  <c r="S1280" i="1"/>
  <c r="R481" i="1"/>
  <c r="R1273" i="1"/>
  <c r="S1275" i="1"/>
  <c r="O1186" i="1"/>
  <c r="N1197" i="1"/>
  <c r="N1192" i="1"/>
  <c r="R1280" i="1"/>
  <c r="N1276" i="1"/>
  <c r="N1280" i="1" s="1"/>
  <c r="M1276" i="1"/>
  <c r="M1280" i="1" s="1"/>
  <c r="N1263" i="1"/>
  <c r="R2285" i="1"/>
  <c r="R2294" i="1" s="1"/>
  <c r="D9" i="6"/>
  <c r="B52" i="6"/>
  <c r="B4" i="6"/>
  <c r="T980" i="1" l="1"/>
  <c r="O1197" i="1"/>
  <c r="O1192" i="1"/>
  <c r="P1186" i="1"/>
  <c r="C20" i="6"/>
  <c r="P1197" i="1" l="1"/>
  <c r="P1192" i="1"/>
  <c r="Q1186" i="1"/>
  <c r="R1289" i="1"/>
  <c r="R1186" i="1" l="1"/>
  <c r="Q1197" i="1"/>
  <c r="Q1192" i="1"/>
  <c r="I1302" i="1"/>
  <c r="J1302" i="1" s="1"/>
  <c r="K1302" i="1" s="1"/>
  <c r="L1302" i="1" s="1"/>
  <c r="M1302" i="1" s="1"/>
  <c r="N1302" i="1" s="1"/>
  <c r="O1302" i="1" s="1"/>
  <c r="P1302" i="1" s="1"/>
  <c r="Q1302" i="1" s="1"/>
  <c r="R1302" i="1" s="1"/>
  <c r="S1302" i="1" s="1"/>
  <c r="T1302" i="1" s="1"/>
  <c r="U1302" i="1" s="1"/>
  <c r="I1296" i="1"/>
  <c r="J1296" i="1" s="1"/>
  <c r="K1296" i="1" s="1"/>
  <c r="L1296" i="1" s="1"/>
  <c r="M1296" i="1" s="1"/>
  <c r="N1296" i="1" s="1"/>
  <c r="O1296" i="1" s="1"/>
  <c r="P1296" i="1" s="1"/>
  <c r="Q1296" i="1" s="1"/>
  <c r="R1296" i="1" s="1"/>
  <c r="S1296" i="1" s="1"/>
  <c r="T1296" i="1" s="1"/>
  <c r="U1296" i="1" s="1"/>
  <c r="I1291" i="1"/>
  <c r="J1291" i="1" s="1"/>
  <c r="K1291" i="1" s="1"/>
  <c r="L1291" i="1" s="1"/>
  <c r="M1291" i="1" s="1"/>
  <c r="N1291" i="1" s="1"/>
  <c r="O1291" i="1" s="1"/>
  <c r="P1291" i="1" s="1"/>
  <c r="Q1291" i="1" s="1"/>
  <c r="R1291" i="1" s="1"/>
  <c r="S1291" i="1" s="1"/>
  <c r="T1291" i="1" s="1"/>
  <c r="U1291" i="1" s="1"/>
  <c r="I1285" i="1"/>
  <c r="J1285" i="1" s="1"/>
  <c r="K1285" i="1" s="1"/>
  <c r="L1285" i="1" s="1"/>
  <c r="M1285" i="1" s="1"/>
  <c r="N1285" i="1" s="1"/>
  <c r="O1285" i="1" s="1"/>
  <c r="P1285" i="1" s="1"/>
  <c r="Q1285" i="1" s="1"/>
  <c r="R1285" i="1" s="1"/>
  <c r="S1285" i="1" s="1"/>
  <c r="T1285" i="1" s="1"/>
  <c r="U1285" i="1" s="1"/>
  <c r="AC65" i="8"/>
  <c r="S1186" i="1" l="1"/>
  <c r="T1186" i="1" s="1"/>
  <c r="U1186" i="1" s="1"/>
  <c r="R1192" i="1"/>
  <c r="R1197" i="1"/>
  <c r="R936" i="1"/>
  <c r="J2262" i="1"/>
  <c r="K2262" i="1" s="1"/>
  <c r="L2262" i="1" s="1"/>
  <c r="M2262" i="1" s="1"/>
  <c r="N2262" i="1" s="1"/>
  <c r="O2262" i="1" s="1"/>
  <c r="P2262" i="1" s="1"/>
  <c r="Q2262" i="1" s="1"/>
  <c r="R2262" i="1" s="1"/>
  <c r="S2262" i="1" s="1"/>
  <c r="T2262" i="1" s="1"/>
  <c r="U2262" i="1" s="1"/>
  <c r="J2257" i="1"/>
  <c r="K2257" i="1" s="1"/>
  <c r="L2257" i="1" s="1"/>
  <c r="M2257" i="1" s="1"/>
  <c r="N2257" i="1" s="1"/>
  <c r="O2257" i="1" s="1"/>
  <c r="P2257" i="1" s="1"/>
  <c r="Q2257" i="1" s="1"/>
  <c r="R2257" i="1" s="1"/>
  <c r="S2257" i="1" s="1"/>
  <c r="T2257" i="1" s="1"/>
  <c r="U2257" i="1" s="1"/>
  <c r="J2251" i="1"/>
  <c r="K2251" i="1" s="1"/>
  <c r="L2251" i="1" s="1"/>
  <c r="M2251" i="1" s="1"/>
  <c r="N2251" i="1" s="1"/>
  <c r="O2251" i="1" s="1"/>
  <c r="P2251" i="1" s="1"/>
  <c r="Q2251" i="1" s="1"/>
  <c r="R2251" i="1" s="1"/>
  <c r="S2251" i="1" s="1"/>
  <c r="T2251" i="1" s="1"/>
  <c r="U2251" i="1" s="1"/>
  <c r="J944" i="1"/>
  <c r="K944" i="1" s="1"/>
  <c r="L944" i="1" s="1"/>
  <c r="M944" i="1" s="1"/>
  <c r="N944" i="1" s="1"/>
  <c r="O944" i="1" s="1"/>
  <c r="P944" i="1" s="1"/>
  <c r="Q944" i="1" s="1"/>
  <c r="R944" i="1" s="1"/>
  <c r="S944" i="1" s="1"/>
  <c r="T944" i="1" s="1"/>
  <c r="U944" i="1" s="1"/>
  <c r="J939" i="1"/>
  <c r="K939" i="1" s="1"/>
  <c r="L939" i="1" s="1"/>
  <c r="M939" i="1" s="1"/>
  <c r="N939" i="1" s="1"/>
  <c r="O939" i="1" s="1"/>
  <c r="P939" i="1" s="1"/>
  <c r="Q939" i="1" s="1"/>
  <c r="R939" i="1" s="1"/>
  <c r="S939" i="1" s="1"/>
  <c r="T939" i="1" s="1"/>
  <c r="U939" i="1" s="1"/>
  <c r="J933" i="1"/>
  <c r="K933" i="1" s="1"/>
  <c r="L933" i="1" s="1"/>
  <c r="M933" i="1" s="1"/>
  <c r="N933" i="1" s="1"/>
  <c r="O933" i="1" s="1"/>
  <c r="P933" i="1" s="1"/>
  <c r="Q933" i="1" s="1"/>
  <c r="R933" i="1" s="1"/>
  <c r="S933" i="1" s="1"/>
  <c r="T933" i="1" s="1"/>
  <c r="U933" i="1" s="1"/>
  <c r="J850" i="1"/>
  <c r="K850" i="1" s="1"/>
  <c r="L850" i="1" s="1"/>
  <c r="M850" i="1" s="1"/>
  <c r="N850" i="1" s="1"/>
  <c r="O850" i="1" s="1"/>
  <c r="P850" i="1" s="1"/>
  <c r="Q850" i="1" s="1"/>
  <c r="R850" i="1" s="1"/>
  <c r="S850" i="1" s="1"/>
  <c r="T850" i="1" s="1"/>
  <c r="U850" i="1" s="1"/>
  <c r="J845" i="1"/>
  <c r="K845" i="1" s="1"/>
  <c r="L845" i="1" s="1"/>
  <c r="M845" i="1" s="1"/>
  <c r="N845" i="1" s="1"/>
  <c r="O845" i="1" s="1"/>
  <c r="P845" i="1" s="1"/>
  <c r="Q845" i="1" s="1"/>
  <c r="R845" i="1" s="1"/>
  <c r="S845" i="1" s="1"/>
  <c r="T845" i="1" s="1"/>
  <c r="U845" i="1" s="1"/>
  <c r="J839" i="1"/>
  <c r="K839" i="1" s="1"/>
  <c r="L839" i="1" s="1"/>
  <c r="M839" i="1" s="1"/>
  <c r="N839" i="1" s="1"/>
  <c r="O839" i="1" s="1"/>
  <c r="P839" i="1" s="1"/>
  <c r="Q839" i="1" s="1"/>
  <c r="R839" i="1" s="1"/>
  <c r="S839" i="1" s="1"/>
  <c r="T839" i="1" s="1"/>
  <c r="U839" i="1" s="1"/>
  <c r="J396" i="1"/>
  <c r="K396" i="1" s="1"/>
  <c r="L396" i="1" s="1"/>
  <c r="M396" i="1" s="1"/>
  <c r="N396" i="1" s="1"/>
  <c r="O396" i="1" s="1"/>
  <c r="P396" i="1" s="1"/>
  <c r="Q396" i="1" s="1"/>
  <c r="R396" i="1" s="1"/>
  <c r="S396" i="1" s="1"/>
  <c r="T396" i="1" s="1"/>
  <c r="U396" i="1" s="1"/>
  <c r="J391" i="1"/>
  <c r="K391" i="1" s="1"/>
  <c r="L391" i="1" s="1"/>
  <c r="M391" i="1" s="1"/>
  <c r="N391" i="1" s="1"/>
  <c r="O391" i="1" s="1"/>
  <c r="P391" i="1" s="1"/>
  <c r="Q391" i="1" s="1"/>
  <c r="R391" i="1" s="1"/>
  <c r="S391" i="1" s="1"/>
  <c r="T391" i="1" s="1"/>
  <c r="U391" i="1" s="1"/>
  <c r="J385" i="1"/>
  <c r="K385" i="1" s="1"/>
  <c r="L385" i="1" s="1"/>
  <c r="M385" i="1" s="1"/>
  <c r="N385" i="1" s="1"/>
  <c r="O385" i="1" s="1"/>
  <c r="P385" i="1" s="1"/>
  <c r="Q385" i="1" s="1"/>
  <c r="R385" i="1" s="1"/>
  <c r="S385" i="1" s="1"/>
  <c r="T385" i="1" s="1"/>
  <c r="U385" i="1" s="1"/>
  <c r="J140" i="1"/>
  <c r="K140" i="1" s="1"/>
  <c r="L140" i="1" s="1"/>
  <c r="M140" i="1" s="1"/>
  <c r="N140" i="1" s="1"/>
  <c r="O140" i="1" s="1"/>
  <c r="P140" i="1" s="1"/>
  <c r="Q140" i="1" s="1"/>
  <c r="R140" i="1" s="1"/>
  <c r="S140" i="1" s="1"/>
  <c r="T140" i="1" s="1"/>
  <c r="U140" i="1" s="1"/>
  <c r="J135" i="1"/>
  <c r="K135" i="1" s="1"/>
  <c r="L135" i="1" s="1"/>
  <c r="M135" i="1" s="1"/>
  <c r="N135" i="1" s="1"/>
  <c r="O135" i="1" s="1"/>
  <c r="P135" i="1" s="1"/>
  <c r="Q135" i="1" s="1"/>
  <c r="R135" i="1" s="1"/>
  <c r="S135" i="1" s="1"/>
  <c r="T135" i="1" s="1"/>
  <c r="U135" i="1" s="1"/>
  <c r="J129" i="1"/>
  <c r="K129" i="1" s="1"/>
  <c r="L129" i="1" s="1"/>
  <c r="M129" i="1" s="1"/>
  <c r="N129" i="1" s="1"/>
  <c r="O129" i="1" s="1"/>
  <c r="P129" i="1" s="1"/>
  <c r="Q129" i="1" s="1"/>
  <c r="R129" i="1" s="1"/>
  <c r="S129" i="1" s="1"/>
  <c r="T129" i="1" s="1"/>
  <c r="U129" i="1" s="1"/>
  <c r="J87" i="1"/>
  <c r="J82" i="1"/>
  <c r="K82" i="1" s="1"/>
  <c r="L82" i="1" s="1"/>
  <c r="M82" i="1" s="1"/>
  <c r="N82" i="1" s="1"/>
  <c r="O82" i="1" s="1"/>
  <c r="P82" i="1" s="1"/>
  <c r="Q82" i="1" s="1"/>
  <c r="R82" i="1" s="1"/>
  <c r="S82" i="1" s="1"/>
  <c r="T82" i="1" s="1"/>
  <c r="U82" i="1" s="1"/>
  <c r="J76" i="1"/>
  <c r="K76" i="1" s="1"/>
  <c r="L76" i="1" s="1"/>
  <c r="M76" i="1" s="1"/>
  <c r="N76" i="1" s="1"/>
  <c r="O76" i="1" s="1"/>
  <c r="P76" i="1" s="1"/>
  <c r="Q76" i="1" s="1"/>
  <c r="R76" i="1" s="1"/>
  <c r="S76" i="1" s="1"/>
  <c r="T76" i="1" s="1"/>
  <c r="U76" i="1" s="1"/>
  <c r="R882" i="1"/>
  <c r="R388" i="1"/>
  <c r="R133" i="1"/>
  <c r="R2518" i="1"/>
  <c r="AB70" i="8" s="1"/>
  <c r="R1095" i="1"/>
  <c r="R1084" i="1"/>
  <c r="R472" i="1"/>
  <c r="R453" i="1"/>
  <c r="R442" i="1"/>
  <c r="R766" i="1"/>
  <c r="R736" i="1"/>
  <c r="R2980" i="1"/>
  <c r="R2969" i="1"/>
  <c r="AB79" i="8" s="1"/>
  <c r="R2758" i="1"/>
  <c r="T2758" i="1" s="1"/>
  <c r="R2739" i="1"/>
  <c r="R2728" i="1"/>
  <c r="AB74" i="8" s="1"/>
  <c r="R1731" i="1"/>
  <c r="R1774" i="1" s="1"/>
  <c r="R1514" i="1"/>
  <c r="R1486" i="1"/>
  <c r="R1475" i="1"/>
  <c r="R1716" i="1"/>
  <c r="R1688" i="1"/>
  <c r="R1677" i="1"/>
  <c r="R2423" i="1"/>
  <c r="R2412" i="1"/>
  <c r="AB68" i="8" s="1"/>
  <c r="R1459" i="1"/>
  <c r="R1441" i="1"/>
  <c r="R1430" i="1"/>
  <c r="AB48" i="8" s="1"/>
  <c r="R198" i="1"/>
  <c r="R187" i="1"/>
  <c r="AB23" i="8" s="1"/>
  <c r="R1909" i="1"/>
  <c r="R1890" i="1"/>
  <c r="R1836" i="1"/>
  <c r="R1825" i="1"/>
  <c r="R1634" i="1"/>
  <c r="R1623" i="1"/>
  <c r="S123" i="1"/>
  <c r="Q80" i="1"/>
  <c r="R1868" i="1" l="1"/>
  <c r="U1192" i="1"/>
  <c r="U1197" i="1"/>
  <c r="T1197" i="1"/>
  <c r="T1192" i="1"/>
  <c r="R937" i="1"/>
  <c r="R2254" i="1"/>
  <c r="R2255" i="1" s="1"/>
  <c r="R389" i="1"/>
  <c r="R842" i="1"/>
  <c r="R843" i="1" s="1"/>
  <c r="R886" i="1" s="1"/>
  <c r="R2549" i="1"/>
  <c r="R2759" i="1"/>
  <c r="R2443" i="1"/>
  <c r="K87" i="1"/>
  <c r="S1197" i="1"/>
  <c r="S1192" i="1"/>
  <c r="R3012" i="1"/>
  <c r="R220" i="1"/>
  <c r="R1127" i="1"/>
  <c r="R2455" i="1"/>
  <c r="R1518" i="1"/>
  <c r="R779" i="1"/>
  <c r="R1720" i="1"/>
  <c r="R1463" i="1"/>
  <c r="R176" i="1"/>
  <c r="R2298" i="1" l="1"/>
  <c r="L65" i="8" s="1"/>
  <c r="AB65" i="8"/>
  <c r="L79" i="8"/>
  <c r="L68" i="8"/>
  <c r="L48" i="8"/>
  <c r="L23" i="8"/>
  <c r="R432" i="1"/>
  <c r="R485" i="1"/>
  <c r="L87" i="1"/>
  <c r="M87" i="1" s="1"/>
  <c r="N87" i="1" s="1"/>
  <c r="O87" i="1" s="1"/>
  <c r="P87" i="1" s="1"/>
  <c r="Q87" i="1" s="1"/>
  <c r="R87" i="1" s="1"/>
  <c r="S87" i="1" s="1"/>
  <c r="T87" i="1" s="1"/>
  <c r="U87" i="1" s="1"/>
  <c r="O833" i="1"/>
  <c r="K833" i="1"/>
  <c r="L833" i="1"/>
  <c r="N833" i="1"/>
  <c r="J833" i="1"/>
  <c r="M833" i="1"/>
  <c r="I833" i="1"/>
  <c r="P833" i="1"/>
  <c r="R968" i="1"/>
  <c r="AC79" i="8"/>
  <c r="Q2728" i="1"/>
  <c r="AA74" i="8" s="1"/>
  <c r="R1918" i="1" l="1"/>
  <c r="R1922" i="1" s="1"/>
  <c r="S1868" i="1"/>
  <c r="R976" i="1"/>
  <c r="R980" i="1" s="1"/>
  <c r="S1623" i="1"/>
  <c r="R1662" i="1" l="1"/>
  <c r="R1666" i="1" s="1"/>
  <c r="C6" i="6"/>
  <c r="D6" i="6" l="1"/>
  <c r="C22" i="6"/>
  <c r="C16" i="6"/>
  <c r="C11" i="6"/>
  <c r="C52" i="6"/>
  <c r="E6" i="6" l="1"/>
  <c r="D52" i="6"/>
  <c r="D11" i="6"/>
  <c r="D22" i="6"/>
  <c r="D16" i="6"/>
  <c r="Q936" i="1"/>
  <c r="Q937" i="1" s="1"/>
  <c r="P936" i="1"/>
  <c r="F6" i="6" l="1"/>
  <c r="E11" i="6"/>
  <c r="E16" i="6"/>
  <c r="E52" i="6"/>
  <c r="E22" i="6"/>
  <c r="Q1084" i="1"/>
  <c r="Q442" i="1"/>
  <c r="Q736" i="1"/>
  <c r="Q1731" i="1"/>
  <c r="Q1774" i="1" s="1"/>
  <c r="Q1475" i="1"/>
  <c r="Q1677" i="1"/>
  <c r="Q2412" i="1"/>
  <c r="AA68" i="8" s="1"/>
  <c r="Q1879" i="1"/>
  <c r="Q1825" i="1"/>
  <c r="Q1623" i="1"/>
  <c r="G6" i="6" l="1"/>
  <c r="F16" i="6"/>
  <c r="F22" i="6"/>
  <c r="F11" i="6"/>
  <c r="F52" i="6"/>
  <c r="H6" i="6" l="1"/>
  <c r="G22" i="6"/>
  <c r="G52" i="6"/>
  <c r="G16" i="6"/>
  <c r="G11" i="6"/>
  <c r="P161" i="1"/>
  <c r="P172" i="1" s="1"/>
  <c r="I6" i="6" l="1"/>
  <c r="H52" i="6"/>
  <c r="H11" i="6"/>
  <c r="H22" i="6"/>
  <c r="H16" i="6"/>
  <c r="S2298" i="1"/>
  <c r="J2269" i="1"/>
  <c r="Q965" i="1"/>
  <c r="Q976" i="1" s="1"/>
  <c r="P871" i="1"/>
  <c r="S886" i="1"/>
  <c r="O886" i="1"/>
  <c r="S432" i="1"/>
  <c r="P417" i="1"/>
  <c r="Q417" i="1" s="1"/>
  <c r="Q428" i="1" s="1"/>
  <c r="Q161" i="1"/>
  <c r="Q172" i="1" s="1"/>
  <c r="S176" i="1"/>
  <c r="J96" i="1"/>
  <c r="J97" i="1"/>
  <c r="K98" i="1"/>
  <c r="K99" i="1"/>
  <c r="N102" i="1"/>
  <c r="P132" i="1"/>
  <c r="P2518" i="1"/>
  <c r="Z70" i="8" s="1"/>
  <c r="Q2518" i="1"/>
  <c r="AA70" i="8" s="1"/>
  <c r="AC70" i="8"/>
  <c r="K96" i="1" l="1"/>
  <c r="M65" i="8"/>
  <c r="M100" i="1"/>
  <c r="L98" i="1"/>
  <c r="J6" i="6"/>
  <c r="I11" i="6"/>
  <c r="I16" i="6"/>
  <c r="I52" i="6"/>
  <c r="I22" i="6"/>
  <c r="Q871" i="1"/>
  <c r="Q882" i="1" s="1"/>
  <c r="P842" i="1"/>
  <c r="P388" i="1"/>
  <c r="P108" i="1"/>
  <c r="Q108" i="1" s="1"/>
  <c r="Q119" i="1" s="1"/>
  <c r="Q123" i="1" s="1"/>
  <c r="Q1123" i="1"/>
  <c r="J1098" i="1"/>
  <c r="I1099" i="1"/>
  <c r="J1101" i="1"/>
  <c r="K1103" i="1"/>
  <c r="M1104" i="1"/>
  <c r="N1104" i="1" s="1"/>
  <c r="L1105" i="1"/>
  <c r="O1108" i="1"/>
  <c r="P1110" i="1"/>
  <c r="P1123" i="1" s="1"/>
  <c r="Q453" i="1"/>
  <c r="S453" i="1"/>
  <c r="S474" i="1"/>
  <c r="S481" i="1" s="1"/>
  <c r="Q470" i="1"/>
  <c r="Q481" i="1" s="1"/>
  <c r="Q764" i="1"/>
  <c r="Q775" i="1" s="1"/>
  <c r="Q3008" i="1"/>
  <c r="N100" i="1" l="1"/>
  <c r="K6" i="6"/>
  <c r="L6" i="6" s="1"/>
  <c r="L52" i="6" s="1"/>
  <c r="J16" i="6"/>
  <c r="J22" i="6"/>
  <c r="J11" i="6"/>
  <c r="J52" i="6"/>
  <c r="S485" i="1" l="1"/>
  <c r="L22" i="6"/>
  <c r="L11" i="6"/>
  <c r="M6" i="6"/>
  <c r="N6" i="6" s="1"/>
  <c r="O6" i="6" s="1"/>
  <c r="O52" i="6" s="1"/>
  <c r="L16" i="6"/>
  <c r="K22" i="6"/>
  <c r="K16" i="6"/>
  <c r="K11" i="6"/>
  <c r="K52" i="6"/>
  <c r="S2758" i="1"/>
  <c r="U2758" i="1" s="1"/>
  <c r="Q2756" i="1"/>
  <c r="Q2767" i="1" s="1"/>
  <c r="P2754" i="1"/>
  <c r="P2767" i="1" s="1"/>
  <c r="J2742" i="1"/>
  <c r="I2743" i="1"/>
  <c r="K2744" i="1"/>
  <c r="J2745" i="1"/>
  <c r="L2746" i="1"/>
  <c r="K2747" i="1"/>
  <c r="M2748" i="1"/>
  <c r="L2749" i="1"/>
  <c r="M2751" i="1"/>
  <c r="J1745" i="1"/>
  <c r="I1746" i="1"/>
  <c r="K1747" i="1"/>
  <c r="J1748" i="1"/>
  <c r="L1749" i="1"/>
  <c r="K1750" i="1"/>
  <c r="M1751" i="1"/>
  <c r="N1751" i="1" s="1"/>
  <c r="L1752" i="1"/>
  <c r="N1753" i="1"/>
  <c r="N1756" i="1"/>
  <c r="S1459" i="1"/>
  <c r="Q1634" i="1"/>
  <c r="Q1907" i="1"/>
  <c r="Q1918" i="1" s="1"/>
  <c r="P1905" i="1"/>
  <c r="P1918" i="1" s="1"/>
  <c r="I1894" i="1"/>
  <c r="J1896" i="1"/>
  <c r="K1898" i="1"/>
  <c r="O1903" i="1"/>
  <c r="O1918" i="1" s="1"/>
  <c r="P1851" i="1"/>
  <c r="J1839" i="1"/>
  <c r="I1840" i="1"/>
  <c r="I1864" i="1" s="1"/>
  <c r="J1842" i="1"/>
  <c r="K1844" i="1"/>
  <c r="O1849" i="1"/>
  <c r="O1864" i="1" s="1"/>
  <c r="O22" i="6" l="1"/>
  <c r="O11" i="6"/>
  <c r="O16" i="6"/>
  <c r="N11" i="6"/>
  <c r="N22" i="6"/>
  <c r="N52" i="6"/>
  <c r="N16" i="6"/>
  <c r="M52" i="6"/>
  <c r="M11" i="6"/>
  <c r="M22" i="6"/>
  <c r="M16" i="6"/>
  <c r="R2767" i="1"/>
  <c r="R2771" i="1" l="1"/>
  <c r="Q1662" i="1"/>
  <c r="O1650" i="1"/>
  <c r="P1662" i="1"/>
  <c r="O1647" i="1"/>
  <c r="O1662" i="1" s="1"/>
  <c r="G1647" i="1"/>
  <c r="G1646" i="1"/>
  <c r="G1645" i="1"/>
  <c r="G1644" i="1"/>
  <c r="G1643" i="1"/>
  <c r="G1642" i="1"/>
  <c r="G1641" i="1"/>
  <c r="G1640" i="1"/>
  <c r="G1639" i="1"/>
  <c r="G1638" i="1"/>
  <c r="G1637" i="1"/>
  <c r="J1637" i="1"/>
  <c r="I1638" i="1"/>
  <c r="I1662" i="1" s="1"/>
  <c r="J1640" i="1"/>
  <c r="K1642" i="1"/>
  <c r="M1645" i="1"/>
  <c r="N1648" i="1"/>
  <c r="L74" i="8" l="1"/>
  <c r="N1645" i="1"/>
  <c r="N1662" i="1" s="1"/>
  <c r="S1634" i="1" l="1"/>
  <c r="S1836" i="1"/>
  <c r="S1890" i="1"/>
  <c r="S187" i="1"/>
  <c r="S198" i="1"/>
  <c r="S1430" i="1"/>
  <c r="AC48" i="8" s="1"/>
  <c r="S1441" i="1"/>
  <c r="S2412" i="1"/>
  <c r="AC68" i="8" s="1"/>
  <c r="S2423" i="1"/>
  <c r="S1688" i="1"/>
  <c r="S1475" i="1"/>
  <c r="S1486" i="1"/>
  <c r="AC74" i="8"/>
  <c r="S2739" i="1"/>
  <c r="S2980" i="1"/>
  <c r="S1095" i="1"/>
  <c r="AC23" i="8" l="1"/>
  <c r="S3012" i="1"/>
  <c r="S1666" i="1"/>
  <c r="S220" i="1"/>
  <c r="S1922" i="1"/>
  <c r="S779" i="1"/>
  <c r="S1463" i="1"/>
  <c r="S1518" i="1"/>
  <c r="S2455" i="1"/>
  <c r="S1720" i="1"/>
  <c r="M20" i="6"/>
  <c r="M23" i="8" l="1"/>
  <c r="M68" i="8"/>
  <c r="M79" i="8"/>
  <c r="M48" i="8"/>
  <c r="S1127" i="1"/>
  <c r="J1303" i="1"/>
  <c r="I1304" i="1"/>
  <c r="J1305" i="1"/>
  <c r="K1305" i="1" s="1"/>
  <c r="J1306" i="1"/>
  <c r="K1307" i="1"/>
  <c r="L1307" i="1" s="1"/>
  <c r="K1308" i="1"/>
  <c r="L1309" i="1"/>
  <c r="M1309" i="1" s="1"/>
  <c r="N1309" i="1" s="1"/>
  <c r="N1311" i="1"/>
  <c r="N1313" i="1"/>
  <c r="O1313" i="1" s="1"/>
  <c r="I1322" i="1"/>
  <c r="J1322" i="1"/>
  <c r="K1322" i="1"/>
  <c r="L1322" i="1"/>
  <c r="O1322" i="1" l="1"/>
  <c r="O1326" i="1" s="1"/>
  <c r="R1322" i="1"/>
  <c r="R1326" i="1" l="1"/>
  <c r="P1322" i="1"/>
  <c r="P1326" i="1" s="1"/>
  <c r="P213" i="1"/>
  <c r="I2984" i="1"/>
  <c r="J2986" i="1"/>
  <c r="K2988" i="1"/>
  <c r="N2993" i="1"/>
  <c r="O2993" i="1" s="1"/>
  <c r="P2995" i="1"/>
  <c r="P3008" i="1" s="1"/>
  <c r="Q1322" i="1" l="1"/>
  <c r="Q1326" i="1" s="1"/>
  <c r="S1322" i="1"/>
  <c r="O1123" i="1"/>
  <c r="I751" i="1"/>
  <c r="J753" i="1"/>
  <c r="K755" i="1"/>
  <c r="M756" i="1"/>
  <c r="O760" i="1"/>
  <c r="O775" i="1" s="1"/>
  <c r="P762" i="1"/>
  <c r="P775" i="1" s="1"/>
  <c r="O468" i="1"/>
  <c r="O1095" i="1"/>
  <c r="P1095" i="1"/>
  <c r="Q1095" i="1"/>
  <c r="O2518" i="1"/>
  <c r="Y70" i="8" s="1"/>
  <c r="J456" i="1"/>
  <c r="I457" i="1"/>
  <c r="J459" i="1"/>
  <c r="K461" i="1"/>
  <c r="M462" i="1"/>
  <c r="N462" i="1" s="1"/>
  <c r="O466" i="1"/>
  <c r="O453" i="1"/>
  <c r="P453" i="1"/>
  <c r="O157" i="1"/>
  <c r="O159" i="1"/>
  <c r="P176" i="1" s="1"/>
  <c r="O389" i="1"/>
  <c r="S1326" i="1" l="1"/>
  <c r="M153" i="1"/>
  <c r="P468" i="1"/>
  <c r="P481" i="1" s="1"/>
  <c r="O481" i="1"/>
  <c r="P1127" i="1"/>
  <c r="O1127" i="1"/>
  <c r="J403" i="1"/>
  <c r="I404" i="1"/>
  <c r="J405" i="1"/>
  <c r="K405" i="1" s="1"/>
  <c r="J406" i="1"/>
  <c r="K407" i="1"/>
  <c r="L407" i="1" s="1"/>
  <c r="K408" i="1"/>
  <c r="L409" i="1"/>
  <c r="M409" i="1" s="1"/>
  <c r="N409" i="1" s="1"/>
  <c r="N411" i="1"/>
  <c r="N413" i="1"/>
  <c r="O413" i="1" s="1"/>
  <c r="P485" i="1" l="1"/>
  <c r="O485" i="1"/>
  <c r="J857" i="1"/>
  <c r="I858" i="1"/>
  <c r="J859" i="1"/>
  <c r="K859" i="1" s="1"/>
  <c r="J860" i="1"/>
  <c r="K861" i="1"/>
  <c r="L861" i="1" s="1"/>
  <c r="K862" i="1"/>
  <c r="L863" i="1"/>
  <c r="N865" i="1"/>
  <c r="N867" i="1"/>
  <c r="O867" i="1" s="1"/>
  <c r="O869" i="1"/>
  <c r="P869" i="1" s="1"/>
  <c r="P882" i="1" s="1"/>
  <c r="P886" i="1" s="1"/>
  <c r="M863" i="1" l="1"/>
  <c r="P2283" i="1"/>
  <c r="I2270" i="1"/>
  <c r="J2271" i="1"/>
  <c r="K2271" i="1" s="1"/>
  <c r="J2272" i="1"/>
  <c r="K2273" i="1"/>
  <c r="L2273" i="1" s="1"/>
  <c r="K2274" i="1"/>
  <c r="L2275" i="1"/>
  <c r="M2275" i="1" s="1"/>
  <c r="N2275" i="1" s="1"/>
  <c r="N2277" i="1"/>
  <c r="P2281" i="1"/>
  <c r="P2294" i="1" l="1"/>
  <c r="P2298" i="1" s="1"/>
  <c r="Q2283" i="1"/>
  <c r="N2279" i="1"/>
  <c r="O2279" i="1" s="1"/>
  <c r="O2294" i="1" s="1"/>
  <c r="J65" i="8" l="1"/>
  <c r="Q2294" i="1"/>
  <c r="P2980" i="1"/>
  <c r="Q2980" i="1"/>
  <c r="Q2739" i="1"/>
  <c r="N1500" i="1"/>
  <c r="P1486" i="1"/>
  <c r="Q1486" i="1"/>
  <c r="P1514" i="1"/>
  <c r="Q1514" i="1"/>
  <c r="N1702" i="1"/>
  <c r="P1688" i="1"/>
  <c r="Q1688" i="1"/>
  <c r="P1716" i="1"/>
  <c r="Q1716" i="1"/>
  <c r="N2437" i="1"/>
  <c r="P2423" i="1"/>
  <c r="Q2423" i="1"/>
  <c r="P1456" i="1"/>
  <c r="P1441" i="1"/>
  <c r="Q1441" i="1"/>
  <c r="Q1430" i="1"/>
  <c r="AA48" i="8" s="1"/>
  <c r="P1458" i="1"/>
  <c r="Q1458" i="1" s="1"/>
  <c r="Q1459" i="1" s="1"/>
  <c r="P198" i="1"/>
  <c r="Q198" i="1"/>
  <c r="P215" i="1"/>
  <c r="Q187" i="1"/>
  <c r="AA23" i="8" s="1"/>
  <c r="P1890" i="1"/>
  <c r="Q1890" i="1"/>
  <c r="P1836" i="1"/>
  <c r="Q1836" i="1"/>
  <c r="Q1868" i="1" s="1"/>
  <c r="P1634" i="1"/>
  <c r="P3012" i="1" l="1"/>
  <c r="Q1720" i="1"/>
  <c r="P1720" i="1"/>
  <c r="Q2771" i="1"/>
  <c r="P1459" i="1"/>
  <c r="Q215" i="1"/>
  <c r="P216" i="1"/>
  <c r="S2771" i="1"/>
  <c r="Q1463" i="1"/>
  <c r="K74" i="8" l="1"/>
  <c r="M74" i="8"/>
  <c r="K48" i="8"/>
  <c r="J79" i="8"/>
  <c r="P1666" i="1"/>
  <c r="Q216" i="1"/>
  <c r="P220" i="1"/>
  <c r="P1463" i="1"/>
  <c r="K9" i="6"/>
  <c r="J48" i="8" l="1"/>
  <c r="J23" i="8"/>
  <c r="Q220" i="1"/>
  <c r="K20" i="6"/>
  <c r="K23" i="8" l="1"/>
  <c r="A22" i="8"/>
  <c r="A24" i="8"/>
  <c r="A25" i="8"/>
  <c r="A26" i="8"/>
  <c r="A27" i="8"/>
  <c r="A28" i="8"/>
  <c r="A29" i="8"/>
  <c r="A30" i="8"/>
  <c r="A31" i="8"/>
  <c r="A34" i="8"/>
  <c r="A35" i="8"/>
  <c r="A36" i="8"/>
  <c r="A38" i="8"/>
  <c r="A40" i="8"/>
  <c r="A41" i="8"/>
  <c r="A42" i="8"/>
  <c r="A43" i="8"/>
  <c r="A44" i="8"/>
  <c r="A45" i="8"/>
  <c r="A47" i="8"/>
  <c r="A49" i="8"/>
  <c r="A51" i="8"/>
  <c r="A52" i="8"/>
  <c r="A53" i="8"/>
  <c r="A54" i="8"/>
  <c r="A56" i="8"/>
  <c r="A57" i="8"/>
  <c r="F54" i="8" l="1"/>
  <c r="M54" i="8"/>
  <c r="E54" i="8"/>
  <c r="I54" i="8"/>
  <c r="G54" i="8"/>
  <c r="L54" i="8"/>
  <c r="D54" i="8"/>
  <c r="K54" i="8"/>
  <c r="J54" i="8"/>
  <c r="H54" i="8"/>
  <c r="O54" i="8"/>
  <c r="N54" i="8"/>
  <c r="AD26" i="8"/>
  <c r="AE26" i="8"/>
  <c r="O26" i="8"/>
  <c r="AD52" i="8"/>
  <c r="AE52" i="8"/>
  <c r="O52" i="8"/>
  <c r="AD51" i="8"/>
  <c r="O51" i="8"/>
  <c r="AE51" i="8"/>
  <c r="AD27" i="8"/>
  <c r="AE27" i="8"/>
  <c r="O27" i="8"/>
  <c r="AD35" i="8"/>
  <c r="AE35" i="8"/>
  <c r="O35" i="8"/>
  <c r="AD25" i="8"/>
  <c r="AE25" i="8"/>
  <c r="O25" i="8"/>
  <c r="AD40" i="8"/>
  <c r="AE40" i="8"/>
  <c r="O40" i="8"/>
  <c r="AD38" i="8"/>
  <c r="AE38" i="8"/>
  <c r="O38" i="8"/>
  <c r="AD57" i="8"/>
  <c r="AE57" i="8"/>
  <c r="O57" i="8"/>
  <c r="AD44" i="8"/>
  <c r="AE44" i="8"/>
  <c r="O44" i="8"/>
  <c r="AD34" i="8"/>
  <c r="AE34" i="8"/>
  <c r="O34" i="8"/>
  <c r="AD24" i="8"/>
  <c r="AE24" i="8"/>
  <c r="O24" i="8"/>
  <c r="AD41" i="8"/>
  <c r="AE41" i="8"/>
  <c r="O41" i="8"/>
  <c r="AD28" i="8"/>
  <c r="AE28" i="8"/>
  <c r="O28" i="8"/>
  <c r="AD36" i="8"/>
  <c r="AE36" i="8"/>
  <c r="O36" i="8"/>
  <c r="AD56" i="8"/>
  <c r="AE56" i="8"/>
  <c r="O56" i="8"/>
  <c r="AD54" i="8"/>
  <c r="AE54" i="8"/>
  <c r="AD43" i="8"/>
  <c r="AE43" i="8"/>
  <c r="O43" i="8"/>
  <c r="AD31" i="8"/>
  <c r="AE31" i="8"/>
  <c r="O31" i="8"/>
  <c r="AD22" i="8"/>
  <c r="AE22" i="8"/>
  <c r="O22" i="8"/>
  <c r="AD29" i="8"/>
  <c r="AE29" i="8"/>
  <c r="O29" i="8"/>
  <c r="AD49" i="8"/>
  <c r="AE49" i="8"/>
  <c r="O49" i="8"/>
  <c r="AD47" i="8"/>
  <c r="AE47" i="8"/>
  <c r="O47" i="8"/>
  <c r="AD45" i="8"/>
  <c r="AE45" i="8"/>
  <c r="O45" i="8"/>
  <c r="AD53" i="8"/>
  <c r="AE53" i="8"/>
  <c r="O53" i="8"/>
  <c r="AD42" i="8"/>
  <c r="AE42" i="8"/>
  <c r="O42" i="8"/>
  <c r="AD30" i="8"/>
  <c r="AE30" i="8"/>
  <c r="O30" i="8"/>
  <c r="V42" i="8"/>
  <c r="AB42" i="8"/>
  <c r="S42" i="8"/>
  <c r="Z42" i="8"/>
  <c r="T42" i="8"/>
  <c r="AA42" i="8"/>
  <c r="U42" i="8"/>
  <c r="AC42" i="8"/>
  <c r="X42" i="8"/>
  <c r="W42" i="8"/>
  <c r="Y42" i="8"/>
  <c r="Q42" i="8"/>
  <c r="AB34" i="8"/>
  <c r="AC34" i="8"/>
  <c r="W34" i="8"/>
  <c r="X34" i="8"/>
  <c r="Z34" i="8"/>
  <c r="Y34" i="8"/>
  <c r="AA34" i="8"/>
  <c r="Q34" i="8"/>
  <c r="V26" i="8"/>
  <c r="AB26" i="8"/>
  <c r="W26" i="8"/>
  <c r="X26" i="8"/>
  <c r="Y26" i="8"/>
  <c r="S26" i="8"/>
  <c r="Z26" i="8"/>
  <c r="U26" i="8"/>
  <c r="AC26" i="8"/>
  <c r="T26" i="8"/>
  <c r="AA26" i="8"/>
  <c r="Q26" i="8"/>
  <c r="AB41" i="8"/>
  <c r="X41" i="8"/>
  <c r="Y41" i="8"/>
  <c r="Z41" i="8"/>
  <c r="AC41" i="8"/>
  <c r="W41" i="8"/>
  <c r="AA41" i="8"/>
  <c r="Q41" i="8"/>
  <c r="V31" i="8"/>
  <c r="AB31" i="8"/>
  <c r="U31" i="8"/>
  <c r="AC31" i="8"/>
  <c r="W31" i="8"/>
  <c r="X31" i="8"/>
  <c r="S31" i="8"/>
  <c r="Z31" i="8"/>
  <c r="T31" i="8"/>
  <c r="Y31" i="8"/>
  <c r="AA31" i="8"/>
  <c r="Q31" i="8"/>
  <c r="V25" i="8"/>
  <c r="AB25" i="8"/>
  <c r="T25" i="8"/>
  <c r="AA25" i="8"/>
  <c r="U25" i="8"/>
  <c r="AC25" i="8"/>
  <c r="W25" i="8"/>
  <c r="X25" i="8"/>
  <c r="S25" i="8"/>
  <c r="Z25" i="8"/>
  <c r="Y25" i="8"/>
  <c r="Q25" i="8"/>
  <c r="V56" i="8"/>
  <c r="AB56" i="8"/>
  <c r="X56" i="8"/>
  <c r="Y56" i="8"/>
  <c r="S56" i="8"/>
  <c r="Z56" i="8"/>
  <c r="T56" i="8"/>
  <c r="U56" i="8"/>
  <c r="W56" i="8"/>
  <c r="AA56" i="8"/>
  <c r="AC56" i="8"/>
  <c r="Q56" i="8"/>
  <c r="V40" i="8"/>
  <c r="AB40" i="8"/>
  <c r="U40" i="8"/>
  <c r="AC40" i="8"/>
  <c r="W40" i="8"/>
  <c r="X40" i="8"/>
  <c r="S40" i="8"/>
  <c r="Z40" i="8"/>
  <c r="T40" i="8"/>
  <c r="Y40" i="8"/>
  <c r="AA40" i="8"/>
  <c r="Q40" i="8"/>
  <c r="V30" i="8"/>
  <c r="AB30" i="8"/>
  <c r="S30" i="8"/>
  <c r="Z30" i="8"/>
  <c r="T30" i="8"/>
  <c r="AA30" i="8"/>
  <c r="U30" i="8"/>
  <c r="AC30" i="8"/>
  <c r="X30" i="8"/>
  <c r="Y30" i="8"/>
  <c r="W30" i="8"/>
  <c r="Q30" i="8"/>
  <c r="V24" i="8"/>
  <c r="AB24" i="8"/>
  <c r="Y24" i="8"/>
  <c r="S24" i="8"/>
  <c r="Z24" i="8"/>
  <c r="T24" i="8"/>
  <c r="AA24" i="8"/>
  <c r="U24" i="8"/>
  <c r="AC24" i="8"/>
  <c r="X24" i="8"/>
  <c r="W24" i="8"/>
  <c r="Q24" i="8"/>
  <c r="V57" i="8"/>
  <c r="AB57" i="8"/>
  <c r="S57" i="8"/>
  <c r="Z57" i="8"/>
  <c r="T57" i="8"/>
  <c r="AA57" i="8"/>
  <c r="U57" i="8"/>
  <c r="AC57" i="8"/>
  <c r="W57" i="8"/>
  <c r="X57" i="8"/>
  <c r="Y57" i="8"/>
  <c r="Q57" i="8"/>
  <c r="V54" i="8"/>
  <c r="AB54" i="8"/>
  <c r="Z54" i="8"/>
  <c r="T54" i="8"/>
  <c r="AA54" i="8"/>
  <c r="U54" i="8"/>
  <c r="AC54" i="8"/>
  <c r="Y54" i="8"/>
  <c r="W54" i="8"/>
  <c r="X54" i="8"/>
  <c r="Q54" i="8"/>
  <c r="V38" i="8"/>
  <c r="AB38" i="8"/>
  <c r="X38" i="8"/>
  <c r="Y38" i="8"/>
  <c r="S38" i="8"/>
  <c r="Z38" i="8"/>
  <c r="U38" i="8"/>
  <c r="AC38" i="8"/>
  <c r="T38" i="8"/>
  <c r="W38" i="8"/>
  <c r="AA38" i="8"/>
  <c r="Q38" i="8"/>
  <c r="V29" i="8"/>
  <c r="AB29" i="8"/>
  <c r="X29" i="8"/>
  <c r="Y29" i="8"/>
  <c r="S29" i="8"/>
  <c r="Z29" i="8"/>
  <c r="U29" i="8"/>
  <c r="AC29" i="8"/>
  <c r="T29" i="8"/>
  <c r="W29" i="8"/>
  <c r="AA29" i="8"/>
  <c r="Q29" i="8"/>
  <c r="V22" i="8"/>
  <c r="AB22" i="8"/>
  <c r="T22" i="8"/>
  <c r="U22" i="8"/>
  <c r="AC22" i="8"/>
  <c r="W22" i="8"/>
  <c r="X22" i="8"/>
  <c r="S22" i="8"/>
  <c r="Z22" i="8"/>
  <c r="Y22" i="8"/>
  <c r="Q22" i="8"/>
  <c r="V51" i="8"/>
  <c r="AB51" i="8"/>
  <c r="S51" i="8"/>
  <c r="Z51" i="8"/>
  <c r="T51" i="8"/>
  <c r="AA51" i="8"/>
  <c r="U51" i="8"/>
  <c r="AC51" i="8"/>
  <c r="X51" i="8"/>
  <c r="W51" i="8"/>
  <c r="Y51" i="8"/>
  <c r="Q51" i="8"/>
  <c r="V47" i="8"/>
  <c r="AB47" i="8"/>
  <c r="X47" i="8"/>
  <c r="Y47" i="8"/>
  <c r="S47" i="8"/>
  <c r="Z47" i="8"/>
  <c r="U47" i="8"/>
  <c r="AC47" i="8"/>
  <c r="T47" i="8"/>
  <c r="W47" i="8"/>
  <c r="AA47" i="8"/>
  <c r="Q47" i="8"/>
  <c r="V44" i="8"/>
  <c r="AB44" i="8"/>
  <c r="X44" i="8"/>
  <c r="Y44" i="8"/>
  <c r="S44" i="8"/>
  <c r="Z44" i="8"/>
  <c r="U44" i="8"/>
  <c r="AC44" i="8"/>
  <c r="T44" i="8"/>
  <c r="W44" i="8"/>
  <c r="AA44" i="8"/>
  <c r="Q44" i="8"/>
  <c r="V36" i="8"/>
  <c r="AB36" i="8"/>
  <c r="S36" i="8"/>
  <c r="Z36" i="8"/>
  <c r="T36" i="8"/>
  <c r="U36" i="8"/>
  <c r="AC36" i="8"/>
  <c r="X36" i="8"/>
  <c r="W36" i="8"/>
  <c r="Y36" i="8"/>
  <c r="Q36" i="8"/>
  <c r="AB28" i="8"/>
  <c r="AA28" i="8"/>
  <c r="AC28" i="8"/>
  <c r="W28" i="8"/>
  <c r="X28" i="8"/>
  <c r="Z28" i="8"/>
  <c r="Y28" i="8"/>
  <c r="Q28" i="8"/>
  <c r="V49" i="8"/>
  <c r="AB49" i="8"/>
  <c r="U49" i="8"/>
  <c r="AC49" i="8"/>
  <c r="W49" i="8"/>
  <c r="X49" i="8"/>
  <c r="Z49" i="8"/>
  <c r="T49" i="8"/>
  <c r="Y49" i="8"/>
  <c r="AA49" i="8"/>
  <c r="Q49" i="8"/>
  <c r="V45" i="8"/>
  <c r="AB45" i="8"/>
  <c r="S45" i="8"/>
  <c r="Z45" i="8"/>
  <c r="T45" i="8"/>
  <c r="AA45" i="8"/>
  <c r="U45" i="8"/>
  <c r="AC45" i="8"/>
  <c r="X45" i="8"/>
  <c r="W45" i="8"/>
  <c r="Y45" i="8"/>
  <c r="Q45" i="8"/>
  <c r="V53" i="8"/>
  <c r="AB53" i="8"/>
  <c r="X53" i="8"/>
  <c r="Y53" i="8"/>
  <c r="Z53" i="8"/>
  <c r="W53" i="8"/>
  <c r="AA53" i="8"/>
  <c r="AC53" i="8"/>
  <c r="T53" i="8"/>
  <c r="U53" i="8"/>
  <c r="Q53" i="8"/>
  <c r="V52" i="8"/>
  <c r="AB52" i="8"/>
  <c r="U52" i="8"/>
  <c r="AC52" i="8"/>
  <c r="W52" i="8"/>
  <c r="X52" i="8"/>
  <c r="S52" i="8"/>
  <c r="T52" i="8"/>
  <c r="Y52" i="8"/>
  <c r="Z52" i="8"/>
  <c r="AA52" i="8"/>
  <c r="Q52" i="8"/>
  <c r="V43" i="8"/>
  <c r="AB43" i="8"/>
  <c r="U43" i="8"/>
  <c r="AC43" i="8"/>
  <c r="W43" i="8"/>
  <c r="X43" i="8"/>
  <c r="S43" i="8"/>
  <c r="Z43" i="8"/>
  <c r="T43" i="8"/>
  <c r="Y43" i="8"/>
  <c r="AA43" i="8"/>
  <c r="Q43" i="8"/>
  <c r="V35" i="8"/>
  <c r="AB35" i="8"/>
  <c r="X35" i="8"/>
  <c r="Y35" i="8"/>
  <c r="S35" i="8"/>
  <c r="Z35" i="8"/>
  <c r="U35" i="8"/>
  <c r="AC35" i="8"/>
  <c r="T35" i="8"/>
  <c r="W35" i="8"/>
  <c r="AA35" i="8"/>
  <c r="Q35" i="8"/>
  <c r="V27" i="8"/>
  <c r="AB27" i="8"/>
  <c r="Y27" i="8"/>
  <c r="S27" i="8"/>
  <c r="Z27" i="8"/>
  <c r="T27" i="8"/>
  <c r="U27" i="8"/>
  <c r="AC27" i="8"/>
  <c r="X27" i="8"/>
  <c r="W27" i="8"/>
  <c r="Q27" i="8"/>
  <c r="L49" i="8"/>
  <c r="M49" i="8"/>
  <c r="D49" i="8"/>
  <c r="N49" i="8"/>
  <c r="M41" i="8"/>
  <c r="L41" i="8"/>
  <c r="N41" i="8"/>
  <c r="I41" i="8"/>
  <c r="J41" i="8"/>
  <c r="G31" i="8"/>
  <c r="M31" i="8"/>
  <c r="C31" i="8"/>
  <c r="J31" i="8"/>
  <c r="D31" i="8"/>
  <c r="K31" i="8"/>
  <c r="E31" i="8"/>
  <c r="L31" i="8"/>
  <c r="F31" i="8"/>
  <c r="H31" i="8"/>
  <c r="I31" i="8"/>
  <c r="N31" i="8"/>
  <c r="C25" i="8"/>
  <c r="I25" i="8"/>
  <c r="H25" i="8"/>
  <c r="E25" i="8"/>
  <c r="M25" i="8"/>
  <c r="F25" i="8"/>
  <c r="N25" i="8"/>
  <c r="G25" i="8"/>
  <c r="D25" i="8"/>
  <c r="J25" i="8"/>
  <c r="L25" i="8"/>
  <c r="K25" i="8"/>
  <c r="G40" i="8"/>
  <c r="M40" i="8"/>
  <c r="C40" i="8"/>
  <c r="J40" i="8"/>
  <c r="D40" i="8"/>
  <c r="K40" i="8"/>
  <c r="F40" i="8"/>
  <c r="H40" i="8"/>
  <c r="I40" i="8"/>
  <c r="L40" i="8"/>
  <c r="E40" i="8"/>
  <c r="N40" i="8"/>
  <c r="G30" i="8"/>
  <c r="M30" i="8"/>
  <c r="H30" i="8"/>
  <c r="I30" i="8"/>
  <c r="C30" i="8"/>
  <c r="J30" i="8"/>
  <c r="D30" i="8"/>
  <c r="E30" i="8"/>
  <c r="F30" i="8"/>
  <c r="K30" i="8"/>
  <c r="N30" i="8"/>
  <c r="L30" i="8"/>
  <c r="E24" i="8"/>
  <c r="K24" i="8"/>
  <c r="F24" i="8"/>
  <c r="L24" i="8"/>
  <c r="J24" i="8"/>
  <c r="C24" i="8"/>
  <c r="M24" i="8"/>
  <c r="D24" i="8"/>
  <c r="N24" i="8"/>
  <c r="G24" i="8"/>
  <c r="I24" i="8"/>
  <c r="H24" i="8"/>
  <c r="L56" i="8"/>
  <c r="K56" i="8"/>
  <c r="M56" i="8"/>
  <c r="N56" i="8"/>
  <c r="M45" i="8"/>
  <c r="I45" i="8"/>
  <c r="K45" i="8"/>
  <c r="L45" i="8"/>
  <c r="N45" i="8"/>
  <c r="J45" i="8"/>
  <c r="L38" i="8"/>
  <c r="N38" i="8"/>
  <c r="G29" i="8"/>
  <c r="M29" i="8"/>
  <c r="E29" i="8"/>
  <c r="L29" i="8"/>
  <c r="F29" i="8"/>
  <c r="N29" i="8"/>
  <c r="H29" i="8"/>
  <c r="C29" i="8"/>
  <c r="D29" i="8"/>
  <c r="I29" i="8"/>
  <c r="J29" i="8"/>
  <c r="K29" i="8"/>
  <c r="L22" i="8"/>
  <c r="J22" i="8"/>
  <c r="M22" i="8"/>
  <c r="N22" i="8"/>
  <c r="L53" i="8"/>
  <c r="K53" i="8"/>
  <c r="J53" i="8"/>
  <c r="M53" i="8"/>
  <c r="D53" i="8"/>
  <c r="N53" i="8"/>
  <c r="M28" i="8"/>
  <c r="J28" i="8"/>
  <c r="L28" i="8"/>
  <c r="N28" i="8"/>
  <c r="I28" i="8"/>
  <c r="E47" i="8"/>
  <c r="K47" i="8"/>
  <c r="F47" i="8"/>
  <c r="L47" i="8"/>
  <c r="H47" i="8"/>
  <c r="I47" i="8"/>
  <c r="J47" i="8"/>
  <c r="C47" i="8"/>
  <c r="M47" i="8"/>
  <c r="D47" i="8"/>
  <c r="G47" i="8"/>
  <c r="N47" i="8"/>
  <c r="M36" i="8"/>
  <c r="I36" i="8"/>
  <c r="L36" i="8"/>
  <c r="N36" i="8"/>
  <c r="J36" i="8"/>
  <c r="L52" i="8"/>
  <c r="J52" i="8"/>
  <c r="M52" i="8"/>
  <c r="N52" i="8"/>
  <c r="G43" i="8"/>
  <c r="M43" i="8"/>
  <c r="C43" i="8"/>
  <c r="J43" i="8"/>
  <c r="D43" i="8"/>
  <c r="K43" i="8"/>
  <c r="N43" i="8"/>
  <c r="E43" i="8"/>
  <c r="F43" i="8"/>
  <c r="H43" i="8"/>
  <c r="I43" i="8"/>
  <c r="L43" i="8"/>
  <c r="G35" i="8"/>
  <c r="M35" i="8"/>
  <c r="E35" i="8"/>
  <c r="L35" i="8"/>
  <c r="F35" i="8"/>
  <c r="N35" i="8"/>
  <c r="K35" i="8"/>
  <c r="C35" i="8"/>
  <c r="D35" i="8"/>
  <c r="H35" i="8"/>
  <c r="I35" i="8"/>
  <c r="J35" i="8"/>
  <c r="M27" i="8"/>
  <c r="L27" i="8"/>
  <c r="N27" i="8"/>
  <c r="L57" i="8"/>
  <c r="N57" i="8"/>
  <c r="M57" i="8"/>
  <c r="G44" i="8"/>
  <c r="M44" i="8"/>
  <c r="E44" i="8"/>
  <c r="L44" i="8"/>
  <c r="F44" i="8"/>
  <c r="N44" i="8"/>
  <c r="K44" i="8"/>
  <c r="C44" i="8"/>
  <c r="D44" i="8"/>
  <c r="H44" i="8"/>
  <c r="J44" i="8"/>
  <c r="I44" i="8"/>
  <c r="F51" i="8"/>
  <c r="L51" i="8"/>
  <c r="C51" i="8"/>
  <c r="I51" i="8"/>
  <c r="E51" i="8"/>
  <c r="K51" i="8"/>
  <c r="H51" i="8"/>
  <c r="M51" i="8"/>
  <c r="D51" i="8"/>
  <c r="G51" i="8"/>
  <c r="J51" i="8"/>
  <c r="N51" i="8"/>
  <c r="G42" i="8"/>
  <c r="M42" i="8"/>
  <c r="H42" i="8"/>
  <c r="I42" i="8"/>
  <c r="D42" i="8"/>
  <c r="N42" i="8"/>
  <c r="E42" i="8"/>
  <c r="F42" i="8"/>
  <c r="J42" i="8"/>
  <c r="L42" i="8"/>
  <c r="C42" i="8"/>
  <c r="K42" i="8"/>
  <c r="M34" i="8"/>
  <c r="L34" i="8"/>
  <c r="N34" i="8"/>
  <c r="C26" i="8"/>
  <c r="I26" i="8"/>
  <c r="D26" i="8"/>
  <c r="K26" i="8"/>
  <c r="J26" i="8"/>
  <c r="L26" i="8"/>
  <c r="E26" i="8"/>
  <c r="M26" i="8"/>
  <c r="F26" i="8"/>
  <c r="G26" i="8"/>
  <c r="H26" i="8"/>
  <c r="N26" i="8"/>
  <c r="O1514" i="1"/>
  <c r="O1716" i="1"/>
  <c r="P1922" i="1"/>
  <c r="P1868" i="1"/>
  <c r="J9" i="6"/>
  <c r="J56" i="8" l="1"/>
  <c r="J57" i="8"/>
  <c r="O963" i="1"/>
  <c r="P963" i="1" s="1"/>
  <c r="P976" i="1" s="1"/>
  <c r="G2252" i="1"/>
  <c r="L1326" i="1"/>
  <c r="K1326" i="1"/>
  <c r="J1326" i="1"/>
  <c r="I1326" i="1"/>
  <c r="N1322" i="1"/>
  <c r="M1322" i="1"/>
  <c r="G1286" i="1"/>
  <c r="L2294" i="1"/>
  <c r="L2298" i="1" s="1"/>
  <c r="K2294" i="1"/>
  <c r="K2298" i="1" s="1"/>
  <c r="J2294" i="1"/>
  <c r="J2298" i="1" s="1"/>
  <c r="I2294" i="1"/>
  <c r="I2298" i="1" s="1"/>
  <c r="M2294" i="1"/>
  <c r="I2268" i="1"/>
  <c r="J2268" i="1" s="1"/>
  <c r="K2268" i="1" s="1"/>
  <c r="L2268" i="1" s="1"/>
  <c r="M2268" i="1" s="1"/>
  <c r="N2268" i="1" s="1"/>
  <c r="O2268" i="1" s="1"/>
  <c r="P2268" i="1" s="1"/>
  <c r="Q2268" i="1" s="1"/>
  <c r="R2268" i="1" s="1"/>
  <c r="S2268" i="1" s="1"/>
  <c r="T2268" i="1" s="1"/>
  <c r="U2268" i="1" s="1"/>
  <c r="O415" i="1"/>
  <c r="O80" i="1"/>
  <c r="F65" i="8" l="1"/>
  <c r="E45" i="8"/>
  <c r="C65" i="8"/>
  <c r="F45" i="8"/>
  <c r="C45" i="8"/>
  <c r="D65" i="8"/>
  <c r="E65" i="8"/>
  <c r="D45" i="8"/>
  <c r="O106" i="1"/>
  <c r="P980" i="1"/>
  <c r="P415" i="1"/>
  <c r="P428" i="1" s="1"/>
  <c r="P432" i="1" s="1"/>
  <c r="O428" i="1"/>
  <c r="N2294" i="1"/>
  <c r="N2298" i="1" s="1"/>
  <c r="N1326" i="1"/>
  <c r="M1326" i="1"/>
  <c r="M2298" i="1"/>
  <c r="O119" i="1" l="1"/>
  <c r="H65" i="8"/>
  <c r="H45" i="8"/>
  <c r="J27" i="8"/>
  <c r="G65" i="8"/>
  <c r="J38" i="8"/>
  <c r="G45" i="8"/>
  <c r="P106" i="1"/>
  <c r="O2298" i="1"/>
  <c r="L976" i="1"/>
  <c r="L980" i="1" s="1"/>
  <c r="K976" i="1"/>
  <c r="K980" i="1" s="1"/>
  <c r="J976" i="1"/>
  <c r="J980" i="1" s="1"/>
  <c r="I976" i="1"/>
  <c r="I980" i="1" s="1"/>
  <c r="N961" i="1"/>
  <c r="N959" i="1"/>
  <c r="L957" i="1"/>
  <c r="K956" i="1"/>
  <c r="K955" i="1"/>
  <c r="L955" i="1" s="1"/>
  <c r="J954" i="1"/>
  <c r="J953" i="1"/>
  <c r="K953" i="1" s="1"/>
  <c r="I952" i="1"/>
  <c r="J951" i="1"/>
  <c r="I950" i="1"/>
  <c r="J950" i="1" s="1"/>
  <c r="K950" i="1" s="1"/>
  <c r="L950" i="1" s="1"/>
  <c r="M950" i="1" s="1"/>
  <c r="N950" i="1" s="1"/>
  <c r="O950" i="1" s="1"/>
  <c r="P950" i="1" s="1"/>
  <c r="Q950" i="1" s="1"/>
  <c r="R950" i="1" s="1"/>
  <c r="S950" i="1" s="1"/>
  <c r="T950" i="1" s="1"/>
  <c r="U950" i="1" s="1"/>
  <c r="G934" i="1"/>
  <c r="L886" i="1"/>
  <c r="K886" i="1"/>
  <c r="J886" i="1"/>
  <c r="I886" i="1"/>
  <c r="I856" i="1"/>
  <c r="J856" i="1" s="1"/>
  <c r="K856" i="1" s="1"/>
  <c r="L856" i="1" s="1"/>
  <c r="M856" i="1" s="1"/>
  <c r="N856" i="1" s="1"/>
  <c r="O856" i="1" s="1"/>
  <c r="P856" i="1" s="1"/>
  <c r="Q856" i="1" s="1"/>
  <c r="R856" i="1" s="1"/>
  <c r="S856" i="1" s="1"/>
  <c r="T856" i="1" s="1"/>
  <c r="U856" i="1" s="1"/>
  <c r="G840" i="1"/>
  <c r="L432" i="1"/>
  <c r="K432" i="1"/>
  <c r="J432" i="1"/>
  <c r="I432" i="1"/>
  <c r="M432" i="1"/>
  <c r="I402" i="1"/>
  <c r="J402" i="1" s="1"/>
  <c r="K402" i="1" s="1"/>
  <c r="L402" i="1" s="1"/>
  <c r="M402" i="1" s="1"/>
  <c r="N402" i="1" s="1"/>
  <c r="O402" i="1" s="1"/>
  <c r="P402" i="1" s="1"/>
  <c r="Q402" i="1" s="1"/>
  <c r="R402" i="1" s="1"/>
  <c r="S402" i="1" s="1"/>
  <c r="T402" i="1" s="1"/>
  <c r="U402" i="1" s="1"/>
  <c r="G386" i="1"/>
  <c r="L176" i="1"/>
  <c r="K176" i="1"/>
  <c r="J176" i="1"/>
  <c r="I176" i="1"/>
  <c r="I146" i="1"/>
  <c r="J146" i="1" s="1"/>
  <c r="K146" i="1" s="1"/>
  <c r="L146" i="1" s="1"/>
  <c r="M146" i="1" s="1"/>
  <c r="N146" i="1" s="1"/>
  <c r="O146" i="1" s="1"/>
  <c r="P146" i="1" s="1"/>
  <c r="Q146" i="1" s="1"/>
  <c r="R146" i="1" s="1"/>
  <c r="S146" i="1" s="1"/>
  <c r="T146" i="1" s="1"/>
  <c r="U146" i="1" s="1"/>
  <c r="G130" i="1"/>
  <c r="L123" i="1"/>
  <c r="K123" i="1"/>
  <c r="J123" i="1"/>
  <c r="I93" i="1"/>
  <c r="J93" i="1" s="1"/>
  <c r="K93" i="1" s="1"/>
  <c r="L93" i="1" s="1"/>
  <c r="M93" i="1" s="1"/>
  <c r="N93" i="1" s="1"/>
  <c r="O93" i="1" s="1"/>
  <c r="P93" i="1" s="1"/>
  <c r="Q93" i="1" s="1"/>
  <c r="R93" i="1" s="1"/>
  <c r="S93" i="1" s="1"/>
  <c r="T93" i="1" s="1"/>
  <c r="U93" i="1" s="1"/>
  <c r="G77" i="1"/>
  <c r="O747" i="1"/>
  <c r="P747" i="1"/>
  <c r="P779" i="1" s="1"/>
  <c r="N2518" i="1"/>
  <c r="X70" i="8" s="1"/>
  <c r="O2423" i="1"/>
  <c r="P119" i="1" l="1"/>
  <c r="P123" i="1" s="1"/>
  <c r="D22" i="8"/>
  <c r="C27" i="8"/>
  <c r="C36" i="8"/>
  <c r="F38" i="8"/>
  <c r="E22" i="8"/>
  <c r="D27" i="8"/>
  <c r="D36" i="8"/>
  <c r="I65" i="8"/>
  <c r="F22" i="8"/>
  <c r="E27" i="8"/>
  <c r="E36" i="8"/>
  <c r="J34" i="8"/>
  <c r="F27" i="8"/>
  <c r="F36" i="8"/>
  <c r="C38" i="8"/>
  <c r="D38" i="8"/>
  <c r="C22" i="8"/>
  <c r="G27" i="8"/>
  <c r="E38" i="8"/>
  <c r="M957" i="1"/>
  <c r="N976" i="1"/>
  <c r="N980" i="1" s="1"/>
  <c r="O2455" i="1"/>
  <c r="O123" i="1"/>
  <c r="O176" i="1"/>
  <c r="O432" i="1"/>
  <c r="O961" i="1"/>
  <c r="O976" i="1" s="1"/>
  <c r="N123" i="1"/>
  <c r="N886" i="1"/>
  <c r="N432" i="1"/>
  <c r="N176" i="1"/>
  <c r="M886" i="1"/>
  <c r="M176" i="1"/>
  <c r="M123" i="1"/>
  <c r="G22" i="8" l="1"/>
  <c r="H36" i="8"/>
  <c r="I68" i="8"/>
  <c r="H38" i="8"/>
  <c r="G36" i="8"/>
  <c r="I27" i="8"/>
  <c r="H22" i="8"/>
  <c r="I22" i="8"/>
  <c r="H27" i="8"/>
  <c r="M976" i="1"/>
  <c r="M980" i="1" s="1"/>
  <c r="O779" i="1"/>
  <c r="O980" i="1"/>
  <c r="I34" i="8" l="1"/>
  <c r="G38" i="8"/>
  <c r="I38" i="8"/>
  <c r="O1486" i="1"/>
  <c r="O1688" i="1"/>
  <c r="O1441" i="1"/>
  <c r="O198" i="1"/>
  <c r="O1720" i="1" l="1"/>
  <c r="O1518" i="1"/>
  <c r="N2542" i="1"/>
  <c r="O2542" i="1" s="1"/>
  <c r="P2739" i="1"/>
  <c r="I49" i="8" l="1"/>
  <c r="I53" i="8"/>
  <c r="O2557" i="1"/>
  <c r="O2561" i="1" s="1"/>
  <c r="R2557" i="1"/>
  <c r="R2561" i="1" s="1"/>
  <c r="J20" i="6"/>
  <c r="M2991" i="1"/>
  <c r="N2991" i="1" s="1"/>
  <c r="L70" i="8" l="1"/>
  <c r="I70" i="8"/>
  <c r="P2557" i="1"/>
  <c r="L1643" i="1"/>
  <c r="K1641" i="1"/>
  <c r="L1641" i="1" s="1"/>
  <c r="J1639" i="1"/>
  <c r="J1841" i="1"/>
  <c r="J1864" i="1" s="1"/>
  <c r="K1843" i="1"/>
  <c r="L1843" i="1" s="1"/>
  <c r="L1845" i="1"/>
  <c r="M1845" i="1" s="1"/>
  <c r="M1847" i="1"/>
  <c r="I1893" i="1"/>
  <c r="J1893" i="1" s="1"/>
  <c r="J1895" i="1"/>
  <c r="K1895" i="1" s="1"/>
  <c r="K1897" i="1"/>
  <c r="L1897" i="1" s="1"/>
  <c r="L1899" i="1"/>
  <c r="M1899" i="1" s="1"/>
  <c r="M1901" i="1"/>
  <c r="N1901" i="1" s="1"/>
  <c r="N1918" i="1" s="1"/>
  <c r="M2728" i="1"/>
  <c r="W74" i="8" s="1"/>
  <c r="M758" i="1"/>
  <c r="M464" i="1"/>
  <c r="L1864" i="1" l="1"/>
  <c r="M1864" i="1"/>
  <c r="M1643" i="1"/>
  <c r="M1662" i="1" s="1"/>
  <c r="N464" i="1"/>
  <c r="P2561" i="1"/>
  <c r="M2750" i="1"/>
  <c r="N2750" i="1" s="1"/>
  <c r="L1662" i="1"/>
  <c r="N1847" i="1"/>
  <c r="N1864" i="1" s="1"/>
  <c r="S2561" i="1"/>
  <c r="Q2557" i="1"/>
  <c r="Q2561" i="1" s="1"/>
  <c r="N2752" i="1"/>
  <c r="O2752" i="1" s="1"/>
  <c r="K1841" i="1"/>
  <c r="K1864" i="1" s="1"/>
  <c r="M1918" i="1"/>
  <c r="K1639" i="1"/>
  <c r="K1662" i="1" s="1"/>
  <c r="J1662" i="1"/>
  <c r="L1918" i="1"/>
  <c r="N758" i="1"/>
  <c r="N775" i="1" s="1"/>
  <c r="M775" i="1"/>
  <c r="M1106" i="1"/>
  <c r="N1106" i="1" s="1"/>
  <c r="K70" i="8" l="1"/>
  <c r="J70" i="8"/>
  <c r="M70" i="8"/>
  <c r="N481" i="1"/>
  <c r="O2767" i="1"/>
  <c r="O2980" i="1"/>
  <c r="N1699" i="1"/>
  <c r="L1451" i="1"/>
  <c r="G1454" i="1"/>
  <c r="M1453" i="1"/>
  <c r="G1453" i="1"/>
  <c r="M210" i="1"/>
  <c r="L208" i="1"/>
  <c r="G211" i="1"/>
  <c r="G210" i="1"/>
  <c r="E9" i="6" l="1"/>
  <c r="F9" i="6"/>
  <c r="J2518" i="1"/>
  <c r="T70" i="8" s="1"/>
  <c r="K2518" i="1"/>
  <c r="U70" i="8" s="1"/>
  <c r="L2518" i="1"/>
  <c r="V70" i="8" s="1"/>
  <c r="I2518" i="1"/>
  <c r="S70" i="8" s="1"/>
  <c r="J1084" i="1"/>
  <c r="T41" i="8" s="1"/>
  <c r="K1084" i="1"/>
  <c r="U41" i="8" s="1"/>
  <c r="L1084" i="1"/>
  <c r="V41" i="8" s="1"/>
  <c r="I1084" i="1"/>
  <c r="S41" i="8" s="1"/>
  <c r="J442" i="1"/>
  <c r="T28" i="8" s="1"/>
  <c r="K442" i="1"/>
  <c r="U28" i="8" s="1"/>
  <c r="L442" i="1"/>
  <c r="I442" i="1"/>
  <c r="J736" i="1"/>
  <c r="T34" i="8" s="1"/>
  <c r="K736" i="1"/>
  <c r="U34" i="8" s="1"/>
  <c r="L736" i="1"/>
  <c r="V34" i="8" s="1"/>
  <c r="I736" i="1"/>
  <c r="S34" i="8" s="1"/>
  <c r="J2969" i="1"/>
  <c r="T79" i="8" s="1"/>
  <c r="K2969" i="1"/>
  <c r="U79" i="8" s="1"/>
  <c r="L2969" i="1"/>
  <c r="V79" i="8" s="1"/>
  <c r="I2969" i="1"/>
  <c r="S79" i="8" s="1"/>
  <c r="J2728" i="1"/>
  <c r="T74" i="8" s="1"/>
  <c r="K2728" i="1"/>
  <c r="U74" i="8" s="1"/>
  <c r="L2728" i="1"/>
  <c r="V74" i="8" s="1"/>
  <c r="I2728" i="1"/>
  <c r="S74" i="8" s="1"/>
  <c r="I1731" i="1"/>
  <c r="I1475" i="1"/>
  <c r="S49" i="8" s="1"/>
  <c r="I1677" i="1"/>
  <c r="S53" i="8" s="1"/>
  <c r="M1498" i="1"/>
  <c r="S54" i="8" l="1"/>
  <c r="C54" i="8"/>
  <c r="S28" i="8"/>
  <c r="V28" i="8"/>
  <c r="K2987" i="1"/>
  <c r="L2987" i="1" s="1"/>
  <c r="K460" i="1"/>
  <c r="L460" i="1" s="1"/>
  <c r="J2985" i="1"/>
  <c r="K2985" i="1" s="1"/>
  <c r="J458" i="1"/>
  <c r="K458" i="1" s="1"/>
  <c r="I2983" i="1"/>
  <c r="J2983" i="1" s="1"/>
  <c r="I750" i="1"/>
  <c r="K754" i="1"/>
  <c r="L754" i="1" s="1"/>
  <c r="K1102" i="1"/>
  <c r="L1102" i="1" s="1"/>
  <c r="J752" i="1"/>
  <c r="K752" i="1" s="1"/>
  <c r="J1100" i="1"/>
  <c r="K1100" i="1" s="1"/>
  <c r="L2989" i="1"/>
  <c r="M2989" i="1" l="1"/>
  <c r="J750" i="1"/>
  <c r="O3008" i="1"/>
  <c r="O3012" i="1" l="1"/>
  <c r="I79" i="8" l="1"/>
  <c r="G2515" i="1"/>
  <c r="I2514" i="1"/>
  <c r="J2514" i="1" s="1"/>
  <c r="K2514" i="1" s="1"/>
  <c r="L2514" i="1" s="1"/>
  <c r="M2514" i="1" s="1"/>
  <c r="N2514" i="1" s="1"/>
  <c r="O2514" i="1" s="1"/>
  <c r="P2514" i="1" s="1"/>
  <c r="J2534" i="1"/>
  <c r="K2536" i="1"/>
  <c r="M2540" i="1"/>
  <c r="I2520" i="1"/>
  <c r="J2520" i="1" s="1"/>
  <c r="K2520" i="1" s="1"/>
  <c r="L2520" i="1" s="1"/>
  <c r="M2520" i="1" s="1"/>
  <c r="N2520" i="1" s="1"/>
  <c r="O2520" i="1" s="1"/>
  <c r="I2525" i="1"/>
  <c r="J2525" i="1" s="1"/>
  <c r="K2525" i="1" s="1"/>
  <c r="L2525" i="1" s="1"/>
  <c r="M2525" i="1" s="1"/>
  <c r="N2525" i="1" s="1"/>
  <c r="O2525" i="1" s="1"/>
  <c r="I2529" i="1"/>
  <c r="J2529" i="1"/>
  <c r="K2529" i="1"/>
  <c r="L2529" i="1"/>
  <c r="M2529" i="1"/>
  <c r="N2529" i="1"/>
  <c r="I2531" i="1"/>
  <c r="J2531" i="1" s="1"/>
  <c r="K2531" i="1" s="1"/>
  <c r="L2531" i="1" s="1"/>
  <c r="M2531" i="1" s="1"/>
  <c r="N2531" i="1" s="1"/>
  <c r="O2531" i="1" s="1"/>
  <c r="J2532" i="1"/>
  <c r="I2533" i="1"/>
  <c r="J2535" i="1"/>
  <c r="K2537" i="1"/>
  <c r="M2538" i="1"/>
  <c r="I2557" i="1"/>
  <c r="J2557" i="1"/>
  <c r="K2557" i="1"/>
  <c r="L2557" i="1"/>
  <c r="L2536" i="1" l="1"/>
  <c r="K2534" i="1"/>
  <c r="P2525" i="1"/>
  <c r="P2531" i="1"/>
  <c r="P2520" i="1"/>
  <c r="Q2514" i="1"/>
  <c r="K2561" i="1"/>
  <c r="N2540" i="1"/>
  <c r="M2557" i="1"/>
  <c r="J2561" i="1"/>
  <c r="L2561" i="1"/>
  <c r="I2561" i="1"/>
  <c r="C70" i="8" l="1"/>
  <c r="F70" i="8"/>
  <c r="D70" i="8"/>
  <c r="E70" i="8"/>
  <c r="R2514" i="1"/>
  <c r="Q2531" i="1"/>
  <c r="Q2525" i="1"/>
  <c r="Q2520" i="1"/>
  <c r="N2557" i="1"/>
  <c r="N2561" i="1" s="1"/>
  <c r="M2561" i="1"/>
  <c r="O2739" i="1"/>
  <c r="I3008" i="1"/>
  <c r="J3008" i="1"/>
  <c r="L2767" i="1"/>
  <c r="K2767" i="1"/>
  <c r="I2767" i="1"/>
  <c r="L1496" i="1"/>
  <c r="M1495" i="1"/>
  <c r="K1494" i="1"/>
  <c r="L1493" i="1"/>
  <c r="J1492" i="1"/>
  <c r="K1491" i="1"/>
  <c r="I1490" i="1"/>
  <c r="J1489" i="1"/>
  <c r="N2434" i="1"/>
  <c r="M2435" i="1"/>
  <c r="O1890" i="1"/>
  <c r="O1922" i="1" s="1"/>
  <c r="O1836" i="1"/>
  <c r="O1634" i="1"/>
  <c r="I57" i="8" l="1"/>
  <c r="G70" i="8"/>
  <c r="H70" i="8"/>
  <c r="I1514" i="1"/>
  <c r="K1514" i="1"/>
  <c r="M1514" i="1"/>
  <c r="L1514" i="1"/>
  <c r="S2514" i="1"/>
  <c r="T2514" i="1" s="1"/>
  <c r="U2514" i="1" s="1"/>
  <c r="R2531" i="1"/>
  <c r="R2525" i="1"/>
  <c r="R2520" i="1"/>
  <c r="O2771" i="1"/>
  <c r="O1868" i="1"/>
  <c r="J1514" i="1"/>
  <c r="J2767" i="1"/>
  <c r="A33" i="6"/>
  <c r="A32" i="6"/>
  <c r="U2520" i="1" l="1"/>
  <c r="U2531" i="1"/>
  <c r="U2525" i="1"/>
  <c r="I56" i="8"/>
  <c r="I74" i="8"/>
  <c r="T2525" i="1"/>
  <c r="T2520" i="1"/>
  <c r="T2531" i="1"/>
  <c r="O1666" i="1"/>
  <c r="S2520" i="1"/>
  <c r="S2531" i="1"/>
  <c r="S2525" i="1"/>
  <c r="I9" i="6"/>
  <c r="I52" i="8" l="1"/>
  <c r="I20" i="6"/>
  <c r="L481" i="1" l="1"/>
  <c r="I481" i="1"/>
  <c r="K481" i="1" l="1"/>
  <c r="J481" i="1"/>
  <c r="J775" i="1"/>
  <c r="I775" i="1"/>
  <c r="L1095" i="1" l="1"/>
  <c r="M1095" i="1"/>
  <c r="N1095" i="1"/>
  <c r="M481" i="1"/>
  <c r="L453" i="1"/>
  <c r="M453" i="1"/>
  <c r="N453" i="1"/>
  <c r="L747" i="1"/>
  <c r="M747" i="1"/>
  <c r="N747" i="1"/>
  <c r="N1123" i="1" l="1"/>
  <c r="M1123" i="1"/>
  <c r="N3008" i="1"/>
  <c r="M3008" i="1"/>
  <c r="M779" i="1"/>
  <c r="L1123" i="1"/>
  <c r="G34" i="8" l="1"/>
  <c r="N485" i="1"/>
  <c r="N1127" i="1"/>
  <c r="M485" i="1"/>
  <c r="N779" i="1"/>
  <c r="L1127" i="1"/>
  <c r="M1127" i="1"/>
  <c r="H34" i="8" l="1"/>
  <c r="G28" i="8"/>
  <c r="H41" i="8"/>
  <c r="H28" i="8"/>
  <c r="G41" i="8"/>
  <c r="F41" i="8"/>
  <c r="G1452" i="1"/>
  <c r="G1451" i="1"/>
  <c r="G209" i="1"/>
  <c r="G208" i="1"/>
  <c r="L1698" i="1"/>
  <c r="L2433" i="1"/>
  <c r="L2980" i="1" l="1"/>
  <c r="M2980" i="1"/>
  <c r="N2980" i="1"/>
  <c r="N3012" i="1" l="1"/>
  <c r="H79" i="8" l="1"/>
  <c r="M3012" i="1"/>
  <c r="G79" i="8" l="1"/>
  <c r="A31" i="6"/>
  <c r="A30" i="6"/>
  <c r="N1634" i="1" l="1"/>
  <c r="N1666" i="1" s="1"/>
  <c r="N1836" i="1"/>
  <c r="N1868" i="1" s="1"/>
  <c r="N1890" i="1"/>
  <c r="N198" i="1"/>
  <c r="N1454" i="1"/>
  <c r="O1454" i="1" s="1"/>
  <c r="O1459" i="1" s="1"/>
  <c r="O1463" i="1" s="1"/>
  <c r="N1441" i="1"/>
  <c r="N2423" i="1"/>
  <c r="N1688" i="1"/>
  <c r="N1486" i="1"/>
  <c r="N1742" i="1"/>
  <c r="N1774" i="1" s="1"/>
  <c r="N2739" i="1"/>
  <c r="H9" i="6"/>
  <c r="I48" i="8" l="1"/>
  <c r="H52" i="8"/>
  <c r="N211" i="1"/>
  <c r="H20" i="6"/>
  <c r="O211" i="1" l="1"/>
  <c r="A29" i="6"/>
  <c r="A28" i="6"/>
  <c r="O216" i="1" l="1"/>
  <c r="O220" i="1" s="1"/>
  <c r="K1696" i="1"/>
  <c r="J1694" i="1"/>
  <c r="K2431" i="1"/>
  <c r="J2429" i="1"/>
  <c r="G1450" i="1"/>
  <c r="K1449" i="1"/>
  <c r="G1449" i="1"/>
  <c r="G1448" i="1"/>
  <c r="J1447" i="1"/>
  <c r="G1447" i="1"/>
  <c r="G1446" i="1"/>
  <c r="G207" i="1"/>
  <c r="K206" i="1"/>
  <c r="G206" i="1"/>
  <c r="G205" i="1"/>
  <c r="J204" i="1"/>
  <c r="G204" i="1"/>
  <c r="G203" i="1"/>
  <c r="M2739" i="1"/>
  <c r="M1742" i="1"/>
  <c r="M1774" i="1" s="1"/>
  <c r="M1486" i="1"/>
  <c r="M1688" i="1"/>
  <c r="M2423" i="1"/>
  <c r="M1441" i="1"/>
  <c r="M1452" i="1"/>
  <c r="N1452" i="1" s="1"/>
  <c r="N1459" i="1" s="1"/>
  <c r="N1463" i="1" s="1"/>
  <c r="M198" i="1"/>
  <c r="M209" i="1"/>
  <c r="M1890" i="1"/>
  <c r="M1836" i="1"/>
  <c r="M1868" i="1" s="1"/>
  <c r="M1634" i="1"/>
  <c r="M1666" i="1" s="1"/>
  <c r="G9" i="6"/>
  <c r="H48" i="8" l="1"/>
  <c r="G52" i="8"/>
  <c r="I23" i="8"/>
  <c r="N209" i="1"/>
  <c r="N1922" i="1"/>
  <c r="M2767" i="1"/>
  <c r="G20" i="6"/>
  <c r="A27" i="6"/>
  <c r="H57" i="8" l="1"/>
  <c r="N216" i="1"/>
  <c r="N220" i="1" s="1"/>
  <c r="N2767" i="1"/>
  <c r="L2739" i="1"/>
  <c r="L1742" i="1"/>
  <c r="L1774" i="1" s="1"/>
  <c r="L1486" i="1"/>
  <c r="L1688" i="1"/>
  <c r="M1697" i="1"/>
  <c r="L2423" i="1"/>
  <c r="M2432" i="1"/>
  <c r="M2451" i="1" s="1"/>
  <c r="L1441" i="1"/>
  <c r="L1450" i="1"/>
  <c r="M1450" i="1" s="1"/>
  <c r="M1459" i="1" s="1"/>
  <c r="L198" i="1"/>
  <c r="L207" i="1"/>
  <c r="L1890" i="1"/>
  <c r="L1836" i="1"/>
  <c r="L1634" i="1"/>
  <c r="L1666" i="1" s="1"/>
  <c r="H23" i="8" l="1"/>
  <c r="F52" i="8"/>
  <c r="M207" i="1"/>
  <c r="M216" i="1" s="1"/>
  <c r="M220" i="1" s="1"/>
  <c r="M1518" i="1"/>
  <c r="M1463" i="1"/>
  <c r="M1716" i="1"/>
  <c r="M1720" i="1" s="1"/>
  <c r="N1697" i="1"/>
  <c r="N1716" i="1" s="1"/>
  <c r="M2455" i="1"/>
  <c r="G48" i="8" l="1"/>
  <c r="G53" i="8"/>
  <c r="G49" i="8"/>
  <c r="G68" i="8"/>
  <c r="G23" i="8"/>
  <c r="N1720" i="1"/>
  <c r="N2771" i="1"/>
  <c r="B21" i="8"/>
  <c r="M7" i="8" s="1"/>
  <c r="A21" i="8"/>
  <c r="A26" i="6"/>
  <c r="A25" i="6"/>
  <c r="A24" i="6"/>
  <c r="A23" i="6"/>
  <c r="G1445" i="1"/>
  <c r="G1444" i="1"/>
  <c r="G202" i="1"/>
  <c r="G201" i="1"/>
  <c r="L485" i="1"/>
  <c r="L775" i="1"/>
  <c r="L779" i="1" s="1"/>
  <c r="L1518" i="1"/>
  <c r="L1695" i="1"/>
  <c r="L2430" i="1"/>
  <c r="L1448" i="1"/>
  <c r="L1459" i="1" s="1"/>
  <c r="L1463" i="1" s="1"/>
  <c r="I1444" i="1"/>
  <c r="J1444" i="1" s="1"/>
  <c r="K205" i="1"/>
  <c r="J203" i="1"/>
  <c r="I201" i="1"/>
  <c r="K1095" i="1"/>
  <c r="J1095" i="1"/>
  <c r="I1095" i="1"/>
  <c r="K453" i="1"/>
  <c r="J453" i="1"/>
  <c r="I453" i="1"/>
  <c r="K747" i="1"/>
  <c r="J747" i="1"/>
  <c r="I747" i="1"/>
  <c r="K2980" i="1"/>
  <c r="J2980" i="1"/>
  <c r="I2980" i="1"/>
  <c r="K2739" i="1"/>
  <c r="J2739" i="1"/>
  <c r="I2739" i="1"/>
  <c r="K1742" i="1"/>
  <c r="K1774" i="1" s="1"/>
  <c r="J1742" i="1"/>
  <c r="J1774" i="1" s="1"/>
  <c r="I1742" i="1"/>
  <c r="K1486" i="1"/>
  <c r="J1486" i="1"/>
  <c r="I1486" i="1"/>
  <c r="K1688" i="1"/>
  <c r="J1688" i="1"/>
  <c r="I1688" i="1"/>
  <c r="K2423" i="1"/>
  <c r="J2423" i="1"/>
  <c r="I2423" i="1"/>
  <c r="K1441" i="1"/>
  <c r="J1441" i="1"/>
  <c r="I1441" i="1"/>
  <c r="K198" i="1"/>
  <c r="J198" i="1"/>
  <c r="I198" i="1"/>
  <c r="K1890" i="1"/>
  <c r="J1890" i="1"/>
  <c r="I1890" i="1"/>
  <c r="K1836" i="1"/>
  <c r="J1836" i="1"/>
  <c r="I1836" i="1"/>
  <c r="K1634" i="1"/>
  <c r="J1634" i="1"/>
  <c r="I1634" i="1"/>
  <c r="G1081" i="1"/>
  <c r="G439" i="1"/>
  <c r="G733" i="1"/>
  <c r="G2966" i="1"/>
  <c r="G2725" i="1"/>
  <c r="G1728" i="1"/>
  <c r="G1472" i="1"/>
  <c r="G1674" i="1"/>
  <c r="G2409" i="1"/>
  <c r="G1427" i="1"/>
  <c r="G184" i="1"/>
  <c r="G1876" i="1"/>
  <c r="G1822" i="1"/>
  <c r="G1620" i="1"/>
  <c r="B23" i="7"/>
  <c r="B24" i="7" s="1"/>
  <c r="B25" i="7" s="1"/>
  <c r="B26" i="7" s="1"/>
  <c r="B30" i="7" s="1"/>
  <c r="B31" i="7" s="1"/>
  <c r="B32" i="7" s="1"/>
  <c r="B33" i="7" s="1"/>
  <c r="B34" i="7" s="1"/>
  <c r="B35" i="7" s="1"/>
  <c r="B36" i="7" s="1"/>
  <c r="B37" i="7" s="1"/>
  <c r="B38" i="7" s="1"/>
  <c r="B39" i="7" s="1"/>
  <c r="B40" i="7" s="1"/>
  <c r="K1123" i="1"/>
  <c r="I202" i="1"/>
  <c r="I1445" i="1"/>
  <c r="I2427" i="1"/>
  <c r="I2451" i="1" s="1"/>
  <c r="I1692" i="1"/>
  <c r="I1123" i="1"/>
  <c r="J2426" i="1"/>
  <c r="J2451" i="1" s="1"/>
  <c r="J1691" i="1"/>
  <c r="I1097" i="1"/>
  <c r="J1097" i="1" s="1"/>
  <c r="K1097" i="1" s="1"/>
  <c r="L1097" i="1" s="1"/>
  <c r="M1097" i="1" s="1"/>
  <c r="N1097" i="1" s="1"/>
  <c r="O1097" i="1" s="1"/>
  <c r="P1097" i="1" s="1"/>
  <c r="Q1097" i="1" s="1"/>
  <c r="R1097" i="1" s="1"/>
  <c r="S1097" i="1" s="1"/>
  <c r="T1097" i="1" s="1"/>
  <c r="U1097" i="1" s="1"/>
  <c r="I455" i="1"/>
  <c r="J455" i="1" s="1"/>
  <c r="K455" i="1" s="1"/>
  <c r="L455" i="1" s="1"/>
  <c r="M455" i="1" s="1"/>
  <c r="N455" i="1" s="1"/>
  <c r="O455" i="1" s="1"/>
  <c r="P455" i="1" s="1"/>
  <c r="Q455" i="1" s="1"/>
  <c r="R455" i="1" s="1"/>
  <c r="S455" i="1" s="1"/>
  <c r="T455" i="1" s="1"/>
  <c r="U455" i="1" s="1"/>
  <c r="I749" i="1"/>
  <c r="J749" i="1" s="1"/>
  <c r="K749" i="1" s="1"/>
  <c r="L749" i="1" s="1"/>
  <c r="M749" i="1" s="1"/>
  <c r="N749" i="1" s="1"/>
  <c r="O749" i="1" s="1"/>
  <c r="P749" i="1" s="1"/>
  <c r="Q749" i="1" s="1"/>
  <c r="R749" i="1" s="1"/>
  <c r="S749" i="1" s="1"/>
  <c r="T749" i="1" s="1"/>
  <c r="U749" i="1" s="1"/>
  <c r="I2982" i="1"/>
  <c r="J2982" i="1" s="1"/>
  <c r="K2982" i="1" s="1"/>
  <c r="L2982" i="1" s="1"/>
  <c r="M2982" i="1" s="1"/>
  <c r="N2982" i="1" s="1"/>
  <c r="O2982" i="1" s="1"/>
  <c r="I2741" i="1"/>
  <c r="J2741" i="1" s="1"/>
  <c r="K2741" i="1" s="1"/>
  <c r="L2741" i="1" s="1"/>
  <c r="M2741" i="1" s="1"/>
  <c r="N2741" i="1" s="1"/>
  <c r="O2741" i="1" s="1"/>
  <c r="P2741" i="1" s="1"/>
  <c r="Q2741" i="1" s="1"/>
  <c r="R2741" i="1" s="1"/>
  <c r="S2741" i="1" s="1"/>
  <c r="T2741" i="1" s="1"/>
  <c r="U2741" i="1" s="1"/>
  <c r="I1744" i="1"/>
  <c r="J1744" i="1" s="1"/>
  <c r="K1744" i="1" s="1"/>
  <c r="L1744" i="1" s="1"/>
  <c r="M1744" i="1" s="1"/>
  <c r="N1744" i="1" s="1"/>
  <c r="O1744" i="1" s="1"/>
  <c r="P1744" i="1" s="1"/>
  <c r="Q1744" i="1" s="1"/>
  <c r="R1744" i="1" s="1"/>
  <c r="S1744" i="1" s="1"/>
  <c r="T1744" i="1" s="1"/>
  <c r="U1744" i="1" s="1"/>
  <c r="I1488" i="1"/>
  <c r="J1488" i="1" s="1"/>
  <c r="K1488" i="1" s="1"/>
  <c r="L1488" i="1" s="1"/>
  <c r="M1488" i="1" s="1"/>
  <c r="N1488" i="1" s="1"/>
  <c r="O1488" i="1" s="1"/>
  <c r="P1488" i="1" s="1"/>
  <c r="Q1488" i="1" s="1"/>
  <c r="R1488" i="1" s="1"/>
  <c r="S1488" i="1" s="1"/>
  <c r="T1488" i="1" s="1"/>
  <c r="U1488" i="1" s="1"/>
  <c r="I1690" i="1"/>
  <c r="J1690" i="1" s="1"/>
  <c r="K1690" i="1" s="1"/>
  <c r="L1690" i="1" s="1"/>
  <c r="M1690" i="1" s="1"/>
  <c r="N1690" i="1" s="1"/>
  <c r="O1690" i="1" s="1"/>
  <c r="P1690" i="1" s="1"/>
  <c r="Q1690" i="1" s="1"/>
  <c r="R1690" i="1" s="1"/>
  <c r="S1690" i="1" s="1"/>
  <c r="T1690" i="1" s="1"/>
  <c r="U1690" i="1" s="1"/>
  <c r="I2425" i="1"/>
  <c r="J2425" i="1" s="1"/>
  <c r="K2425" i="1" s="1"/>
  <c r="L2425" i="1" s="1"/>
  <c r="M2425" i="1" s="1"/>
  <c r="N2425" i="1" s="1"/>
  <c r="O2425" i="1" s="1"/>
  <c r="P2425" i="1" s="1"/>
  <c r="Q2425" i="1" s="1"/>
  <c r="R2425" i="1" s="1"/>
  <c r="S2425" i="1" s="1"/>
  <c r="T2425" i="1" s="1"/>
  <c r="U2425" i="1" s="1"/>
  <c r="I1443" i="1"/>
  <c r="J1443" i="1" s="1"/>
  <c r="K1443" i="1" s="1"/>
  <c r="L1443" i="1" s="1"/>
  <c r="M1443" i="1" s="1"/>
  <c r="N1443" i="1" s="1"/>
  <c r="O1443" i="1" s="1"/>
  <c r="P1443" i="1" s="1"/>
  <c r="Q1443" i="1" s="1"/>
  <c r="R1443" i="1" s="1"/>
  <c r="S1443" i="1" s="1"/>
  <c r="T1443" i="1" s="1"/>
  <c r="U1443" i="1" s="1"/>
  <c r="I200" i="1"/>
  <c r="J200" i="1" s="1"/>
  <c r="I1892" i="1"/>
  <c r="J1892" i="1" s="1"/>
  <c r="K1892" i="1" s="1"/>
  <c r="L1892" i="1" s="1"/>
  <c r="M1892" i="1" s="1"/>
  <c r="N1892" i="1" s="1"/>
  <c r="O1892" i="1" s="1"/>
  <c r="P1892" i="1" s="1"/>
  <c r="Q1892" i="1" s="1"/>
  <c r="R1892" i="1" s="1"/>
  <c r="S1892" i="1" s="1"/>
  <c r="T1892" i="1" s="1"/>
  <c r="U1892" i="1" s="1"/>
  <c r="I1838" i="1"/>
  <c r="J1838" i="1" s="1"/>
  <c r="K1838" i="1" s="1"/>
  <c r="L1838" i="1" s="1"/>
  <c r="M1838" i="1" s="1"/>
  <c r="N1838" i="1" s="1"/>
  <c r="O1838" i="1" s="1"/>
  <c r="P1838" i="1" s="1"/>
  <c r="Q1838" i="1" s="1"/>
  <c r="R1838" i="1" s="1"/>
  <c r="S1838" i="1" s="1"/>
  <c r="T1838" i="1" s="1"/>
  <c r="U1838" i="1" s="1"/>
  <c r="I1636" i="1"/>
  <c r="J1636" i="1" s="1"/>
  <c r="K1636" i="1" s="1"/>
  <c r="L1636" i="1" s="1"/>
  <c r="M1636" i="1" s="1"/>
  <c r="N1636" i="1" s="1"/>
  <c r="O1636" i="1" s="1"/>
  <c r="P1636" i="1" s="1"/>
  <c r="Q1636" i="1" s="1"/>
  <c r="R1636" i="1" s="1"/>
  <c r="S1636" i="1" s="1"/>
  <c r="T1636" i="1" s="1"/>
  <c r="U1636" i="1" s="1"/>
  <c r="I1091" i="1"/>
  <c r="J1091" i="1" s="1"/>
  <c r="K1091" i="1" s="1"/>
  <c r="L1091" i="1" s="1"/>
  <c r="M1091" i="1" s="1"/>
  <c r="N1091" i="1" s="1"/>
  <c r="O1091" i="1" s="1"/>
  <c r="P1091" i="1" s="1"/>
  <c r="Q1091" i="1" s="1"/>
  <c r="R1091" i="1" s="1"/>
  <c r="S1091" i="1" s="1"/>
  <c r="T1091" i="1" s="1"/>
  <c r="U1091" i="1" s="1"/>
  <c r="I1086" i="1"/>
  <c r="J1086" i="1" s="1"/>
  <c r="K1086" i="1" s="1"/>
  <c r="L1086" i="1" s="1"/>
  <c r="M1086" i="1" s="1"/>
  <c r="N1086" i="1" s="1"/>
  <c r="O1086" i="1" s="1"/>
  <c r="P1086" i="1" s="1"/>
  <c r="Q1086" i="1" s="1"/>
  <c r="R1086" i="1" s="1"/>
  <c r="S1086" i="1" s="1"/>
  <c r="T1086" i="1" s="1"/>
  <c r="U1086" i="1" s="1"/>
  <c r="I449" i="1"/>
  <c r="J449" i="1" s="1"/>
  <c r="K449" i="1" s="1"/>
  <c r="L449" i="1" s="1"/>
  <c r="M449" i="1" s="1"/>
  <c r="N449" i="1" s="1"/>
  <c r="O449" i="1" s="1"/>
  <c r="P449" i="1" s="1"/>
  <c r="Q449" i="1" s="1"/>
  <c r="R449" i="1" s="1"/>
  <c r="S449" i="1" s="1"/>
  <c r="T449" i="1" s="1"/>
  <c r="U449" i="1" s="1"/>
  <c r="I444" i="1"/>
  <c r="J444" i="1" s="1"/>
  <c r="K444" i="1" s="1"/>
  <c r="L444" i="1" s="1"/>
  <c r="M444" i="1" s="1"/>
  <c r="N444" i="1" s="1"/>
  <c r="O444" i="1" s="1"/>
  <c r="P444" i="1" s="1"/>
  <c r="Q444" i="1" s="1"/>
  <c r="R444" i="1" s="1"/>
  <c r="S444" i="1" s="1"/>
  <c r="T444" i="1" s="1"/>
  <c r="U444" i="1" s="1"/>
  <c r="I743" i="1"/>
  <c r="J743" i="1" s="1"/>
  <c r="K743" i="1" s="1"/>
  <c r="L743" i="1" s="1"/>
  <c r="M743" i="1" s="1"/>
  <c r="N743" i="1" s="1"/>
  <c r="O743" i="1" s="1"/>
  <c r="P743" i="1" s="1"/>
  <c r="Q743" i="1" s="1"/>
  <c r="R743" i="1" s="1"/>
  <c r="S743" i="1" s="1"/>
  <c r="T743" i="1" s="1"/>
  <c r="U743" i="1" s="1"/>
  <c r="I738" i="1"/>
  <c r="J738" i="1" s="1"/>
  <c r="K738" i="1" s="1"/>
  <c r="L738" i="1" s="1"/>
  <c r="M738" i="1" s="1"/>
  <c r="N738" i="1" s="1"/>
  <c r="O738" i="1" s="1"/>
  <c r="P738" i="1" s="1"/>
  <c r="Q738" i="1" s="1"/>
  <c r="R738" i="1" s="1"/>
  <c r="S738" i="1" s="1"/>
  <c r="T738" i="1" s="1"/>
  <c r="U738" i="1" s="1"/>
  <c r="I2976" i="1"/>
  <c r="J2976" i="1" s="1"/>
  <c r="K2976" i="1" s="1"/>
  <c r="L2976" i="1" s="1"/>
  <c r="M2976" i="1" s="1"/>
  <c r="N2976" i="1" s="1"/>
  <c r="O2976" i="1" s="1"/>
  <c r="I2971" i="1"/>
  <c r="J2971" i="1" s="1"/>
  <c r="K2971" i="1" s="1"/>
  <c r="L2971" i="1" s="1"/>
  <c r="M2971" i="1" s="1"/>
  <c r="N2971" i="1" s="1"/>
  <c r="O2971" i="1" s="1"/>
  <c r="I2735" i="1"/>
  <c r="J2735" i="1" s="1"/>
  <c r="K2735" i="1" s="1"/>
  <c r="I2730" i="1"/>
  <c r="J2730" i="1" s="1"/>
  <c r="K2730" i="1" s="1"/>
  <c r="I1738" i="1"/>
  <c r="J1738" i="1" s="1"/>
  <c r="K1738" i="1" s="1"/>
  <c r="I1733" i="1"/>
  <c r="J1733" i="1" s="1"/>
  <c r="K1733" i="1" s="1"/>
  <c r="I1482" i="1"/>
  <c r="J1482" i="1" s="1"/>
  <c r="K1482" i="1" s="1"/>
  <c r="I1477" i="1"/>
  <c r="J1477" i="1" s="1"/>
  <c r="K1477" i="1" s="1"/>
  <c r="I1684" i="1"/>
  <c r="J1684" i="1" s="1"/>
  <c r="K1684" i="1" s="1"/>
  <c r="I1679" i="1"/>
  <c r="J1679" i="1" s="1"/>
  <c r="K1679" i="1" s="1"/>
  <c r="I2419" i="1"/>
  <c r="J2419" i="1" s="1"/>
  <c r="K2419" i="1" s="1"/>
  <c r="I2414" i="1"/>
  <c r="J2414" i="1" s="1"/>
  <c r="K2414" i="1" s="1"/>
  <c r="I1437" i="1"/>
  <c r="J1437" i="1" s="1"/>
  <c r="K1437" i="1" s="1"/>
  <c r="I1432" i="1"/>
  <c r="J1432" i="1" s="1"/>
  <c r="K1432" i="1" s="1"/>
  <c r="I194" i="1"/>
  <c r="J194" i="1" s="1"/>
  <c r="K194" i="1" s="1"/>
  <c r="I189" i="1"/>
  <c r="J189" i="1" s="1"/>
  <c r="K189" i="1" s="1"/>
  <c r="I1886" i="1"/>
  <c r="J1886" i="1" s="1"/>
  <c r="K1886" i="1" s="1"/>
  <c r="I1881" i="1"/>
  <c r="J1881" i="1" s="1"/>
  <c r="K1881" i="1" s="1"/>
  <c r="I1832" i="1"/>
  <c r="J1832" i="1" s="1"/>
  <c r="K1832" i="1" s="1"/>
  <c r="I1827" i="1"/>
  <c r="J1827" i="1" s="1"/>
  <c r="K1827" i="1" s="1"/>
  <c r="I1080" i="1"/>
  <c r="J1080" i="1" s="1"/>
  <c r="K1080" i="1" s="1"/>
  <c r="L1080" i="1" s="1"/>
  <c r="M1080" i="1" s="1"/>
  <c r="N1080" i="1" s="1"/>
  <c r="O1080" i="1" s="1"/>
  <c r="P1080" i="1" s="1"/>
  <c r="Q1080" i="1" s="1"/>
  <c r="R1080" i="1" s="1"/>
  <c r="S1080" i="1" s="1"/>
  <c r="T1080" i="1" s="1"/>
  <c r="U1080" i="1" s="1"/>
  <c r="I438" i="1"/>
  <c r="J438" i="1" s="1"/>
  <c r="K438" i="1" s="1"/>
  <c r="L438" i="1" s="1"/>
  <c r="M438" i="1" s="1"/>
  <c r="N438" i="1" s="1"/>
  <c r="O438" i="1" s="1"/>
  <c r="P438" i="1" s="1"/>
  <c r="Q438" i="1" s="1"/>
  <c r="R438" i="1" s="1"/>
  <c r="S438" i="1" s="1"/>
  <c r="T438" i="1" s="1"/>
  <c r="U438" i="1" s="1"/>
  <c r="I732" i="1"/>
  <c r="J732" i="1" s="1"/>
  <c r="K732" i="1" s="1"/>
  <c r="L732" i="1" s="1"/>
  <c r="M732" i="1" s="1"/>
  <c r="N732" i="1" s="1"/>
  <c r="O732" i="1" s="1"/>
  <c r="P732" i="1" s="1"/>
  <c r="Q732" i="1" s="1"/>
  <c r="R732" i="1" s="1"/>
  <c r="S732" i="1" s="1"/>
  <c r="T732" i="1" s="1"/>
  <c r="U732" i="1" s="1"/>
  <c r="I2965" i="1"/>
  <c r="J2965" i="1" s="1"/>
  <c r="K2965" i="1" s="1"/>
  <c r="L2965" i="1" s="1"/>
  <c r="M2965" i="1" s="1"/>
  <c r="N2965" i="1" s="1"/>
  <c r="O2965" i="1" s="1"/>
  <c r="P2965" i="1" s="1"/>
  <c r="I2724" i="1"/>
  <c r="J2724" i="1" s="1"/>
  <c r="K2724" i="1" s="1"/>
  <c r="L2724" i="1" s="1"/>
  <c r="M2724" i="1" s="1"/>
  <c r="N2724" i="1" s="1"/>
  <c r="O2724" i="1" s="1"/>
  <c r="P2724" i="1" s="1"/>
  <c r="Q2724" i="1" s="1"/>
  <c r="R2724" i="1" s="1"/>
  <c r="S2724" i="1" s="1"/>
  <c r="T2724" i="1" s="1"/>
  <c r="U2724" i="1" s="1"/>
  <c r="I1727" i="1"/>
  <c r="J1727" i="1" s="1"/>
  <c r="K1727" i="1" s="1"/>
  <c r="L1727" i="1" s="1"/>
  <c r="M1727" i="1" s="1"/>
  <c r="N1727" i="1" s="1"/>
  <c r="O1727" i="1" s="1"/>
  <c r="I1630" i="1"/>
  <c r="J1630" i="1" s="1"/>
  <c r="K1630" i="1" s="1"/>
  <c r="I1625" i="1"/>
  <c r="J1625" i="1" s="1"/>
  <c r="K1625" i="1" s="1"/>
  <c r="I1875" i="1"/>
  <c r="J1875" i="1" s="1"/>
  <c r="K1875" i="1" s="1"/>
  <c r="L1875" i="1" s="1"/>
  <c r="M1875" i="1" s="1"/>
  <c r="N1875" i="1" s="1"/>
  <c r="O1875" i="1" s="1"/>
  <c r="P1875" i="1" s="1"/>
  <c r="Q1875" i="1" s="1"/>
  <c r="R1875" i="1" s="1"/>
  <c r="S1875" i="1" s="1"/>
  <c r="T1875" i="1" s="1"/>
  <c r="U1875" i="1" s="1"/>
  <c r="I1821" i="1"/>
  <c r="J1821" i="1" s="1"/>
  <c r="K1821" i="1" s="1"/>
  <c r="L1821" i="1" s="1"/>
  <c r="M1821" i="1" s="1"/>
  <c r="N1821" i="1" s="1"/>
  <c r="O1821" i="1" s="1"/>
  <c r="P1821" i="1" s="1"/>
  <c r="Q1821" i="1" s="1"/>
  <c r="I1471" i="1"/>
  <c r="J1471" i="1" s="1"/>
  <c r="K1471" i="1" s="1"/>
  <c r="L1471" i="1" s="1"/>
  <c r="M1471" i="1" s="1"/>
  <c r="N1471" i="1" s="1"/>
  <c r="O1471" i="1" s="1"/>
  <c r="P1471" i="1" s="1"/>
  <c r="Q1471" i="1" s="1"/>
  <c r="R1471" i="1" s="1"/>
  <c r="S1471" i="1" s="1"/>
  <c r="T1471" i="1" s="1"/>
  <c r="U1471" i="1" s="1"/>
  <c r="I1673" i="1"/>
  <c r="J1673" i="1" s="1"/>
  <c r="K1673" i="1" s="1"/>
  <c r="L1673" i="1" s="1"/>
  <c r="M1673" i="1" s="1"/>
  <c r="N1673" i="1" s="1"/>
  <c r="O1673" i="1" s="1"/>
  <c r="P1673" i="1" s="1"/>
  <c r="Q1673" i="1" s="1"/>
  <c r="R1673" i="1" s="1"/>
  <c r="S1673" i="1" s="1"/>
  <c r="T1673" i="1" s="1"/>
  <c r="U1673" i="1" s="1"/>
  <c r="I2408" i="1"/>
  <c r="J2408" i="1" s="1"/>
  <c r="K2408" i="1" s="1"/>
  <c r="L2408" i="1" s="1"/>
  <c r="M2408" i="1" s="1"/>
  <c r="N2408" i="1" s="1"/>
  <c r="O2408" i="1" s="1"/>
  <c r="P2408" i="1" s="1"/>
  <c r="Q2408" i="1" s="1"/>
  <c r="R2408" i="1" s="1"/>
  <c r="S2408" i="1" s="1"/>
  <c r="T2408" i="1" s="1"/>
  <c r="U2408" i="1" s="1"/>
  <c r="I1426" i="1"/>
  <c r="J1426" i="1" s="1"/>
  <c r="K1426" i="1" s="1"/>
  <c r="L1426" i="1" s="1"/>
  <c r="M1426" i="1" s="1"/>
  <c r="N1426" i="1" s="1"/>
  <c r="O1426" i="1" s="1"/>
  <c r="I183" i="1"/>
  <c r="J183" i="1" s="1"/>
  <c r="K183" i="1" s="1"/>
  <c r="L183" i="1" s="1"/>
  <c r="M183" i="1" s="1"/>
  <c r="N183" i="1" s="1"/>
  <c r="O183" i="1" s="1"/>
  <c r="P183" i="1" s="1"/>
  <c r="Q183" i="1" s="1"/>
  <c r="R183" i="1" s="1"/>
  <c r="S183" i="1" s="1"/>
  <c r="T183" i="1" s="1"/>
  <c r="U183" i="1" s="1"/>
  <c r="I1619" i="1"/>
  <c r="J1619" i="1" s="1"/>
  <c r="K1619" i="1" s="1"/>
  <c r="L1619" i="1" s="1"/>
  <c r="M1619" i="1" s="1"/>
  <c r="N1619" i="1" s="1"/>
  <c r="O1619" i="1" s="1"/>
  <c r="P1619" i="1" s="1"/>
  <c r="Q1619" i="1" s="1"/>
  <c r="AD21" i="8" l="1"/>
  <c r="AE21" i="8"/>
  <c r="O21" i="8"/>
  <c r="O18" i="8" s="1"/>
  <c r="R21" i="8"/>
  <c r="O12" i="8"/>
  <c r="O11" i="8"/>
  <c r="O13" i="8"/>
  <c r="O10" i="8"/>
  <c r="O9" i="8"/>
  <c r="O7" i="8"/>
  <c r="O6" i="8"/>
  <c r="O8" i="8"/>
  <c r="O5" i="8"/>
  <c r="U1881" i="1"/>
  <c r="U1886" i="1"/>
  <c r="U189" i="1"/>
  <c r="U194" i="1"/>
  <c r="U2414" i="1"/>
  <c r="U2419" i="1"/>
  <c r="U2730" i="1"/>
  <c r="U2735" i="1"/>
  <c r="U1679" i="1"/>
  <c r="U1684" i="1"/>
  <c r="U1482" i="1"/>
  <c r="U1477" i="1"/>
  <c r="AD9" i="8"/>
  <c r="AD13" i="8"/>
  <c r="Y21" i="8"/>
  <c r="Y18" i="8" s="1"/>
  <c r="S21" i="8"/>
  <c r="S18" i="8" s="1"/>
  <c r="X21" i="8"/>
  <c r="X18" i="8" s="1"/>
  <c r="AC21" i="8"/>
  <c r="AC18" i="8" s="1"/>
  <c r="W21" i="8"/>
  <c r="W18" i="8" s="1"/>
  <c r="AB21" i="8"/>
  <c r="AB18" i="8" s="1"/>
  <c r="V21" i="8"/>
  <c r="V18" i="8" s="1"/>
  <c r="AA21" i="8"/>
  <c r="U21" i="8"/>
  <c r="U18" i="8" s="1"/>
  <c r="Z21" i="8"/>
  <c r="Z18" i="8" s="1"/>
  <c r="T21" i="8"/>
  <c r="T18" i="8" s="1"/>
  <c r="Q21" i="8"/>
  <c r="V7" i="8"/>
  <c r="AB7" i="8"/>
  <c r="V8" i="8"/>
  <c r="AB10" i="8"/>
  <c r="V12" i="8"/>
  <c r="AC7" i="8"/>
  <c r="W10" i="8"/>
  <c r="AC10" i="8"/>
  <c r="W11" i="8"/>
  <c r="AC11" i="8"/>
  <c r="X7" i="8"/>
  <c r="X9" i="8"/>
  <c r="X10" i="8"/>
  <c r="X13" i="8"/>
  <c r="S7" i="8"/>
  <c r="Y7" i="8"/>
  <c r="S9" i="8"/>
  <c r="Y11" i="8"/>
  <c r="S12" i="8"/>
  <c r="S13" i="8"/>
  <c r="Y13" i="8"/>
  <c r="S5" i="8"/>
  <c r="Z8" i="8"/>
  <c r="Z9" i="8"/>
  <c r="Z10" i="8"/>
  <c r="Z11" i="8"/>
  <c r="T12" i="8"/>
  <c r="Z12" i="8"/>
  <c r="Z13" i="8"/>
  <c r="AA7" i="8"/>
  <c r="U8" i="8"/>
  <c r="AA8" i="8"/>
  <c r="U9" i="8"/>
  <c r="AA9" i="8"/>
  <c r="AA11" i="8"/>
  <c r="U12" i="8"/>
  <c r="AA12" i="8"/>
  <c r="U13" i="8"/>
  <c r="AA13" i="8"/>
  <c r="U5" i="8"/>
  <c r="F34" i="8"/>
  <c r="H74" i="8"/>
  <c r="F48" i="8"/>
  <c r="F28" i="8"/>
  <c r="H56" i="8"/>
  <c r="H53" i="8"/>
  <c r="F49" i="8"/>
  <c r="L21" i="8"/>
  <c r="L6" i="8" s="1"/>
  <c r="F21" i="8"/>
  <c r="F6" i="8" s="1"/>
  <c r="E21" i="8"/>
  <c r="E6" i="8" s="1"/>
  <c r="I21" i="8"/>
  <c r="I6" i="8" s="1"/>
  <c r="H21" i="8"/>
  <c r="H6" i="8" s="1"/>
  <c r="G21" i="8"/>
  <c r="G6" i="8" s="1"/>
  <c r="N21" i="8"/>
  <c r="N18" i="8" s="1"/>
  <c r="D21" i="8"/>
  <c r="D6" i="8" s="1"/>
  <c r="M21" i="8"/>
  <c r="J21" i="8"/>
  <c r="J6" i="8" s="1"/>
  <c r="C21" i="8"/>
  <c r="C6" i="8" s="1"/>
  <c r="L2451" i="1"/>
  <c r="L2455" i="1" s="1"/>
  <c r="T189" i="1"/>
  <c r="T194" i="1"/>
  <c r="T1886" i="1"/>
  <c r="T1881" i="1"/>
  <c r="T2419" i="1"/>
  <c r="T2414" i="1"/>
  <c r="T1684" i="1"/>
  <c r="T1679" i="1"/>
  <c r="T2735" i="1"/>
  <c r="T2730" i="1"/>
  <c r="T1477" i="1"/>
  <c r="T1482" i="1"/>
  <c r="N5" i="8"/>
  <c r="N11" i="8"/>
  <c r="N12" i="8"/>
  <c r="N7" i="8"/>
  <c r="N13" i="8"/>
  <c r="N8" i="8"/>
  <c r="N9" i="8"/>
  <c r="N10" i="8"/>
  <c r="L5" i="8"/>
  <c r="L7" i="8"/>
  <c r="F8" i="8"/>
  <c r="J8" i="8"/>
  <c r="D9" i="8"/>
  <c r="H9" i="8"/>
  <c r="L9" i="8"/>
  <c r="D11" i="8"/>
  <c r="H11" i="8"/>
  <c r="L11" i="8"/>
  <c r="F12" i="8"/>
  <c r="J12" i="8"/>
  <c r="D13" i="8"/>
  <c r="H13" i="8"/>
  <c r="L13" i="8"/>
  <c r="C8" i="8"/>
  <c r="C12" i="8"/>
  <c r="I5" i="8"/>
  <c r="M5" i="8"/>
  <c r="I7" i="8"/>
  <c r="G8" i="8"/>
  <c r="K8" i="8"/>
  <c r="E9" i="8"/>
  <c r="I9" i="8"/>
  <c r="M9" i="8"/>
  <c r="E11" i="8"/>
  <c r="I11" i="8"/>
  <c r="M11" i="8"/>
  <c r="G12" i="8"/>
  <c r="K12" i="8"/>
  <c r="E13" i="8"/>
  <c r="I13" i="8"/>
  <c r="M13" i="8"/>
  <c r="C9" i="8"/>
  <c r="C13" i="8"/>
  <c r="D8" i="8"/>
  <c r="H8" i="8"/>
  <c r="L8" i="8"/>
  <c r="F9" i="8"/>
  <c r="J9" i="8"/>
  <c r="F11" i="8"/>
  <c r="J11" i="8"/>
  <c r="D12" i="8"/>
  <c r="H12" i="8"/>
  <c r="L12" i="8"/>
  <c r="F13" i="8"/>
  <c r="J13" i="8"/>
  <c r="G7" i="8"/>
  <c r="E8" i="8"/>
  <c r="I8" i="8"/>
  <c r="M8" i="8"/>
  <c r="G9" i="8"/>
  <c r="K9" i="8"/>
  <c r="G11" i="8"/>
  <c r="K11" i="8"/>
  <c r="E12" i="8"/>
  <c r="I12" i="8"/>
  <c r="M12" i="8"/>
  <c r="G13" i="8"/>
  <c r="K13" i="8"/>
  <c r="C11" i="8"/>
  <c r="K200" i="1"/>
  <c r="K203" i="1"/>
  <c r="I1716" i="1"/>
  <c r="I1720" i="1" s="1"/>
  <c r="L205" i="1"/>
  <c r="J201" i="1"/>
  <c r="L1716" i="1"/>
  <c r="L1720" i="1" s="1"/>
  <c r="Q1625" i="1"/>
  <c r="R1619" i="1"/>
  <c r="Q1630" i="1"/>
  <c r="R1821" i="1"/>
  <c r="Q1827" i="1"/>
  <c r="Q1832" i="1"/>
  <c r="Q2965" i="1"/>
  <c r="P2976" i="1"/>
  <c r="P2982" i="1"/>
  <c r="P2971" i="1"/>
  <c r="Q2971" i="1" s="1"/>
  <c r="R2971" i="1" s="1"/>
  <c r="S2971" i="1" s="1"/>
  <c r="T2971" i="1" s="1"/>
  <c r="U2971" i="1" s="1"/>
  <c r="R194" i="1"/>
  <c r="R189" i="1"/>
  <c r="R2414" i="1"/>
  <c r="R2419" i="1"/>
  <c r="R1684" i="1"/>
  <c r="R1679" i="1"/>
  <c r="R1886" i="1"/>
  <c r="R1881" i="1"/>
  <c r="R1482" i="1"/>
  <c r="R1477" i="1"/>
  <c r="S2735" i="1"/>
  <c r="S2730" i="1"/>
  <c r="Q2735" i="1"/>
  <c r="Q2730" i="1"/>
  <c r="P1477" i="1"/>
  <c r="P1482" i="1"/>
  <c r="P1679" i="1"/>
  <c r="P1684" i="1"/>
  <c r="P2414" i="1"/>
  <c r="P2419" i="1"/>
  <c r="P189" i="1"/>
  <c r="P194" i="1"/>
  <c r="P1881" i="1"/>
  <c r="P1886" i="1"/>
  <c r="P1630" i="1"/>
  <c r="P1625" i="1"/>
  <c r="O1886" i="1"/>
  <c r="O1684" i="1"/>
  <c r="O2419" i="1"/>
  <c r="P1426" i="1"/>
  <c r="Q1426" i="1" s="1"/>
  <c r="R1426" i="1" s="1"/>
  <c r="S1426" i="1" s="1"/>
  <c r="T1426" i="1" s="1"/>
  <c r="U1426" i="1" s="1"/>
  <c r="O1437" i="1"/>
  <c r="O1482" i="1"/>
  <c r="O1477" i="1"/>
  <c r="P1727" i="1"/>
  <c r="Q1727" i="1" s="1"/>
  <c r="R1727" i="1" s="1"/>
  <c r="S1727" i="1" s="1"/>
  <c r="T1727" i="1" s="1"/>
  <c r="U1727" i="1" s="1"/>
  <c r="O1733" i="1"/>
  <c r="O1738" i="1"/>
  <c r="P2735" i="1"/>
  <c r="P2730" i="1"/>
  <c r="P1827" i="1"/>
  <c r="P1832" i="1"/>
  <c r="I1918" i="1"/>
  <c r="O194" i="1"/>
  <c r="O189" i="1"/>
  <c r="O1881" i="1"/>
  <c r="O2735" i="1"/>
  <c r="O2730" i="1"/>
  <c r="O1832" i="1"/>
  <c r="O1827" i="1"/>
  <c r="O2414" i="1"/>
  <c r="L3008" i="1"/>
  <c r="L3012" i="1" s="1"/>
  <c r="O1432" i="1"/>
  <c r="O1679" i="1"/>
  <c r="O1630" i="1"/>
  <c r="O1625" i="1"/>
  <c r="K779" i="1"/>
  <c r="N1630" i="1"/>
  <c r="N1625" i="1"/>
  <c r="N1832" i="1"/>
  <c r="N1827" i="1"/>
  <c r="N189" i="1"/>
  <c r="N194" i="1"/>
  <c r="N1886" i="1"/>
  <c r="N1881" i="1"/>
  <c r="N1437" i="1"/>
  <c r="N1432" i="1"/>
  <c r="N1738" i="1"/>
  <c r="N1733" i="1"/>
  <c r="N2414" i="1"/>
  <c r="N2419" i="1"/>
  <c r="N1684" i="1"/>
  <c r="N1679" i="1"/>
  <c r="N1482" i="1"/>
  <c r="N1477" i="1"/>
  <c r="N2730" i="1"/>
  <c r="N2735" i="1"/>
  <c r="I1459" i="1"/>
  <c r="I216" i="1"/>
  <c r="I485" i="1"/>
  <c r="I3012" i="1"/>
  <c r="J1459" i="1"/>
  <c r="K1446" i="1"/>
  <c r="K1459" i="1" s="1"/>
  <c r="K1693" i="1"/>
  <c r="J1716" i="1"/>
  <c r="K2428" i="1"/>
  <c r="K2451" i="1" s="1"/>
  <c r="I1868" i="1"/>
  <c r="I1127" i="1"/>
  <c r="K3012" i="1"/>
  <c r="I779" i="1"/>
  <c r="J1123" i="1"/>
  <c r="J779" i="1"/>
  <c r="M189" i="1"/>
  <c r="M194" i="1"/>
  <c r="M1886" i="1"/>
  <c r="M1881" i="1"/>
  <c r="M1437" i="1"/>
  <c r="M1432" i="1"/>
  <c r="M1477" i="1"/>
  <c r="M1482" i="1"/>
  <c r="M2735" i="1"/>
  <c r="M2730" i="1"/>
  <c r="M2419" i="1"/>
  <c r="M2414" i="1"/>
  <c r="M1684" i="1"/>
  <c r="M1679" i="1"/>
  <c r="M1738" i="1"/>
  <c r="M1733" i="1"/>
  <c r="M1630" i="1"/>
  <c r="M1625" i="1"/>
  <c r="M1827" i="1"/>
  <c r="M1832" i="1"/>
  <c r="K1127" i="1"/>
  <c r="L2735" i="1"/>
  <c r="L2730" i="1"/>
  <c r="L1738" i="1"/>
  <c r="L1733" i="1"/>
  <c r="L1482" i="1"/>
  <c r="L1477" i="1"/>
  <c r="L1684" i="1"/>
  <c r="L1679" i="1"/>
  <c r="L2419" i="1"/>
  <c r="L2414" i="1"/>
  <c r="L1437" i="1"/>
  <c r="L1432" i="1"/>
  <c r="L194" i="1"/>
  <c r="L189" i="1"/>
  <c r="L1886" i="1"/>
  <c r="L1881" i="1"/>
  <c r="L1832" i="1"/>
  <c r="L1827" i="1"/>
  <c r="L1630" i="1"/>
  <c r="L1625" i="1"/>
  <c r="I1518" i="1"/>
  <c r="I192" i="1"/>
  <c r="I1666" i="1"/>
  <c r="E20" i="6"/>
  <c r="F20" i="6"/>
  <c r="I2771" i="1"/>
  <c r="I1435" i="1"/>
  <c r="D20" i="6"/>
  <c r="J1666" i="1"/>
  <c r="K1666" i="1"/>
  <c r="O14" i="8" l="1"/>
  <c r="AD10" i="8"/>
  <c r="AC9" i="8"/>
  <c r="AC5" i="8"/>
  <c r="T5" i="8"/>
  <c r="T9" i="8"/>
  <c r="S10" i="8"/>
  <c r="X8" i="8"/>
  <c r="V5" i="8"/>
  <c r="AA10" i="8"/>
  <c r="T13" i="8"/>
  <c r="T8" i="8"/>
  <c r="S8" i="8"/>
  <c r="W13" i="8"/>
  <c r="V13" i="8"/>
  <c r="AD12" i="8"/>
  <c r="U11" i="8"/>
  <c r="U7" i="8"/>
  <c r="T11" i="8"/>
  <c r="T7" i="8"/>
  <c r="Y10" i="8"/>
  <c r="Y5" i="8"/>
  <c r="AC13" i="8"/>
  <c r="W8" i="8"/>
  <c r="V11" i="8"/>
  <c r="AB5" i="8"/>
  <c r="U10" i="8"/>
  <c r="AA5" i="8"/>
  <c r="T10" i="8"/>
  <c r="Z5" i="8"/>
  <c r="Y9" i="8"/>
  <c r="X12" i="8"/>
  <c r="W12" i="8"/>
  <c r="W7" i="8"/>
  <c r="V10" i="8"/>
  <c r="V9" i="8"/>
  <c r="AD6" i="8"/>
  <c r="Z7" i="8"/>
  <c r="S11" i="8"/>
  <c r="X5" i="8"/>
  <c r="W5" i="8"/>
  <c r="W9" i="8"/>
  <c r="AB11" i="8"/>
  <c r="AB13" i="8"/>
  <c r="AB9" i="8"/>
  <c r="Y12" i="8"/>
  <c r="Y8" i="8"/>
  <c r="X11" i="8"/>
  <c r="AC12" i="8"/>
  <c r="AC8" i="8"/>
  <c r="AB12" i="8"/>
  <c r="AB8" i="8"/>
  <c r="AD5" i="8"/>
  <c r="AD7" i="8"/>
  <c r="AD11" i="8"/>
  <c r="AD8" i="8"/>
  <c r="AE11" i="8"/>
  <c r="AE12" i="8"/>
  <c r="AE13" i="8"/>
  <c r="AE10" i="8"/>
  <c r="AE7" i="8"/>
  <c r="AE6" i="8"/>
  <c r="AE9" i="8"/>
  <c r="AE8" i="8"/>
  <c r="AE5" i="8"/>
  <c r="U1432" i="1"/>
  <c r="U1437" i="1"/>
  <c r="U1733" i="1"/>
  <c r="U1738" i="1"/>
  <c r="V6" i="8"/>
  <c r="Y6" i="8"/>
  <c r="S6" i="8"/>
  <c r="H5" i="8"/>
  <c r="U6" i="8"/>
  <c r="X6" i="8"/>
  <c r="AB6" i="8"/>
  <c r="AC6" i="8"/>
  <c r="W6" i="8"/>
  <c r="Z6" i="8"/>
  <c r="T6" i="8"/>
  <c r="N6" i="8"/>
  <c r="N14" i="8" s="1"/>
  <c r="D52" i="8"/>
  <c r="E41" i="8"/>
  <c r="C41" i="8"/>
  <c r="F79" i="8"/>
  <c r="F68" i="8"/>
  <c r="E52" i="8"/>
  <c r="C52" i="8"/>
  <c r="C49" i="8"/>
  <c r="C56" i="8"/>
  <c r="C79" i="8"/>
  <c r="E34" i="8"/>
  <c r="F53" i="8"/>
  <c r="C74" i="8"/>
  <c r="D34" i="8"/>
  <c r="C28" i="8"/>
  <c r="C34" i="8"/>
  <c r="C53" i="8"/>
  <c r="E79" i="8"/>
  <c r="T1432" i="1"/>
  <c r="T1437" i="1"/>
  <c r="T1733" i="1"/>
  <c r="T1738" i="1"/>
  <c r="J216" i="1"/>
  <c r="J220" i="1" s="1"/>
  <c r="L216" i="1"/>
  <c r="L220" i="1" s="1"/>
  <c r="K216" i="1"/>
  <c r="K220" i="1" s="1"/>
  <c r="L200" i="1"/>
  <c r="M200" i="1" s="1"/>
  <c r="N200" i="1" s="1"/>
  <c r="O200" i="1" s="1"/>
  <c r="P200" i="1" s="1"/>
  <c r="Q200" i="1" s="1"/>
  <c r="R200" i="1" s="1"/>
  <c r="S200" i="1" s="1"/>
  <c r="T200" i="1" s="1"/>
  <c r="U200" i="1" s="1"/>
  <c r="S1341" i="1"/>
  <c r="O1341" i="1"/>
  <c r="K1341" i="1"/>
  <c r="R1341" i="1"/>
  <c r="N1341" i="1"/>
  <c r="J1341" i="1"/>
  <c r="Q1341" i="1"/>
  <c r="M1341" i="1"/>
  <c r="I1341" i="1"/>
  <c r="P1341" i="1"/>
  <c r="L1341" i="1"/>
  <c r="K1716" i="1"/>
  <c r="K1720" i="1" s="1"/>
  <c r="K485" i="1"/>
  <c r="I2455" i="1"/>
  <c r="R1827" i="1"/>
  <c r="R1832" i="1"/>
  <c r="S1821" i="1"/>
  <c r="T1821" i="1" s="1"/>
  <c r="U1821" i="1" s="1"/>
  <c r="Q2976" i="1"/>
  <c r="Q2982" i="1"/>
  <c r="R2965" i="1"/>
  <c r="R1625" i="1"/>
  <c r="R1630" i="1"/>
  <c r="S1619" i="1"/>
  <c r="T1619" i="1" s="1"/>
  <c r="U1619" i="1" s="1"/>
  <c r="R2735" i="1"/>
  <c r="R2730" i="1"/>
  <c r="R1733" i="1"/>
  <c r="R1738" i="1"/>
  <c r="R1437" i="1"/>
  <c r="R1432" i="1"/>
  <c r="S1482" i="1"/>
  <c r="S1477" i="1"/>
  <c r="S1886" i="1"/>
  <c r="S1881" i="1"/>
  <c r="S1684" i="1"/>
  <c r="S1679" i="1"/>
  <c r="S189" i="1"/>
  <c r="S194" i="1"/>
  <c r="S2419" i="1"/>
  <c r="S2414" i="1"/>
  <c r="P1733" i="1"/>
  <c r="P1738" i="1"/>
  <c r="Q1477" i="1"/>
  <c r="Q1482" i="1"/>
  <c r="Q1679" i="1"/>
  <c r="Q1684" i="1"/>
  <c r="Q2414" i="1"/>
  <c r="Q2419" i="1"/>
  <c r="P1437" i="1"/>
  <c r="P1432" i="1"/>
  <c r="Q1881" i="1"/>
  <c r="Q1886" i="1"/>
  <c r="Q189" i="1"/>
  <c r="Q194" i="1"/>
  <c r="J1463" i="1"/>
  <c r="I1922" i="1"/>
  <c r="K1518" i="1"/>
  <c r="J3012" i="1"/>
  <c r="I220" i="1"/>
  <c r="K1463" i="1"/>
  <c r="I1463" i="1"/>
  <c r="K2455" i="1"/>
  <c r="J1127" i="1"/>
  <c r="J2771" i="1"/>
  <c r="J485" i="1"/>
  <c r="L2771" i="1"/>
  <c r="M2771" i="1"/>
  <c r="J2455" i="1"/>
  <c r="K2771" i="1"/>
  <c r="AE14" i="8" l="1"/>
  <c r="O12" i="6" s="1"/>
  <c r="O14" i="6" s="1"/>
  <c r="O53" i="6" s="1"/>
  <c r="AD14" i="8"/>
  <c r="N12" i="6" s="1"/>
  <c r="N14" i="6" s="1"/>
  <c r="U14" i="8"/>
  <c r="E12" i="6" s="1"/>
  <c r="Z14" i="8"/>
  <c r="J12" i="6" s="1"/>
  <c r="S14" i="8"/>
  <c r="C12" i="6" s="1"/>
  <c r="X14" i="8"/>
  <c r="H12" i="6" s="1"/>
  <c r="W14" i="8"/>
  <c r="G12" i="6" s="1"/>
  <c r="V14" i="8"/>
  <c r="F12" i="6" s="1"/>
  <c r="T14" i="8"/>
  <c r="D12" i="6" s="1"/>
  <c r="AB14" i="8"/>
  <c r="L12" i="6" s="1"/>
  <c r="Y14" i="8"/>
  <c r="I12" i="6" s="1"/>
  <c r="AC14" i="8"/>
  <c r="M12" i="6" s="1"/>
  <c r="U1630" i="1"/>
  <c r="U1625" i="1"/>
  <c r="U1832" i="1"/>
  <c r="U1827" i="1"/>
  <c r="F7" i="8"/>
  <c r="D48" i="8"/>
  <c r="G13" i="6"/>
  <c r="F23" i="8"/>
  <c r="C48" i="8"/>
  <c r="C68" i="8"/>
  <c r="C7" i="8" s="1"/>
  <c r="I13" i="6"/>
  <c r="D28" i="8"/>
  <c r="E48" i="8"/>
  <c r="E23" i="8"/>
  <c r="E28" i="8"/>
  <c r="K13" i="6"/>
  <c r="M13" i="6"/>
  <c r="D23" i="8"/>
  <c r="D74" i="8"/>
  <c r="E53" i="8"/>
  <c r="D13" i="6"/>
  <c r="E74" i="8"/>
  <c r="D41" i="8"/>
  <c r="L13" i="6"/>
  <c r="F74" i="8"/>
  <c r="C23" i="8"/>
  <c r="D79" i="8"/>
  <c r="F13" i="6"/>
  <c r="H13" i="6"/>
  <c r="D68" i="8"/>
  <c r="D7" i="8" s="1"/>
  <c r="E49" i="8"/>
  <c r="J13" i="6"/>
  <c r="G74" i="8"/>
  <c r="E68" i="8"/>
  <c r="C57" i="8"/>
  <c r="C13" i="6"/>
  <c r="E13" i="6"/>
  <c r="T1630" i="1"/>
  <c r="T1625" i="1"/>
  <c r="T1827" i="1"/>
  <c r="T1832" i="1"/>
  <c r="I1367" i="1"/>
  <c r="N1367" i="1"/>
  <c r="S1367" i="1"/>
  <c r="J1367" i="1"/>
  <c r="M1367" i="1"/>
  <c r="R1367" i="1"/>
  <c r="P1367" i="1"/>
  <c r="O1367" i="1"/>
  <c r="L1367" i="1"/>
  <c r="Q1367" i="1"/>
  <c r="K1367" i="1"/>
  <c r="S2965" i="1"/>
  <c r="T2965" i="1" s="1"/>
  <c r="U2965" i="1" s="1"/>
  <c r="R2982" i="1"/>
  <c r="R2976" i="1"/>
  <c r="S1625" i="1"/>
  <c r="S1630" i="1"/>
  <c r="S1827" i="1"/>
  <c r="S1832" i="1"/>
  <c r="S1738" i="1"/>
  <c r="S1733" i="1"/>
  <c r="S1432" i="1"/>
  <c r="S1437" i="1"/>
  <c r="Q1733" i="1"/>
  <c r="Q1738" i="1"/>
  <c r="Q1437" i="1"/>
  <c r="Q1432" i="1"/>
  <c r="U2976" i="1" l="1"/>
  <c r="U2982" i="1"/>
  <c r="G14" i="6"/>
  <c r="F14" i="6"/>
  <c r="E14" i="6"/>
  <c r="D14" i="6"/>
  <c r="C14" i="6"/>
  <c r="J14" i="6"/>
  <c r="H14" i="6"/>
  <c r="M14" i="6"/>
  <c r="I14" i="6"/>
  <c r="E7" i="8"/>
  <c r="E46" i="8"/>
  <c r="E10" i="8" s="1"/>
  <c r="I46" i="8"/>
  <c r="I18" i="8" s="1"/>
  <c r="J46" i="8"/>
  <c r="K46" i="8"/>
  <c r="K10" i="8" s="1"/>
  <c r="C46" i="8"/>
  <c r="C18" i="8" s="1"/>
  <c r="G46" i="8"/>
  <c r="G10" i="8" s="1"/>
  <c r="D46" i="8"/>
  <c r="D10" i="8" s="1"/>
  <c r="C5" i="8"/>
  <c r="H46" i="8"/>
  <c r="F46" i="8"/>
  <c r="F10" i="8" s="1"/>
  <c r="L46" i="8"/>
  <c r="L18" i="8" s="1"/>
  <c r="M46" i="8"/>
  <c r="M10" i="8" s="1"/>
  <c r="T2976" i="1"/>
  <c r="T2982" i="1"/>
  <c r="S2982" i="1"/>
  <c r="S2976" i="1"/>
  <c r="C10" i="8" l="1"/>
  <c r="C14" i="8" s="1"/>
  <c r="J10" i="8"/>
  <c r="L10" i="8"/>
  <c r="L14" i="8" s="1"/>
  <c r="H10" i="8"/>
  <c r="I10" i="8"/>
  <c r="I14" i="8" s="1"/>
  <c r="J1918" i="1" l="1"/>
  <c r="K1918" i="1"/>
  <c r="L1868" i="1"/>
  <c r="L1922" i="1"/>
  <c r="M1922" i="1"/>
  <c r="F57" i="8" l="1"/>
  <c r="G57" i="8"/>
  <c r="G56" i="8"/>
  <c r="F56" i="8"/>
  <c r="J1922" i="1"/>
  <c r="J1868" i="1"/>
  <c r="G5" i="8" l="1"/>
  <c r="G14" i="8" s="1"/>
  <c r="F5" i="8"/>
  <c r="F14" i="8" s="1"/>
  <c r="D56" i="8"/>
  <c r="D57" i="8"/>
  <c r="F18" i="8"/>
  <c r="G18" i="8"/>
  <c r="K1922" i="1"/>
  <c r="K1868" i="1"/>
  <c r="D5" i="8" l="1"/>
  <c r="D14" i="8" s="1"/>
  <c r="D18" i="8"/>
  <c r="E56" i="8"/>
  <c r="E57" i="8"/>
  <c r="N1497" i="1"/>
  <c r="E18" i="8" l="1"/>
  <c r="E5" i="8"/>
  <c r="E14" i="8" s="1"/>
  <c r="N1514" i="1"/>
  <c r="N1518" i="1" l="1"/>
  <c r="N2436" i="1"/>
  <c r="H49" i="8" l="1"/>
  <c r="N2451" i="1"/>
  <c r="N2455" i="1" s="1"/>
  <c r="H68" i="8" l="1"/>
  <c r="H7" i="8" s="1"/>
  <c r="H14" i="8" s="1"/>
  <c r="S980" i="1"/>
  <c r="H18" i="8" l="1"/>
  <c r="M38" i="8"/>
  <c r="M18" i="8" s="1"/>
  <c r="Q980" i="1"/>
  <c r="Q132" i="1"/>
  <c r="Q133" i="1" s="1"/>
  <c r="AA22" i="8" s="1"/>
  <c r="Q388" i="1"/>
  <c r="Q389" i="1" s="1"/>
  <c r="AA27" i="8" s="1"/>
  <c r="Q2255" i="1"/>
  <c r="AA65" i="8" s="1"/>
  <c r="Q842" i="1"/>
  <c r="K38" i="8" l="1"/>
  <c r="K21" i="8"/>
  <c r="M6" i="8"/>
  <c r="M14" i="8" s="1"/>
  <c r="Q432" i="1"/>
  <c r="Q2298" i="1"/>
  <c r="Q843" i="1"/>
  <c r="AA36" i="8" s="1"/>
  <c r="AA6" i="8" s="1"/>
  <c r="AA14" i="8" s="1"/>
  <c r="Q176" i="1"/>
  <c r="Q485" i="1"/>
  <c r="L14" i="6" l="1"/>
  <c r="K12" i="6"/>
  <c r="K14" i="6" s="1"/>
  <c r="AA18" i="8"/>
  <c r="K28" i="8"/>
  <c r="K22" i="8"/>
  <c r="K65" i="8"/>
  <c r="K27" i="8"/>
  <c r="Q886" i="1"/>
  <c r="Q1518" i="1"/>
  <c r="K36" i="8" l="1"/>
  <c r="K6" i="8" s="1"/>
  <c r="K49" i="8"/>
  <c r="Q2455" i="1"/>
  <c r="Q1922" i="1"/>
  <c r="K57" i="8" l="1"/>
  <c r="K68" i="8"/>
  <c r="K7" i="8" s="1"/>
  <c r="Q1666" i="1"/>
  <c r="K52" i="8" l="1"/>
  <c r="P1518" i="1"/>
  <c r="J49" i="8" l="1"/>
  <c r="P2455" i="1"/>
  <c r="J68" i="8" l="1"/>
  <c r="J7" i="8" s="1"/>
  <c r="Q779" i="1"/>
  <c r="Q1127" i="1"/>
  <c r="K34" i="8" l="1"/>
  <c r="K41" i="8"/>
  <c r="Q3012" i="1"/>
  <c r="K79" i="8" l="1"/>
  <c r="K5" i="8" s="1"/>
  <c r="K14" i="8" s="1"/>
  <c r="P2771" i="1"/>
  <c r="N45" i="6" l="1"/>
  <c r="L41" i="6"/>
  <c r="J36" i="6"/>
  <c r="M43" i="6"/>
  <c r="L42" i="6"/>
  <c r="J37" i="6"/>
  <c r="M44" i="6"/>
  <c r="L39" i="6"/>
  <c r="K40" i="6"/>
  <c r="M41" i="6"/>
  <c r="M42" i="6"/>
  <c r="K39" i="6"/>
  <c r="N44" i="6"/>
  <c r="N43" i="6"/>
  <c r="K37" i="6"/>
  <c r="L40" i="6"/>
  <c r="J35" i="6"/>
  <c r="K38" i="6"/>
  <c r="I34" i="6"/>
  <c r="I33" i="6"/>
  <c r="I35" i="6"/>
  <c r="C24" i="6"/>
  <c r="D24" i="6"/>
  <c r="E27" i="6"/>
  <c r="F27" i="6"/>
  <c r="C23" i="6"/>
  <c r="F28" i="6"/>
  <c r="D23" i="6"/>
  <c r="H31" i="6"/>
  <c r="F30" i="6"/>
  <c r="G31" i="6"/>
  <c r="H34" i="6"/>
  <c r="G32" i="6"/>
  <c r="E25" i="6"/>
  <c r="D25" i="6"/>
  <c r="H32" i="6"/>
  <c r="G29" i="6"/>
  <c r="F29" i="6"/>
  <c r="E26" i="6"/>
  <c r="H33" i="6"/>
  <c r="G30" i="6"/>
  <c r="K18" i="8"/>
  <c r="J74" i="8"/>
  <c r="J18" i="8" s="1"/>
  <c r="J48" i="6" l="1"/>
  <c r="J53" i="6" s="1"/>
  <c r="I48" i="6"/>
  <c r="I53" i="6" s="1"/>
  <c r="G48" i="6"/>
  <c r="G53" i="6" s="1"/>
  <c r="H48" i="6"/>
  <c r="H53" i="6" s="1"/>
  <c r="C48" i="6"/>
  <c r="L48" i="6"/>
  <c r="L53" i="6" s="1"/>
  <c r="K48" i="6"/>
  <c r="K53" i="6" s="1"/>
  <c r="N48" i="6"/>
  <c r="N53" i="6" s="1"/>
  <c r="D48" i="6"/>
  <c r="E48" i="6"/>
  <c r="E53" i="6" s="1"/>
  <c r="M48" i="6"/>
  <c r="M53" i="6" s="1"/>
  <c r="F48" i="6"/>
  <c r="F53" i="6" s="1"/>
  <c r="J5" i="8"/>
  <c r="J14" i="8" s="1"/>
  <c r="C53" i="6" l="1"/>
  <c r="D53" i="6" l="1"/>
</calcChain>
</file>

<file path=xl/sharedStrings.xml><?xml version="1.0" encoding="utf-8"?>
<sst xmlns="http://schemas.openxmlformats.org/spreadsheetml/2006/main" count="3432" uniqueCount="323">
  <si>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</si>
  <si>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</si>
  <si>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</si>
  <si>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</si>
  <si>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</si>
  <si>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</si>
  <si>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</si>
  <si>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</si>
  <si>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</si>
  <si>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</si>
  <si>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</si>
  <si>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</si>
  <si>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</si>
  <si>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</si>
  <si>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</si>
  <si>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</si>
  <si>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</si>
  <si>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</si>
  <si>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</si>
  <si>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</si>
  <si>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</si>
  <si>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</si>
  <si>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</si>
  <si>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</si>
  <si>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</si>
  <si>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</si>
  <si>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</si>
  <si>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</si>
  <si>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</si>
  <si>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</si>
  <si>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</si>
  <si>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</si>
  <si>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</si>
  <si>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</si>
  <si>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</si>
  <si>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</si>
  <si>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</si>
  <si>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</si>
  <si>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</si>
  <si>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</si>
  <si>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</si>
  <si>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</si>
  <si>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</si>
  <si>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</si>
  <si>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</si>
  <si>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</si>
  <si>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</si>
  <si>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</si>
  <si>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</si>
  <si>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</si>
  <si>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</si>
  <si>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</si>
  <si>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</si>
  <si>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</si>
  <si>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</si>
  <si>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</si>
  <si>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</si>
  <si>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</si>
  <si>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</si>
  <si>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</si>
  <si>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</si>
  <si>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</si>
  <si>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</si>
  <si>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</si>
  <si>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</si>
  <si>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</si>
  <si>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</si>
  <si>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</si>
  <si>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</si>
  <si>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</si>
  <si>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</si>
  <si>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</si>
  <si>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</si>
  <si>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</si>
  <si>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</si>
  <si>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</si>
  <si>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</si>
  <si>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</si>
  <si>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</si>
  <si>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</si>
  <si>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</si>
  <si>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</si>
  <si>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</si>
  <si>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</si>
  <si>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</si>
  <si>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</si>
  <si>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</si>
  <si>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</si>
  <si>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</si>
  <si>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</si>
  <si>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</si>
  <si>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</si>
  <si>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</si>
  <si>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</si>
  <si>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</si>
  <si>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</si>
  <si>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</si>
  <si>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</si>
  <si>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</si>
  <si>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</si>
  <si>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</si>
  <si>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</si>
  <si>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</si>
  <si>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</si>
  <si>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</si>
  <si>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</si>
  <si>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</si>
  <si>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</si>
  <si>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</si>
  <si>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</si>
  <si>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</si>
  <si>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</si>
  <si>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</si>
  <si>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</si>
  <si>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</si>
  <si>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</si>
  <si>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</si>
  <si>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</si>
  <si>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</si>
  <si>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</si>
  <si>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</si>
  <si>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</si>
  <si>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</si>
  <si>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</si>
  <si>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</si>
  <si>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</si>
  <si>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</si>
  <si>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</si>
  <si>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</si>
  <si>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</si>
  <si>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Marengo I</t>
  </si>
  <si>
    <t>W185</t>
  </si>
  <si>
    <t>Marengo II</t>
  </si>
  <si>
    <t>W772</t>
  </si>
  <si>
    <t>Bennett Creek Windfarm - REC Only</t>
  </si>
  <si>
    <t>W542</t>
  </si>
  <si>
    <t>Hot Springs Windfarm - REC Only</t>
  </si>
  <si>
    <t>W543</t>
  </si>
  <si>
    <t>Prospect 2 (Upgrade 1999)</t>
  </si>
  <si>
    <t>W140</t>
  </si>
  <si>
    <t>Lemolo 1 (Upgrade 2003)</t>
  </si>
  <si>
    <t>W157</t>
  </si>
  <si>
    <t>W180</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</si>
  <si>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</si>
  <si>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</si>
  <si>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</si>
  <si>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</si>
  <si>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</si>
  <si>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</si>
  <si>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</si>
  <si>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</si>
  <si>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</si>
  <si>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</si>
  <si>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</si>
  <si>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Top of the World</t>
  </si>
  <si>
    <t>W1749</t>
  </si>
  <si>
    <t>Dunlap I</t>
  </si>
  <si>
    <t>W1687</t>
  </si>
  <si>
    <t>Campbell Hill/Three Buttes</t>
  </si>
  <si>
    <t>W1383</t>
  </si>
  <si>
    <t>Glenrock Wind I</t>
  </si>
  <si>
    <t>W964</t>
  </si>
  <si>
    <t>Rolling Hills</t>
  </si>
  <si>
    <t>W928</t>
  </si>
  <si>
    <t>TBD</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</si>
  <si>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</si>
  <si>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</si>
  <si>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</si>
  <si>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</si>
  <si>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</si>
  <si>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</si>
  <si>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</si>
  <si>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</si>
  <si>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</si>
  <si>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</si>
  <si>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</si>
  <si>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</si>
  <si>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Adams Solar</t>
  </si>
  <si>
    <t>Bear Creek Solar</t>
  </si>
  <si>
    <t>Bly Solar</t>
  </si>
  <si>
    <t>Elbe Solar</t>
  </si>
  <si>
    <t>Enterprise Solar</t>
  </si>
  <si>
    <t>Pavant Solar</t>
  </si>
  <si>
    <t>W4619</t>
  </si>
  <si>
    <t>W4938</t>
  </si>
  <si>
    <t>2018 Surplus Applied to 2017</t>
  </si>
  <si>
    <t>2018 Surplus Applied to 2019</t>
  </si>
  <si>
    <t>2019 Surplus Applied to 2018</t>
  </si>
  <si>
    <t>2019 Surplus Applied to 2020</t>
  </si>
  <si>
    <t>2020 Surplus Applied to 2019</t>
  </si>
  <si>
    <t>2020 Surplus Applied to 2021</t>
  </si>
  <si>
    <t>Allocation Factors:</t>
  </si>
  <si>
    <t>W7039</t>
  </si>
  <si>
    <t>W7046</t>
  </si>
  <si>
    <t>W7044</t>
  </si>
  <si>
    <t>W4942</t>
  </si>
  <si>
    <t>W4943</t>
  </si>
  <si>
    <t>Granite Mountain East</t>
  </si>
  <si>
    <t>Granite Mountain West</t>
  </si>
  <si>
    <t>2021 Surplus Applied to 2020</t>
  </si>
  <si>
    <t>2021 Surplus Applied to 2022</t>
  </si>
  <si>
    <t>PacifiCorp</t>
  </si>
  <si>
    <t>Bennett Creek Wind Farm - REC Only</t>
  </si>
  <si>
    <t>Hot Springs Wind Farm - REC Only</t>
  </si>
  <si>
    <t>JC Boyle (Upgrate 2005)</t>
  </si>
  <si>
    <t>Lemolo 2 (Upgrage 2009)</t>
  </si>
  <si>
    <t>Bigfork</t>
  </si>
  <si>
    <t>Blundell</t>
  </si>
  <si>
    <t>Blundell II</t>
  </si>
  <si>
    <t>Campbell Hill</t>
  </si>
  <si>
    <t>Cedar Springs Wind I</t>
  </si>
  <si>
    <t>Cedar Springs Wind II</t>
  </si>
  <si>
    <t>Cedar Springs Wind III</t>
  </si>
  <si>
    <t>Ekola Flats Wind</t>
  </si>
  <si>
    <t>Enterprise</t>
  </si>
  <si>
    <t>Foote Creek I</t>
  </si>
  <si>
    <t>Glenrock I</t>
  </si>
  <si>
    <t>Glenrock III</t>
  </si>
  <si>
    <t>High Plains</t>
  </si>
  <si>
    <t xml:space="preserve">JC Boyle </t>
  </si>
  <si>
    <t>Latigo Wind</t>
  </si>
  <si>
    <t xml:space="preserve">Lemolo 1 </t>
  </si>
  <si>
    <t xml:space="preserve">Lemolo 2 </t>
  </si>
  <si>
    <t>McFadden Ridge</t>
  </si>
  <si>
    <t>Mountain Wind 1</t>
  </si>
  <si>
    <t>Mountain Wind 2</t>
  </si>
  <si>
    <t>Pavant</t>
  </si>
  <si>
    <t>Pavant Solar II LLC</t>
  </si>
  <si>
    <t>Pioneer Wind Park I LLC</t>
  </si>
  <si>
    <t xml:space="preserve">Prospect 2 </t>
  </si>
  <si>
    <t xml:space="preserve">Rock River I </t>
  </si>
  <si>
    <t>Sage Solar I, LLC</t>
  </si>
  <si>
    <t>Sage Solar II, LLC</t>
  </si>
  <si>
    <t>Sage Solar III, LLC</t>
  </si>
  <si>
    <t>Sweetwater Solar, LLC</t>
  </si>
  <si>
    <t xml:space="preserve">Wolverine Creek </t>
  </si>
  <si>
    <t>W179</t>
  </si>
  <si>
    <t>W194</t>
  </si>
  <si>
    <t>W230</t>
  </si>
  <si>
    <t>W10953</t>
  </si>
  <si>
    <t>W10972</t>
  </si>
  <si>
    <t>W201</t>
  </si>
  <si>
    <t>W965</t>
  </si>
  <si>
    <t>W1334</t>
  </si>
  <si>
    <t>W1341</t>
  </si>
  <si>
    <t>W1022</t>
  </si>
  <si>
    <t>W1023</t>
  </si>
  <si>
    <t>W5057</t>
  </si>
  <si>
    <t>W5126</t>
  </si>
  <si>
    <t>W187</t>
  </si>
  <si>
    <t>W8800</t>
  </si>
  <si>
    <t>W8808</t>
  </si>
  <si>
    <t>W8811</t>
  </si>
  <si>
    <t>W7365</t>
  </si>
  <si>
    <t>W188</t>
  </si>
  <si>
    <t>W7047</t>
  </si>
  <si>
    <t>W200</t>
  </si>
  <si>
    <t>Latigo</t>
  </si>
  <si>
    <t xml:space="preserve">McFadden Ridge </t>
  </si>
  <si>
    <t>Mountain Wind I</t>
  </si>
  <si>
    <t>Mountain Wind II</t>
  </si>
  <si>
    <t>Pavant Solar II</t>
  </si>
  <si>
    <t>Pioneer Wind Park</t>
  </si>
  <si>
    <t>Rock River</t>
  </si>
  <si>
    <t>Sage Solar I</t>
  </si>
  <si>
    <t>Sage Solar II</t>
  </si>
  <si>
    <t>Sage Solar III</t>
  </si>
  <si>
    <t>Sweetwater Solar</t>
  </si>
  <si>
    <t>TB Flats Wind I</t>
  </si>
  <si>
    <t>TB Flats Wind II</t>
  </si>
  <si>
    <t>Wolverine Creek</t>
  </si>
  <si>
    <t>*Tuana Springs - REC Only</t>
  </si>
  <si>
    <t>W1503</t>
  </si>
  <si>
    <t>1,063 RECs from Power County Wind Park South</t>
  </si>
  <si>
    <t>Wanapum (Upgrade)</t>
  </si>
  <si>
    <t>NA</t>
  </si>
  <si>
    <t>Nine Canyon Wind Project - REC Only</t>
  </si>
  <si>
    <t>W684</t>
  </si>
  <si>
    <t>SPI Aberdeen - REC Only</t>
  </si>
  <si>
    <t>W1640</t>
  </si>
  <si>
    <t>Fighting Creek - REC Only</t>
  </si>
  <si>
    <t>W2659</t>
  </si>
  <si>
    <t>Hidden Hollow - REC Only</t>
  </si>
  <si>
    <t>W1634</t>
  </si>
  <si>
    <t>Elkhorn Valley Wind - REC Only</t>
  </si>
  <si>
    <t>W186</t>
  </si>
  <si>
    <t>Lower Snake – Phalen Gulch - REC Only</t>
  </si>
  <si>
    <t>W2670</t>
  </si>
  <si>
    <t>Condon Wind Power Project - Condon Wind Power Project - REC Only</t>
  </si>
  <si>
    <t>W774</t>
  </si>
  <si>
    <t>Condon Wind Power Project - Condon Phase II - REC Only</t>
  </si>
  <si>
    <t>W833</t>
  </si>
  <si>
    <t>Klondike I - Klondike Wind Power LLC - REC Only</t>
  </si>
  <si>
    <t>W238</t>
  </si>
  <si>
    <t>Meadow Creek Wind Farm - Five Pine Project - REC Only</t>
  </si>
  <si>
    <t>W3186</t>
  </si>
  <si>
    <t>Meadow Creek Wind Farm - North Point Wind Farm - REC Only</t>
  </si>
  <si>
    <t>W3185</t>
  </si>
  <si>
    <t>Nine Canyon Wind Project - Nine Canyon Phase 3 - REC Only</t>
  </si>
  <si>
    <t>W697</t>
  </si>
  <si>
    <t>Stateline (WA) - FPL Energy Vansycle LLC - REC Only</t>
  </si>
  <si>
    <t>W248</t>
  </si>
  <si>
    <t>Seven Mile Hill II</t>
  </si>
  <si>
    <t>W976</t>
  </si>
  <si>
    <t>W11072</t>
  </si>
  <si>
    <t>W11488</t>
  </si>
  <si>
    <t>W4909</t>
  </si>
  <si>
    <t>2022 Surplus Applied to 2023</t>
  </si>
  <si>
    <t>2022 Surplus Applied to 2021</t>
  </si>
  <si>
    <t xml:space="preserve">SG </t>
  </si>
  <si>
    <t>CAGW</t>
  </si>
  <si>
    <t>Sum</t>
  </si>
  <si>
    <t xml:space="preserve">TOTAL </t>
  </si>
  <si>
    <t>Contribution to RCW 19.285 Compliance by Generation Type</t>
  </si>
  <si>
    <t>Eligible MWh Available for RCW 19.285 Compliance Contribution by Generation Type</t>
  </si>
  <si>
    <t>W12023</t>
  </si>
  <si>
    <t>W12157</t>
  </si>
  <si>
    <r>
      <rPr>
        <b/>
        <sz val="11"/>
        <color theme="1"/>
        <rFont val="Calibri"/>
        <family val="2"/>
      </rPr>
      <t>Note 1</t>
    </r>
    <r>
      <rPr>
        <sz val="11"/>
        <color theme="1"/>
        <rFont val="Calibri"/>
        <family val="2"/>
      </rPr>
      <t>: Any surplus or deficit in row 46 (RCW 19.285 Compliance Surplus / (Deficit)) is a result of rounding in the Facility Detail tab. The correct target amount of RECs have been/will be retired for all compliance years.</t>
    </r>
  </si>
  <si>
    <t>2023 Surplus Applied to 2022</t>
  </si>
  <si>
    <t>2023 Surplus Applied to 2024</t>
  </si>
  <si>
    <t>2010 - 2022 actual retail sales. 2023 load forecast based on filed 2023 IRP.</t>
  </si>
  <si>
    <t>2011 - 2022 is based on actual generation or REC purchase data. Generation forecast begins January 2023.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</si>
  <si>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 xml:space="preserve">2011 - 2022 actual System Generation (SG) and Control Area Generation West (CAGW) allocation factors. Forecast factors (2023 onward).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</si>
</sst>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 numFmtId="169" formatCode="0_);\(0\)"/>
    <numFmt numFmtId="170" formatCode="0.0%"/>
    <numFmt numFmtId="171" formatCode="0.00000000%"/>
  </numFmts>
  <fonts count="52">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sz val="11"/>
      <color rgb="FFC00000"/>
      <name val="Calibri"/>
      <family val="2"/>
    </font>
    <font>
      <sz val="10"/>
      <name val="MS Sans Serif"/>
      <family val="2"/>
    </font>
    <font>
      <sz val="11"/>
      <color theme="1"/>
      <name val="Calibri"/>
      <family val="2"/>
    </font>
    <font>
      <b/>
      <sz val="11"/>
      <color theme="1"/>
      <name val="Calibri"/>
      <family val="2"/>
    </font>
    <font>
      <b/>
      <sz val="22"/>
      <color rgb="FFFF0000"/>
      <name val="Calibri"/>
      <family val="2"/>
    </font>
    <font>
      <sz val="16"/>
      <name val="Calibri"/>
      <family val="2"/>
    </font>
    <font>
      <b/>
      <sz val="10"/>
      <name val="Calibri"/>
      <family val="2"/>
      <scheme val="minor"/>
    </font>
    <font>
      <b/>
      <sz val="10"/>
      <name val="Calibri"/>
      <family val="2"/>
    </font>
    <font>
      <b/>
      <sz val="11"/>
      <color rgb="FFFF0000"/>
      <name val="Calibri"/>
      <family val="2"/>
    </font>
    <font>
      <b/>
      <sz val="12"/>
      <color rgb="FFFF0000"/>
      <name val="Calibri"/>
      <family val="2"/>
    </font>
    <font>
      <sz val="10"/>
      <color rgb="FFFF0000"/>
      <name val="Arial"/>
      <family val="2"/>
    </font>
    <font>
      <b/>
      <sz val="12"/>
      <color theme="1"/>
      <name val="Calibri"/>
      <family val="2"/>
    </font>
    <font>
      <strike/>
      <sz val="11"/>
      <name val="Cambria"/>
      <family val="1"/>
    </font>
    <font>
      <strike/>
      <sz val="11"/>
      <color rgb="FFFF0000"/>
      <name val="Cambria"/>
      <family val="1"/>
    </font>
    <font>
      <b/>
      <strike/>
      <sz val="16"/>
      <name val="Cambria"/>
      <family val="1"/>
    </font>
    <font>
      <b/>
      <sz val="16"/>
      <name val="Cambria"/>
      <family val="1"/>
    </font>
    <font>
      <sz val="11"/>
      <name val="Cambria"/>
      <family val="1"/>
    </font>
    <font>
      <b/>
      <sz val="14"/>
      <name val="Cambria"/>
      <family val="1"/>
    </font>
    <font>
      <b/>
      <sz val="11"/>
      <name val="Cambria"/>
      <family val="1"/>
    </font>
    <font>
      <sz val="10"/>
      <name val="Cambria"/>
      <family val="1"/>
    </font>
    <font>
      <sz val="11"/>
      <color rgb="FFFF0000"/>
      <name val="Cambria"/>
      <family val="1"/>
    </font>
    <font>
      <b/>
      <sz val="11"/>
      <color rgb="FFFF0000"/>
      <name val="Cambria"/>
      <family val="1"/>
    </font>
    <font>
      <b/>
      <sz val="12"/>
      <name val="Cambria"/>
      <family val="1"/>
    </font>
    <font>
      <b/>
      <sz val="12"/>
      <color rgb="FFFF0000"/>
      <name val="Cambria"/>
      <family val="1"/>
    </font>
    <font>
      <sz val="11"/>
      <color theme="1"/>
      <name val="Cambria"/>
      <family val="1"/>
    </font>
    <font>
      <b/>
      <sz val="11"/>
      <color theme="1"/>
      <name val="Cambria"/>
      <family val="1"/>
    </font>
    <font>
      <sz val="11"/>
      <color rgb="FF0070C0"/>
      <name val="Calibri"/>
      <family val="2"/>
    </font>
    <font>
      <sz val="11"/>
      <color rgb="FF0070C0"/>
      <name val="Cambria"/>
      <family val="1"/>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00B05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9" tint="0.59999389629810485"/>
        <bgColor indexed="64"/>
      </patternFill>
    </fill>
  </fills>
  <borders count="5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25" fillId="0" borderId="0" applyFont="0" applyFill="0" applyBorder="0" applyAlignment="0" applyProtection="0"/>
  </cellStyleXfs>
  <cellXfs count="511">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2" fillId="0" borderId="0" xfId="1" applyNumberFormat="1" applyFont="1" applyFill="1" applyBorder="1"/>
    <xf numFmtId="0" fontId="2" fillId="3" borderId="2" xfId="0" applyFont="1" applyFill="1" applyBorder="1" applyAlignment="1">
      <alignment horizontal="center"/>
    </xf>
    <xf numFmtId="0" fontId="2" fillId="3" borderId="5" xfId="0" applyFont="1" applyFill="1" applyBorder="1" applyAlignment="1">
      <alignment horizontal="center"/>
    </xf>
    <xf numFmtId="164" fontId="3" fillId="0" borderId="0" xfId="1" applyNumberFormat="1" applyFont="1" applyFill="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164" fontId="3" fillId="5" borderId="0" xfId="1" applyNumberFormat="1" applyFont="1" applyFill="1" applyBorder="1"/>
    <xf numFmtId="164" fontId="2" fillId="0" borderId="19" xfId="1" applyNumberFormat="1" applyFont="1" applyFill="1" applyBorder="1"/>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2" borderId="20" xfId="1" applyNumberFormat="1" applyFont="1" applyFill="1" applyBorder="1"/>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2" fillId="0" borderId="0" xfId="0" applyFont="1" applyAlignment="1">
      <alignment horizontal="left"/>
    </xf>
    <xf numFmtId="0" fontId="2" fillId="0" borderId="0" xfId="0" applyFont="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164" fontId="2" fillId="7" borderId="19" xfId="1" applyNumberFormat="1" applyFont="1" applyFill="1" applyBorder="1" applyAlignment="1">
      <alignment horizontal="left" vertical="center" wrapText="1" shrinkToFit="1"/>
    </xf>
    <xf numFmtId="9" fontId="2" fillId="0" borderId="12" xfId="3" applyFont="1" applyBorder="1" applyAlignment="1">
      <alignment horizontal="center"/>
    </xf>
    <xf numFmtId="164" fontId="2" fillId="7" borderId="15" xfId="1" applyNumberFormat="1" applyFont="1" applyFill="1" applyBorder="1"/>
    <xf numFmtId="164" fontId="2" fillId="0" borderId="16" xfId="1" applyNumberFormat="1" applyFont="1" applyBorder="1"/>
    <xf numFmtId="0" fontId="2" fillId="0" borderId="0" xfId="0" applyFont="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167" fontId="2" fillId="2" borderId="22"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17" fillId="4" borderId="0" xfId="0" applyFont="1" applyFill="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2"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20" xfId="1" applyNumberFormat="1" applyFont="1" applyBorder="1"/>
    <xf numFmtId="164" fontId="2" fillId="9" borderId="36"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38" xfId="1" applyNumberFormat="1" applyFont="1" applyFill="1" applyBorder="1"/>
    <xf numFmtId="164" fontId="2" fillId="7" borderId="37" xfId="1" applyNumberFormat="1" applyFont="1" applyFill="1" applyBorder="1"/>
    <xf numFmtId="164" fontId="2" fillId="9" borderId="39" xfId="1" applyNumberFormat="1" applyFont="1" applyFill="1" applyBorder="1"/>
    <xf numFmtId="164" fontId="2" fillId="0" borderId="40" xfId="1" applyNumberFormat="1" applyFont="1" applyFill="1" applyBorder="1"/>
    <xf numFmtId="164" fontId="2" fillId="9" borderId="41" xfId="1" applyNumberFormat="1" applyFont="1" applyFill="1" applyBorder="1"/>
    <xf numFmtId="0" fontId="1" fillId="0" borderId="0" xfId="0" applyFont="1"/>
    <xf numFmtId="0" fontId="1" fillId="0" borderId="23" xfId="0" applyFont="1" applyBorder="1"/>
    <xf numFmtId="0" fontId="24" fillId="0" borderId="0" xfId="0" applyFont="1"/>
    <xf numFmtId="164" fontId="2" fillId="9" borderId="0" xfId="1" applyNumberFormat="1" applyFont="1" applyFill="1" applyBorder="1"/>
    <xf numFmtId="164" fontId="3" fillId="0" borderId="0" xfId="1" applyNumberFormat="1" applyFont="1" applyBorder="1"/>
    <xf numFmtId="0" fontId="2" fillId="0" borderId="43" xfId="0" applyFont="1" applyBorder="1"/>
    <xf numFmtId="164" fontId="2" fillId="7" borderId="44" xfId="1" applyNumberFormat="1" applyFont="1" applyFill="1" applyBorder="1"/>
    <xf numFmtId="164" fontId="2" fillId="9" borderId="32" xfId="1" applyNumberFormat="1" applyFont="1" applyFill="1" applyBorder="1"/>
    <xf numFmtId="164" fontId="2" fillId="11" borderId="32" xfId="1" applyNumberFormat="1" applyFont="1" applyFill="1" applyBorder="1"/>
    <xf numFmtId="164" fontId="2" fillId="0" borderId="32" xfId="1" applyNumberFormat="1" applyFont="1" applyFill="1" applyBorder="1"/>
    <xf numFmtId="164" fontId="3" fillId="0" borderId="34" xfId="1" applyNumberFormat="1" applyFont="1" applyBorder="1"/>
    <xf numFmtId="0" fontId="2" fillId="0" borderId="0" xfId="0" applyFont="1" applyAlignment="1">
      <alignment wrapText="1"/>
    </xf>
    <xf numFmtId="164" fontId="2" fillId="9"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0" fontId="2" fillId="2" borderId="1" xfId="0" applyFont="1" applyFill="1" applyBorder="1" applyAlignment="1">
      <alignment horizontal="left"/>
    </xf>
    <xf numFmtId="0" fontId="2" fillId="2" borderId="10" xfId="0" applyFont="1" applyFill="1" applyBorder="1" applyAlignment="1">
      <alignment horizontal="left"/>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164" fontId="3" fillId="0" borderId="13" xfId="1" applyNumberFormat="1" applyFont="1" applyFill="1" applyBorder="1"/>
    <xf numFmtId="164" fontId="3" fillId="0" borderId="0" xfId="1" applyNumberFormat="1" applyFont="1" applyFill="1"/>
    <xf numFmtId="164" fontId="3" fillId="0" borderId="0" xfId="1" applyNumberFormat="1" applyFont="1" applyFill="1" applyAlignment="1">
      <alignment horizontal="center"/>
    </xf>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4" fontId="2" fillId="10" borderId="34" xfId="1" applyNumberFormat="1" applyFont="1" applyFill="1" applyBorder="1"/>
    <xf numFmtId="164" fontId="3" fillId="10" borderId="0" xfId="1" applyNumberFormat="1" applyFont="1" applyFill="1"/>
    <xf numFmtId="0" fontId="28" fillId="0" borderId="0" xfId="0" applyFont="1" applyAlignment="1">
      <alignment wrapText="1"/>
    </xf>
    <xf numFmtId="43" fontId="6" fillId="10" borderId="28" xfId="0" applyNumberFormat="1" applyFont="1" applyFill="1" applyBorder="1" applyAlignment="1">
      <alignment vertical="center"/>
    </xf>
    <xf numFmtId="43" fontId="6" fillId="10" borderId="29" xfId="0" applyNumberFormat="1" applyFont="1" applyFill="1" applyBorder="1" applyAlignment="1">
      <alignment vertical="center"/>
    </xf>
    <xf numFmtId="43" fontId="6" fillId="10" borderId="14" xfId="0" applyNumberFormat="1" applyFont="1" applyFill="1" applyBorder="1" applyAlignment="1">
      <alignment vertical="center"/>
    </xf>
    <xf numFmtId="164" fontId="2" fillId="11" borderId="20" xfId="1" applyNumberFormat="1" applyFont="1" applyFill="1" applyBorder="1"/>
    <xf numFmtId="0" fontId="2" fillId="0" borderId="48" xfId="0" applyFont="1" applyBorder="1"/>
    <xf numFmtId="0" fontId="6" fillId="0" borderId="46" xfId="0" applyFont="1" applyBorder="1"/>
    <xf numFmtId="0" fontId="6" fillId="0" borderId="45" xfId="0" applyFont="1" applyBorder="1" applyAlignment="1">
      <alignment horizontal="left"/>
    </xf>
    <xf numFmtId="0" fontId="2" fillId="2" borderId="44" xfId="0" applyFont="1" applyFill="1" applyBorder="1" applyAlignment="1">
      <alignment horizontal="left"/>
    </xf>
    <xf numFmtId="0" fontId="2" fillId="2" borderId="32" xfId="0" applyFont="1" applyFill="1" applyBorder="1" applyAlignment="1">
      <alignment horizontal="center"/>
    </xf>
    <xf numFmtId="0" fontId="2" fillId="3" borderId="32" xfId="0" applyFont="1" applyFill="1" applyBorder="1" applyAlignment="1">
      <alignment horizontal="center"/>
    </xf>
    <xf numFmtId="0" fontId="2" fillId="3" borderId="49" xfId="0" applyFont="1" applyFill="1" applyBorder="1" applyAlignment="1">
      <alignment horizontal="center"/>
    </xf>
    <xf numFmtId="167" fontId="2" fillId="2" borderId="50" xfId="0" applyNumberFormat="1" applyFont="1" applyFill="1" applyBorder="1" applyAlignment="1">
      <alignment horizontal="center"/>
    </xf>
    <xf numFmtId="0" fontId="6" fillId="0" borderId="0" xfId="0" applyFont="1" applyAlignment="1">
      <alignment horizontal="centerContinuous"/>
    </xf>
    <xf numFmtId="0" fontId="6" fillId="0" borderId="48" xfId="0" applyFont="1" applyBorder="1" applyAlignment="1">
      <alignment horizontal="centerContinuous"/>
    </xf>
    <xf numFmtId="0" fontId="6" fillId="0" borderId="48" xfId="0" applyFont="1" applyBorder="1"/>
    <xf numFmtId="0" fontId="6" fillId="0" borderId="46" xfId="0" applyFont="1" applyBorder="1" applyAlignment="1">
      <alignment horizontal="left"/>
    </xf>
    <xf numFmtId="0" fontId="6" fillId="0" borderId="47" xfId="0" applyFont="1" applyBorder="1" applyAlignment="1">
      <alignment horizontal="centerContinuous"/>
    </xf>
    <xf numFmtId="0" fontId="6" fillId="0" borderId="48" xfId="0" applyFont="1" applyBorder="1" applyAlignment="1">
      <alignment horizontal="left"/>
    </xf>
    <xf numFmtId="0" fontId="29" fillId="0" borderId="48" xfId="0" applyFont="1" applyBorder="1" applyAlignment="1">
      <alignment horizontal="centerContinuous"/>
    </xf>
    <xf numFmtId="0" fontId="3" fillId="0" borderId="23" xfId="0" applyFont="1" applyBorder="1" applyAlignment="1">
      <alignment horizontal="left" vertical="center" wrapText="1" indent="2" shrinkToFit="1"/>
    </xf>
    <xf numFmtId="164" fontId="2" fillId="0" borderId="16" xfId="1" applyNumberFormat="1" applyFont="1" applyFill="1" applyBorder="1" applyAlignment="1">
      <alignment horizontal="center"/>
    </xf>
    <xf numFmtId="164" fontId="2" fillId="0" borderId="33" xfId="1" applyNumberFormat="1" applyFont="1" applyFill="1" applyBorder="1"/>
    <xf numFmtId="164" fontId="2" fillId="7" borderId="32" xfId="1" applyNumberFormat="1" applyFont="1" applyFill="1" applyBorder="1"/>
    <xf numFmtId="164" fontId="2" fillId="0" borderId="12" xfId="1" applyNumberFormat="1" applyFont="1" applyBorder="1"/>
    <xf numFmtId="164" fontId="2" fillId="7" borderId="12" xfId="1" applyNumberFormat="1" applyFont="1" applyFill="1" applyBorder="1"/>
    <xf numFmtId="164" fontId="2" fillId="7" borderId="18" xfId="1" applyNumberFormat="1" applyFont="1" applyFill="1" applyBorder="1"/>
    <xf numFmtId="0" fontId="6" fillId="0" borderId="52" xfId="0" applyFont="1" applyBorder="1" applyAlignment="1">
      <alignment horizontal="centerContinuous"/>
    </xf>
    <xf numFmtId="0" fontId="2" fillId="0" borderId="47" xfId="0" applyFont="1" applyBorder="1"/>
    <xf numFmtId="0" fontId="6" fillId="0" borderId="47" xfId="0" applyFont="1" applyBorder="1" applyAlignment="1">
      <alignment horizontal="left"/>
    </xf>
    <xf numFmtId="0" fontId="2" fillId="0" borderId="47" xfId="0" applyFont="1" applyBorder="1" applyAlignment="1">
      <alignment horizontal="left"/>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0" fontId="10" fillId="12" borderId="6" xfId="0" applyFont="1" applyFill="1" applyBorder="1"/>
    <xf numFmtId="0" fontId="14" fillId="0" borderId="0" xfId="0" applyFont="1"/>
    <xf numFmtId="164" fontId="2" fillId="7" borderId="26" xfId="1" applyNumberFormat="1" applyFont="1" applyFill="1" applyBorder="1"/>
    <xf numFmtId="164" fontId="2" fillId="7" borderId="27" xfId="1" applyNumberFormat="1" applyFont="1" applyFill="1" applyBorder="1"/>
    <xf numFmtId="0" fontId="3" fillId="0" borderId="23" xfId="0" applyFont="1" applyBorder="1"/>
    <xf numFmtId="164" fontId="2" fillId="2" borderId="7" xfId="1" applyNumberFormat="1" applyFont="1" applyFill="1" applyBorder="1"/>
    <xf numFmtId="9" fontId="2" fillId="2" borderId="7" xfId="3" applyFont="1" applyFill="1" applyBorder="1"/>
    <xf numFmtId="9" fontId="2" fillId="2" borderId="7" xfId="3" applyFont="1" applyFill="1" applyBorder="1" applyAlignment="1">
      <alignment horizontal="right"/>
    </xf>
    <xf numFmtId="164" fontId="2" fillId="0" borderId="3" xfId="1" applyNumberFormat="1" applyFont="1" applyBorder="1"/>
    <xf numFmtId="164" fontId="2" fillId="0" borderId="18" xfId="1" applyNumberFormat="1" applyFont="1" applyBorder="1"/>
    <xf numFmtId="0" fontId="14" fillId="0" borderId="0" xfId="0" applyFont="1" applyAlignment="1">
      <alignment wrapText="1"/>
    </xf>
    <xf numFmtId="0" fontId="30" fillId="0" borderId="7" xfId="0" applyFont="1" applyBorder="1" applyAlignment="1">
      <alignment horizontal="left" indent="1"/>
    </xf>
    <xf numFmtId="164" fontId="30" fillId="0" borderId="0" xfId="0" applyNumberFormat="1" applyFont="1"/>
    <xf numFmtId="0" fontId="30" fillId="0" borderId="0" xfId="0" applyFont="1"/>
    <xf numFmtId="1" fontId="2" fillId="0" borderId="10" xfId="1" applyNumberFormat="1" applyFont="1" applyFill="1" applyBorder="1"/>
    <xf numFmtId="1" fontId="2" fillId="2" borderId="1" xfId="1" applyNumberFormat="1" applyFont="1" applyFill="1" applyBorder="1"/>
    <xf numFmtId="1" fontId="2" fillId="0" borderId="2" xfId="1" applyNumberFormat="1" applyFont="1" applyFill="1" applyBorder="1"/>
    <xf numFmtId="1" fontId="2" fillId="7" borderId="2" xfId="1" applyNumberFormat="1" applyFont="1" applyFill="1" applyBorder="1"/>
    <xf numFmtId="1" fontId="2" fillId="2" borderId="5" xfId="1" applyNumberFormat="1" applyFont="1" applyFill="1" applyBorder="1"/>
    <xf numFmtId="1" fontId="2" fillId="7" borderId="5" xfId="1" applyNumberFormat="1" applyFont="1" applyFill="1" applyBorder="1"/>
    <xf numFmtId="1" fontId="2" fillId="7" borderId="10" xfId="1" applyNumberFormat="1" applyFont="1" applyFill="1" applyBorder="1"/>
    <xf numFmtId="1" fontId="2" fillId="0" borderId="5" xfId="1" applyNumberFormat="1" applyFont="1" applyFill="1" applyBorder="1"/>
    <xf numFmtId="1" fontId="2" fillId="2" borderId="5" xfId="3" applyNumberFormat="1" applyFont="1" applyFill="1" applyBorder="1"/>
    <xf numFmtId="1" fontId="2" fillId="9" borderId="5" xfId="1" applyNumberFormat="1" applyFont="1" applyFill="1" applyBorder="1"/>
    <xf numFmtId="1" fontId="2" fillId="0" borderId="5" xfId="1" applyNumberFormat="1" applyFont="1" applyBorder="1"/>
    <xf numFmtId="1" fontId="2" fillId="11" borderId="27" xfId="1" applyNumberFormat="1" applyFont="1" applyFill="1" applyBorder="1"/>
    <xf numFmtId="1" fontId="2" fillId="10" borderId="5" xfId="1" applyNumberFormat="1" applyFont="1" applyFill="1" applyBorder="1"/>
    <xf numFmtId="1" fontId="2" fillId="10" borderId="27" xfId="1" applyNumberFormat="1" applyFont="1" applyFill="1" applyBorder="1"/>
    <xf numFmtId="1" fontId="2" fillId="11" borderId="5" xfId="1" applyNumberFormat="1" applyFont="1" applyFill="1" applyBorder="1"/>
    <xf numFmtId="1" fontId="2" fillId="11" borderId="0" xfId="1" applyNumberFormat="1" applyFont="1" applyFill="1" applyBorder="1"/>
    <xf numFmtId="1" fontId="2" fillId="10" borderId="0" xfId="1" applyNumberFormat="1" applyFont="1" applyFill="1" applyBorder="1"/>
    <xf numFmtId="1" fontId="2" fillId="11" borderId="20" xfId="1" applyNumberFormat="1" applyFont="1" applyFill="1" applyBorder="1"/>
    <xf numFmtId="169" fontId="3" fillId="0" borderId="0" xfId="1" applyNumberFormat="1" applyFont="1" applyAlignment="1">
      <alignment horizontal="center"/>
    </xf>
    <xf numFmtId="164" fontId="2" fillId="13" borderId="51" xfId="1" applyNumberFormat="1" applyFont="1" applyFill="1" applyBorder="1"/>
    <xf numFmtId="164" fontId="2" fillId="13" borderId="33" xfId="1" applyNumberFormat="1" applyFont="1" applyFill="1" applyBorder="1"/>
    <xf numFmtId="164" fontId="2" fillId="0" borderId="35" xfId="1" applyNumberFormat="1" applyFont="1" applyFill="1" applyBorder="1"/>
    <xf numFmtId="164" fontId="2" fillId="7" borderId="33" xfId="1" applyNumberFormat="1" applyFont="1" applyFill="1" applyBorder="1"/>
    <xf numFmtId="164" fontId="31" fillId="7" borderId="5" xfId="1" applyNumberFormat="1" applyFont="1" applyFill="1" applyBorder="1" applyAlignment="1">
      <alignment horizontal="right"/>
    </xf>
    <xf numFmtId="37" fontId="7" fillId="6" borderId="16" xfId="1" applyNumberFormat="1" applyFont="1" applyFill="1" applyBorder="1" applyAlignment="1">
      <alignment horizontal="center" vertical="center"/>
    </xf>
    <xf numFmtId="0" fontId="4" fillId="0" borderId="0" xfId="0" applyFont="1" applyAlignment="1">
      <alignment wrapText="1"/>
    </xf>
    <xf numFmtId="0" fontId="31" fillId="0" borderId="0" xfId="0" applyFont="1" applyAlignment="1">
      <alignment horizontal="right"/>
    </xf>
    <xf numFmtId="167" fontId="2" fillId="2" borderId="3" xfId="0" applyNumberFormat="1" applyFont="1" applyFill="1" applyBorder="1" applyAlignment="1">
      <alignment horizontal="center"/>
    </xf>
    <xf numFmtId="0" fontId="2" fillId="2" borderId="53" xfId="0" applyFont="1" applyFill="1" applyBorder="1" applyAlignment="1">
      <alignment horizontal="left"/>
    </xf>
    <xf numFmtId="0" fontId="2" fillId="2" borderId="51" xfId="0" applyFont="1" applyFill="1" applyBorder="1" applyAlignment="1">
      <alignment horizontal="center"/>
    </xf>
    <xf numFmtId="0" fontId="2" fillId="3" borderId="51" xfId="0" applyFont="1" applyFill="1" applyBorder="1" applyAlignment="1">
      <alignment horizontal="center"/>
    </xf>
    <xf numFmtId="0" fontId="2" fillId="3" borderId="54" xfId="0" applyFont="1" applyFill="1" applyBorder="1" applyAlignment="1">
      <alignment horizontal="center"/>
    </xf>
    <xf numFmtId="167" fontId="2" fillId="2" borderId="21" xfId="0" applyNumberFormat="1"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center"/>
    </xf>
    <xf numFmtId="0" fontId="2" fillId="3" borderId="12" xfId="0" applyFont="1" applyFill="1" applyBorder="1" applyAlignment="1">
      <alignment horizontal="center"/>
    </xf>
    <xf numFmtId="0" fontId="2" fillId="3" borderId="55" xfId="0" applyFont="1" applyFill="1" applyBorder="1" applyAlignment="1">
      <alignment horizontal="center"/>
    </xf>
    <xf numFmtId="167" fontId="2" fillId="2" borderId="18" xfId="0"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7" xfId="1" applyNumberFormat="1" applyFont="1" applyFill="1" applyBorder="1" applyAlignment="1">
      <alignment horizontal="center"/>
    </xf>
    <xf numFmtId="9" fontId="2" fillId="2" borderId="19" xfId="3" applyFont="1" applyFill="1" applyBorder="1"/>
    <xf numFmtId="9" fontId="2" fillId="2" borderId="11" xfId="3" applyFont="1" applyFill="1" applyBorder="1"/>
    <xf numFmtId="164" fontId="2" fillId="0" borderId="12" xfId="1" applyNumberFormat="1" applyFont="1" applyFill="1" applyBorder="1"/>
    <xf numFmtId="164" fontId="2" fillId="10" borderId="12" xfId="1" applyNumberFormat="1" applyFont="1" applyFill="1" applyBorder="1"/>
    <xf numFmtId="164" fontId="2" fillId="7" borderId="3"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9" borderId="2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0" borderId="12" xfId="1" applyNumberFormat="1" applyFont="1" applyBorder="1" applyAlignment="1">
      <alignment horizontal="center"/>
    </xf>
    <xf numFmtId="164" fontId="2" fillId="9" borderId="18" xfId="1" applyNumberFormat="1" applyFont="1" applyFill="1" applyBorder="1" applyAlignment="1">
      <alignment horizontal="center"/>
    </xf>
    <xf numFmtId="164" fontId="2" fillId="10" borderId="34" xfId="1" applyNumberFormat="1" applyFont="1" applyFill="1" applyBorder="1" applyAlignment="1">
      <alignment horizontal="center"/>
    </xf>
    <xf numFmtId="0" fontId="14" fillId="0" borderId="0" xfId="0" applyFont="1" applyAlignment="1">
      <alignment horizontal="center"/>
    </xf>
    <xf numFmtId="168" fontId="14" fillId="0" borderId="0" xfId="0" applyNumberFormat="1" applyFont="1"/>
    <xf numFmtId="164" fontId="32" fillId="0" borderId="0" xfId="1" applyNumberFormat="1" applyFont="1" applyFill="1" applyBorder="1"/>
    <xf numFmtId="168" fontId="32" fillId="0" borderId="0" xfId="1" applyNumberFormat="1" applyFont="1" applyFill="1" applyBorder="1"/>
    <xf numFmtId="164" fontId="14" fillId="7" borderId="12" xfId="1" applyNumberFormat="1" applyFont="1" applyFill="1" applyBorder="1"/>
    <xf numFmtId="164" fontId="14" fillId="0" borderId="16" xfId="1" applyNumberFormat="1" applyFont="1" applyBorder="1"/>
    <xf numFmtId="168" fontId="32" fillId="5" borderId="0" xfId="1" applyNumberFormat="1" applyFont="1" applyFill="1" applyBorder="1"/>
    <xf numFmtId="37" fontId="33" fillId="6" borderId="16" xfId="1" applyNumberFormat="1" applyFont="1" applyFill="1" applyBorder="1" applyAlignment="1">
      <alignment horizontal="center" vertical="center"/>
    </xf>
    <xf numFmtId="0" fontId="34" fillId="0" borderId="0" xfId="0" applyFont="1"/>
    <xf numFmtId="0" fontId="14" fillId="0" borderId="43" xfId="0" applyFont="1" applyBorder="1"/>
    <xf numFmtId="0" fontId="14" fillId="0" borderId="4" xfId="0" applyFont="1" applyBorder="1"/>
    <xf numFmtId="164" fontId="14" fillId="2" borderId="2" xfId="1" applyNumberFormat="1" applyFont="1" applyFill="1" applyBorder="1"/>
    <xf numFmtId="164" fontId="14" fillId="0" borderId="0" xfId="1" applyNumberFormat="1" applyFont="1" applyFill="1" applyBorder="1"/>
    <xf numFmtId="164" fontId="14" fillId="0" borderId="0" xfId="1" applyNumberFormat="1" applyFont="1" applyBorder="1"/>
    <xf numFmtId="164" fontId="32" fillId="0" borderId="0" xfId="1" applyNumberFormat="1" applyFont="1"/>
    <xf numFmtId="1" fontId="14" fillId="7" borderId="2" xfId="1" applyNumberFormat="1" applyFont="1" applyFill="1" applyBorder="1"/>
    <xf numFmtId="1" fontId="14" fillId="7" borderId="5" xfId="1" applyNumberFormat="1" applyFont="1" applyFill="1" applyBorder="1"/>
    <xf numFmtId="164" fontId="32" fillId="0" borderId="0" xfId="1" applyNumberFormat="1" applyFont="1" applyAlignment="1">
      <alignment horizontal="center"/>
    </xf>
    <xf numFmtId="164" fontId="33" fillId="6" borderId="16" xfId="1" applyNumberFormat="1" applyFont="1" applyFill="1" applyBorder="1" applyAlignment="1">
      <alignment horizontal="center"/>
    </xf>
    <xf numFmtId="164" fontId="14" fillId="7" borderId="2" xfId="1" applyNumberFormat="1" applyFont="1" applyFill="1" applyBorder="1"/>
    <xf numFmtId="164" fontId="14" fillId="7" borderId="5" xfId="1" applyNumberFormat="1" applyFont="1" applyFill="1" applyBorder="1"/>
    <xf numFmtId="164" fontId="14" fillId="10" borderId="5" xfId="1" applyNumberFormat="1" applyFont="1" applyFill="1" applyBorder="1"/>
    <xf numFmtId="164" fontId="14" fillId="11" borderId="20" xfId="1" applyNumberFormat="1" applyFont="1" applyFill="1" applyBorder="1"/>
    <xf numFmtId="164" fontId="14" fillId="7" borderId="20" xfId="1" applyNumberFormat="1" applyFont="1" applyFill="1" applyBorder="1"/>
    <xf numFmtId="0" fontId="26" fillId="0" borderId="0" xfId="0" applyFont="1" applyAlignment="1">
      <alignment horizontal="center"/>
    </xf>
    <xf numFmtId="9" fontId="26" fillId="2" borderId="7" xfId="3" applyFont="1" applyFill="1" applyBorder="1"/>
    <xf numFmtId="164" fontId="2" fillId="11" borderId="0" xfId="1" applyNumberFormat="1" applyFont="1" applyFill="1" applyBorder="1"/>
    <xf numFmtId="164" fontId="14" fillId="10" borderId="0" xfId="1" applyNumberFormat="1" applyFont="1" applyFill="1" applyBorder="1"/>
    <xf numFmtId="164" fontId="26" fillId="2" borderId="2" xfId="1" applyNumberFormat="1" applyFont="1" applyFill="1" applyBorder="1"/>
    <xf numFmtId="9" fontId="26" fillId="2" borderId="20" xfId="3" applyFont="1" applyFill="1" applyBorder="1"/>
    <xf numFmtId="9" fontId="26" fillId="2" borderId="12" xfId="3" applyFont="1" applyFill="1" applyBorder="1"/>
    <xf numFmtId="164" fontId="27" fillId="0" borderId="13" xfId="1" applyNumberFormat="1" applyFont="1" applyFill="1" applyBorder="1"/>
    <xf numFmtId="164" fontId="26" fillId="0" borderId="0" xfId="1" applyNumberFormat="1" applyFont="1" applyFill="1" applyBorder="1"/>
    <xf numFmtId="164" fontId="26" fillId="0" borderId="2" xfId="1" applyNumberFormat="1" applyFont="1" applyBorder="1"/>
    <xf numFmtId="164" fontId="26" fillId="0" borderId="12" xfId="1" applyNumberFormat="1" applyFont="1" applyBorder="1"/>
    <xf numFmtId="164" fontId="27" fillId="0" borderId="13" xfId="1" applyNumberFormat="1" applyFont="1" applyBorder="1"/>
    <xf numFmtId="164" fontId="26" fillId="0" borderId="0" xfId="1" applyNumberFormat="1" applyFont="1" applyBorder="1"/>
    <xf numFmtId="164" fontId="26" fillId="2" borderId="2" xfId="1" applyNumberFormat="1" applyFont="1" applyFill="1" applyBorder="1" applyAlignment="1"/>
    <xf numFmtId="164" fontId="26" fillId="2" borderId="5" xfId="1" applyNumberFormat="1" applyFont="1" applyFill="1" applyBorder="1" applyAlignment="1"/>
    <xf numFmtId="164" fontId="26" fillId="2" borderId="12" xfId="1" applyNumberFormat="1" applyFont="1" applyFill="1" applyBorder="1" applyAlignment="1"/>
    <xf numFmtId="164" fontId="27" fillId="0" borderId="0" xfId="1" applyNumberFormat="1" applyFont="1"/>
    <xf numFmtId="164" fontId="27" fillId="0" borderId="0" xfId="1" applyNumberFormat="1" applyFont="1" applyFill="1" applyBorder="1"/>
    <xf numFmtId="164" fontId="26" fillId="7" borderId="2" xfId="1" applyNumberFormat="1" applyFont="1" applyFill="1" applyBorder="1"/>
    <xf numFmtId="164" fontId="26" fillId="7" borderId="20" xfId="1" applyNumberFormat="1" applyFont="1" applyFill="1" applyBorder="1"/>
    <xf numFmtId="164" fontId="26" fillId="9" borderId="5" xfId="1" applyNumberFormat="1" applyFont="1" applyFill="1" applyBorder="1"/>
    <xf numFmtId="164" fontId="26" fillId="9" borderId="12" xfId="1" applyNumberFormat="1" applyFont="1" applyFill="1" applyBorder="1"/>
    <xf numFmtId="164" fontId="26" fillId="2" borderId="16" xfId="1" applyNumberFormat="1" applyFont="1" applyFill="1" applyBorder="1" applyAlignment="1">
      <alignment horizontal="center"/>
    </xf>
    <xf numFmtId="164" fontId="27" fillId="0" borderId="0" xfId="1" applyNumberFormat="1" applyFont="1" applyAlignment="1">
      <alignment horizontal="center"/>
    </xf>
    <xf numFmtId="164" fontId="35" fillId="6" borderId="16" xfId="1" applyNumberFormat="1" applyFont="1" applyFill="1" applyBorder="1" applyAlignment="1">
      <alignment horizontal="center"/>
    </xf>
    <xf numFmtId="164" fontId="26" fillId="9" borderId="20" xfId="1" applyNumberFormat="1" applyFont="1" applyFill="1" applyBorder="1"/>
    <xf numFmtId="164" fontId="26" fillId="7" borderId="5" xfId="1" applyNumberFormat="1" applyFont="1" applyFill="1" applyBorder="1"/>
    <xf numFmtId="164" fontId="26" fillId="7" borderId="12" xfId="1" applyNumberFormat="1" applyFont="1" applyFill="1" applyBorder="1"/>
    <xf numFmtId="164" fontId="27" fillId="0" borderId="0" xfId="1" applyNumberFormat="1" applyFont="1" applyBorder="1"/>
    <xf numFmtId="0" fontId="26" fillId="0" borderId="0" xfId="0" applyFont="1"/>
    <xf numFmtId="164" fontId="27" fillId="10" borderId="0" xfId="1" applyNumberFormat="1" applyFont="1" applyFill="1"/>
    <xf numFmtId="164" fontId="27" fillId="0" borderId="0" xfId="1" applyNumberFormat="1" applyFont="1" applyFill="1"/>
    <xf numFmtId="164" fontId="26" fillId="7" borderId="2" xfId="1" applyNumberFormat="1" applyFont="1" applyFill="1" applyBorder="1" applyAlignment="1">
      <alignment horizontal="center"/>
    </xf>
    <xf numFmtId="164" fontId="26" fillId="7" borderId="5" xfId="1" applyNumberFormat="1" applyFont="1" applyFill="1" applyBorder="1" applyAlignment="1">
      <alignment horizontal="center"/>
    </xf>
    <xf numFmtId="164" fontId="26" fillId="9" borderId="5" xfId="1" applyNumberFormat="1" applyFont="1" applyFill="1" applyBorder="1" applyAlignment="1">
      <alignment horizontal="center"/>
    </xf>
    <xf numFmtId="164" fontId="26" fillId="9" borderId="12" xfId="1" applyNumberFormat="1" applyFont="1" applyFill="1" applyBorder="1" applyAlignment="1">
      <alignment horizontal="center"/>
    </xf>
    <xf numFmtId="164" fontId="27" fillId="0" borderId="0" xfId="1" applyNumberFormat="1" applyFont="1" applyFill="1" applyAlignment="1">
      <alignment horizontal="center"/>
    </xf>
    <xf numFmtId="0" fontId="36" fillId="0" borderId="0" xfId="0" applyFont="1"/>
    <xf numFmtId="0" fontId="36" fillId="0" borderId="4" xfId="0" applyFont="1" applyBorder="1"/>
    <xf numFmtId="0" fontId="37" fillId="0" borderId="4" xfId="0" applyFont="1" applyBorder="1"/>
    <xf numFmtId="0" fontId="38" fillId="0" borderId="48" xfId="0" applyFont="1" applyBorder="1" applyAlignment="1">
      <alignment horizontal="centerContinuous"/>
    </xf>
    <xf numFmtId="0" fontId="37" fillId="0" borderId="0" xfId="0" applyFont="1"/>
    <xf numFmtId="9" fontId="2" fillId="2" borderId="28" xfId="3" applyFont="1" applyFill="1" applyBorder="1"/>
    <xf numFmtId="164" fontId="3" fillId="14" borderId="56" xfId="1" applyNumberFormat="1" applyFont="1" applyFill="1" applyBorder="1"/>
    <xf numFmtId="164" fontId="3" fillId="15" borderId="56" xfId="1" applyNumberFormat="1" applyFont="1" applyFill="1" applyBorder="1"/>
    <xf numFmtId="0" fontId="39" fillId="0" borderId="0" xfId="0" applyFont="1"/>
    <xf numFmtId="0" fontId="39" fillId="0" borderId="46" xfId="0" applyFont="1" applyBorder="1" applyAlignment="1">
      <alignment horizontal="left"/>
    </xf>
    <xf numFmtId="0" fontId="40" fillId="0" borderId="0" xfId="0" applyFont="1"/>
    <xf numFmtId="0" fontId="41" fillId="0" borderId="0" xfId="0" applyFont="1"/>
    <xf numFmtId="0" fontId="40" fillId="0" borderId="0" xfId="0" applyFont="1" applyAlignment="1">
      <alignment horizontal="left"/>
    </xf>
    <xf numFmtId="0" fontId="40" fillId="0" borderId="23" xfId="0" applyFont="1" applyBorder="1"/>
    <xf numFmtId="0" fontId="42" fillId="0" borderId="0" xfId="0" applyFont="1" applyAlignment="1">
      <alignment horizontal="left"/>
    </xf>
    <xf numFmtId="0" fontId="42" fillId="0" borderId="0" xfId="0" applyFont="1"/>
    <xf numFmtId="0" fontId="40" fillId="0" borderId="0" xfId="0" applyFont="1" applyAlignment="1">
      <alignment horizontal="left" vertical="center"/>
    </xf>
    <xf numFmtId="0" fontId="43" fillId="0" borderId="23" xfId="0" applyFont="1" applyBorder="1"/>
    <xf numFmtId="0" fontId="43" fillId="0" borderId="0" xfId="0" applyFont="1"/>
    <xf numFmtId="0" fontId="40" fillId="0" borderId="0" xfId="0" applyFont="1" applyAlignment="1">
      <alignment horizontal="center"/>
    </xf>
    <xf numFmtId="0" fontId="44" fillId="0" borderId="0" xfId="0" applyFont="1" applyAlignment="1">
      <alignment horizontal="center"/>
    </xf>
    <xf numFmtId="164" fontId="40" fillId="2" borderId="1" xfId="1" applyNumberFormat="1" applyFont="1" applyFill="1" applyBorder="1"/>
    <xf numFmtId="164" fontId="40" fillId="2" borderId="2" xfId="1" applyNumberFormat="1" applyFont="1" applyFill="1" applyBorder="1"/>
    <xf numFmtId="164" fontId="44" fillId="2" borderId="2" xfId="1" applyNumberFormat="1" applyFont="1" applyFill="1" applyBorder="1"/>
    <xf numFmtId="9" fontId="40" fillId="2" borderId="19" xfId="3" applyFont="1" applyFill="1" applyBorder="1"/>
    <xf numFmtId="9" fontId="40" fillId="2" borderId="20" xfId="3" applyFont="1" applyFill="1" applyBorder="1"/>
    <xf numFmtId="9" fontId="44" fillId="2" borderId="20" xfId="3" applyFont="1" applyFill="1" applyBorder="1"/>
    <xf numFmtId="9" fontId="40" fillId="2" borderId="11" xfId="3" applyFont="1" applyFill="1" applyBorder="1"/>
    <xf numFmtId="9" fontId="40" fillId="2" borderId="12" xfId="3" applyFont="1" applyFill="1" applyBorder="1"/>
    <xf numFmtId="9" fontId="44" fillId="2" borderId="12" xfId="3" applyFont="1" applyFill="1" applyBorder="1"/>
    <xf numFmtId="164" fontId="42" fillId="4" borderId="13" xfId="1" applyNumberFormat="1" applyFont="1" applyFill="1" applyBorder="1"/>
    <xf numFmtId="164" fontId="42" fillId="0" borderId="13" xfId="1" applyNumberFormat="1" applyFont="1" applyFill="1" applyBorder="1"/>
    <xf numFmtId="164" fontId="45" fillId="0" borderId="13" xfId="1" applyNumberFormat="1" applyFont="1" applyFill="1" applyBorder="1"/>
    <xf numFmtId="164" fontId="40" fillId="4" borderId="0" xfId="1" applyNumberFormat="1" applyFont="1" applyFill="1" applyBorder="1"/>
    <xf numFmtId="164" fontId="40" fillId="0" borderId="0" xfId="1" applyNumberFormat="1" applyFont="1" applyFill="1" applyBorder="1"/>
    <xf numFmtId="164" fontId="44" fillId="0" borderId="0" xfId="1" applyNumberFormat="1" applyFont="1" applyFill="1" applyBorder="1"/>
    <xf numFmtId="164" fontId="40" fillId="0" borderId="1" xfId="1" applyNumberFormat="1" applyFont="1" applyFill="1" applyBorder="1"/>
    <xf numFmtId="164" fontId="40" fillId="0" borderId="2" xfId="1" applyNumberFormat="1" applyFont="1" applyBorder="1"/>
    <xf numFmtId="164" fontId="44" fillId="0" borderId="2" xfId="1" applyNumberFormat="1" applyFont="1" applyBorder="1"/>
    <xf numFmtId="164" fontId="40" fillId="0" borderId="11" xfId="1" applyNumberFormat="1" applyFont="1" applyFill="1" applyBorder="1"/>
    <xf numFmtId="164" fontId="40" fillId="0" borderId="12" xfId="1" applyNumberFormat="1" applyFont="1" applyBorder="1"/>
    <xf numFmtId="164" fontId="44" fillId="0" borderId="12" xfId="1" applyNumberFormat="1" applyFont="1" applyBorder="1"/>
    <xf numFmtId="164" fontId="42" fillId="5" borderId="13" xfId="1" applyNumberFormat="1" applyFont="1" applyFill="1" applyBorder="1"/>
    <xf numFmtId="164" fontId="42" fillId="0" borderId="13" xfId="1" applyNumberFormat="1" applyFont="1" applyBorder="1"/>
    <xf numFmtId="164" fontId="45" fillId="0" borderId="13" xfId="1" applyNumberFormat="1" applyFont="1" applyBorder="1"/>
    <xf numFmtId="164" fontId="40" fillId="5" borderId="0" xfId="1" applyNumberFormat="1" applyFont="1" applyFill="1" applyBorder="1"/>
    <xf numFmtId="164" fontId="40" fillId="0" borderId="0" xfId="1" applyNumberFormat="1" applyFont="1" applyBorder="1"/>
    <xf numFmtId="164" fontId="44" fillId="0" borderId="0" xfId="1" applyNumberFormat="1" applyFont="1" applyBorder="1"/>
    <xf numFmtId="164" fontId="40" fillId="2" borderId="1" xfId="1" applyNumberFormat="1" applyFont="1" applyFill="1" applyBorder="1" applyAlignment="1"/>
    <xf numFmtId="164" fontId="40" fillId="2" borderId="2" xfId="1" applyNumberFormat="1" applyFont="1" applyFill="1" applyBorder="1" applyAlignment="1"/>
    <xf numFmtId="164" fontId="44" fillId="2" borderId="2" xfId="1" applyNumberFormat="1" applyFont="1" applyFill="1" applyBorder="1" applyAlignment="1"/>
    <xf numFmtId="164" fontId="40" fillId="2" borderId="10" xfId="1" applyNumberFormat="1" applyFont="1" applyFill="1" applyBorder="1" applyAlignment="1"/>
    <xf numFmtId="164" fontId="40" fillId="2" borderId="5" xfId="1" applyNumberFormat="1" applyFont="1" applyFill="1" applyBorder="1" applyAlignment="1"/>
    <xf numFmtId="164" fontId="44" fillId="2" borderId="5" xfId="1" applyNumberFormat="1" applyFont="1" applyFill="1" applyBorder="1" applyAlignment="1"/>
    <xf numFmtId="164" fontId="40" fillId="2" borderId="11" xfId="1" applyNumberFormat="1" applyFont="1" applyFill="1" applyBorder="1" applyAlignment="1"/>
    <xf numFmtId="164" fontId="40" fillId="2" borderId="12" xfId="1" applyNumberFormat="1" applyFont="1" applyFill="1" applyBorder="1" applyAlignment="1"/>
    <xf numFmtId="164" fontId="44" fillId="2" borderId="12" xfId="1" applyNumberFormat="1" applyFont="1" applyFill="1" applyBorder="1" applyAlignment="1"/>
    <xf numFmtId="164" fontId="42" fillId="0" borderId="0" xfId="1" applyNumberFormat="1" applyFont="1"/>
    <xf numFmtId="164" fontId="45" fillId="0" borderId="0" xfId="1" applyNumberFormat="1" applyFont="1"/>
    <xf numFmtId="164" fontId="42" fillId="0" borderId="0" xfId="1" applyNumberFormat="1" applyFont="1" applyFill="1" applyBorder="1"/>
    <xf numFmtId="164" fontId="45" fillId="0" borderId="0" xfId="1" applyNumberFormat="1" applyFont="1" applyFill="1" applyBorder="1"/>
    <xf numFmtId="164" fontId="40" fillId="0" borderId="2" xfId="1" applyNumberFormat="1" applyFont="1" applyFill="1" applyBorder="1"/>
    <xf numFmtId="164" fontId="40" fillId="7" borderId="2" xfId="1" applyNumberFormat="1" applyFont="1" applyFill="1" applyBorder="1"/>
    <xf numFmtId="164" fontId="44" fillId="7" borderId="2" xfId="1" applyNumberFormat="1" applyFont="1" applyFill="1" applyBorder="1"/>
    <xf numFmtId="164" fontId="40" fillId="0" borderId="10" xfId="1" applyNumberFormat="1" applyFont="1" applyFill="1" applyBorder="1"/>
    <xf numFmtId="164" fontId="40" fillId="2" borderId="5" xfId="1" applyNumberFormat="1" applyFont="1" applyFill="1" applyBorder="1"/>
    <xf numFmtId="164" fontId="40" fillId="7" borderId="5" xfId="1" applyNumberFormat="1" applyFont="1" applyFill="1" applyBorder="1"/>
    <xf numFmtId="164" fontId="44" fillId="7" borderId="5" xfId="1" applyNumberFormat="1" applyFont="1" applyFill="1" applyBorder="1"/>
    <xf numFmtId="164" fontId="40" fillId="7" borderId="10" xfId="1" applyNumberFormat="1" applyFont="1" applyFill="1" applyBorder="1"/>
    <xf numFmtId="164" fontId="40" fillId="0" borderId="5" xfId="1" applyNumberFormat="1" applyFont="1" applyFill="1" applyBorder="1"/>
    <xf numFmtId="164" fontId="40" fillId="9" borderId="5" xfId="1" applyNumberFormat="1" applyFont="1" applyFill="1" applyBorder="1"/>
    <xf numFmtId="164" fontId="40" fillId="0" borderId="5" xfId="1" applyNumberFormat="1" applyFont="1" applyBorder="1"/>
    <xf numFmtId="164" fontId="40" fillId="11" borderId="27" xfId="1" applyNumberFormat="1" applyFont="1" applyFill="1" applyBorder="1"/>
    <xf numFmtId="164" fontId="40" fillId="10" borderId="5" xfId="1" applyNumberFormat="1" applyFont="1" applyFill="1" applyBorder="1"/>
    <xf numFmtId="164" fontId="40" fillId="10" borderId="27" xfId="1" applyNumberFormat="1" applyFont="1" applyFill="1" applyBorder="1"/>
    <xf numFmtId="164" fontId="40" fillId="11" borderId="5" xfId="1" applyNumberFormat="1" applyFont="1" applyFill="1" applyBorder="1"/>
    <xf numFmtId="164" fontId="40" fillId="11" borderId="0" xfId="1" applyNumberFormat="1" applyFont="1" applyFill="1" applyBorder="1"/>
    <xf numFmtId="164" fontId="40" fillId="10" borderId="0" xfId="1" applyNumberFormat="1" applyFont="1" applyFill="1" applyBorder="1"/>
    <xf numFmtId="164" fontId="40" fillId="11" borderId="20" xfId="1" applyNumberFormat="1" applyFont="1" applyFill="1" applyBorder="1"/>
    <xf numFmtId="164" fontId="44" fillId="10" borderId="0" xfId="1" applyNumberFormat="1" applyFont="1" applyFill="1" applyBorder="1"/>
    <xf numFmtId="164" fontId="44" fillId="11" borderId="20" xfId="1" applyNumberFormat="1" applyFont="1" applyFill="1" applyBorder="1"/>
    <xf numFmtId="164" fontId="44" fillId="10" borderId="5" xfId="1" applyNumberFormat="1" applyFont="1" applyFill="1" applyBorder="1"/>
    <xf numFmtId="164" fontId="40" fillId="7" borderId="19" xfId="1" applyNumberFormat="1" applyFont="1" applyFill="1" applyBorder="1"/>
    <xf numFmtId="164" fontId="40" fillId="7" borderId="20" xfId="1" applyNumberFormat="1" applyFont="1" applyFill="1" applyBorder="1"/>
    <xf numFmtId="164" fontId="44" fillId="7" borderId="20" xfId="1" applyNumberFormat="1" applyFont="1" applyFill="1" applyBorder="1"/>
    <xf numFmtId="164" fontId="40" fillId="7" borderId="11" xfId="1" applyNumberFormat="1" applyFont="1" applyFill="1" applyBorder="1"/>
    <xf numFmtId="164" fontId="40" fillId="7" borderId="12" xfId="1" applyNumberFormat="1" applyFont="1" applyFill="1" applyBorder="1"/>
    <xf numFmtId="164" fontId="44" fillId="7" borderId="12" xfId="1" applyNumberFormat="1" applyFont="1" applyFill="1" applyBorder="1"/>
    <xf numFmtId="164" fontId="42" fillId="0" borderId="0" xfId="1" applyNumberFormat="1" applyFont="1" applyAlignment="1">
      <alignment horizontal="center"/>
    </xf>
    <xf numFmtId="164" fontId="45" fillId="0" borderId="0" xfId="1" applyNumberFormat="1" applyFont="1" applyAlignment="1">
      <alignment horizontal="center"/>
    </xf>
    <xf numFmtId="164" fontId="40" fillId="2" borderId="15" xfId="1" applyNumberFormat="1" applyFont="1" applyFill="1" applyBorder="1" applyAlignment="1">
      <alignment horizontal="center"/>
    </xf>
    <xf numFmtId="164" fontId="40" fillId="2" borderId="16" xfId="1" applyNumberFormat="1" applyFont="1" applyFill="1" applyBorder="1" applyAlignment="1">
      <alignment horizontal="center"/>
    </xf>
    <xf numFmtId="164" fontId="46" fillId="6" borderId="15" xfId="1" applyNumberFormat="1" applyFont="1" applyFill="1" applyBorder="1" applyAlignment="1">
      <alignment horizontal="center"/>
    </xf>
    <xf numFmtId="164" fontId="46" fillId="6" borderId="16" xfId="1" applyNumberFormat="1" applyFont="1" applyFill="1" applyBorder="1" applyAlignment="1">
      <alignment horizontal="center"/>
    </xf>
    <xf numFmtId="164" fontId="47" fillId="6" borderId="16" xfId="1" applyNumberFormat="1" applyFont="1" applyFill="1" applyBorder="1" applyAlignment="1">
      <alignment horizontal="center"/>
    </xf>
    <xf numFmtId="0" fontId="44" fillId="0" borderId="0" xfId="0" applyFont="1"/>
    <xf numFmtId="0" fontId="40" fillId="0" borderId="4" xfId="0" applyFont="1" applyBorder="1"/>
    <xf numFmtId="0" fontId="48" fillId="0" borderId="4" xfId="0" applyFont="1" applyBorder="1"/>
    <xf numFmtId="0" fontId="39" fillId="0" borderId="48" xfId="0" applyFont="1" applyBorder="1" applyAlignment="1">
      <alignment horizontal="centerContinuous"/>
    </xf>
    <xf numFmtId="0" fontId="48" fillId="0" borderId="0" xfId="0" applyFont="1" applyAlignment="1">
      <alignment horizontal="center"/>
    </xf>
    <xf numFmtId="164" fontId="48" fillId="0" borderId="2" xfId="1" applyNumberFormat="1" applyFont="1" applyBorder="1"/>
    <xf numFmtId="164" fontId="48" fillId="0" borderId="12" xfId="1" applyNumberFormat="1" applyFont="1" applyBorder="1"/>
    <xf numFmtId="164" fontId="49" fillId="0" borderId="13" xfId="1" applyNumberFormat="1" applyFont="1" applyBorder="1"/>
    <xf numFmtId="164" fontId="48" fillId="0" borderId="0" xfId="1" applyNumberFormat="1" applyFont="1" applyBorder="1"/>
    <xf numFmtId="164" fontId="48" fillId="2" borderId="2" xfId="1" applyNumberFormat="1" applyFont="1" applyFill="1" applyBorder="1" applyAlignment="1"/>
    <xf numFmtId="164" fontId="48" fillId="2" borderId="5" xfId="1" applyNumberFormat="1" applyFont="1" applyFill="1" applyBorder="1" applyAlignment="1"/>
    <xf numFmtId="164" fontId="48" fillId="2" borderId="12" xfId="1" applyNumberFormat="1" applyFont="1" applyFill="1" applyBorder="1" applyAlignment="1"/>
    <xf numFmtId="164" fontId="49" fillId="0" borderId="0" xfId="1" applyNumberFormat="1" applyFont="1"/>
    <xf numFmtId="0" fontId="44" fillId="0" borderId="4" xfId="0" applyFont="1" applyBorder="1"/>
    <xf numFmtId="164" fontId="3" fillId="0" borderId="13" xfId="1" applyNumberFormat="1" applyFont="1" applyBorder="1" applyAlignment="1">
      <alignment horizontal="center"/>
    </xf>
    <xf numFmtId="170" fontId="2" fillId="2" borderId="12" xfId="3" applyNumberFormat="1" applyFont="1" applyFill="1" applyBorder="1"/>
    <xf numFmtId="171" fontId="2" fillId="2" borderId="12" xfId="3" applyNumberFormat="1" applyFont="1" applyFill="1" applyBorder="1"/>
    <xf numFmtId="1" fontId="2" fillId="10" borderId="23" xfId="1" applyNumberFormat="1" applyFont="1" applyFill="1" applyBorder="1"/>
    <xf numFmtId="1" fontId="2" fillId="11" borderId="21" xfId="1" applyNumberFormat="1" applyFont="1" applyFill="1" applyBorder="1"/>
    <xf numFmtId="1" fontId="2" fillId="11" borderId="18" xfId="1" applyNumberFormat="1" applyFont="1" applyFill="1" applyBorder="1"/>
    <xf numFmtId="164" fontId="2" fillId="10" borderId="23" xfId="1" applyNumberFormat="1" applyFont="1" applyFill="1" applyBorder="1"/>
    <xf numFmtId="164" fontId="2" fillId="11" borderId="21" xfId="1" applyNumberFormat="1" applyFont="1" applyFill="1" applyBorder="1"/>
    <xf numFmtId="164" fontId="2" fillId="11" borderId="18" xfId="1" applyNumberFormat="1" applyFont="1" applyFill="1" applyBorder="1"/>
    <xf numFmtId="164" fontId="2" fillId="9" borderId="18" xfId="1" applyNumberFormat="1" applyFont="1" applyFill="1" applyBorder="1"/>
    <xf numFmtId="164" fontId="40" fillId="2" borderId="3" xfId="1" applyNumberFormat="1" applyFont="1" applyFill="1" applyBorder="1"/>
    <xf numFmtId="9" fontId="40" fillId="2" borderId="21" xfId="3" applyFont="1" applyFill="1" applyBorder="1"/>
    <xf numFmtId="164" fontId="40" fillId="0" borderId="3" xfId="1" applyNumberFormat="1" applyFont="1" applyBorder="1"/>
    <xf numFmtId="164" fontId="40" fillId="0" borderId="18" xfId="1" applyNumberFormat="1" applyFont="1" applyBorder="1"/>
    <xf numFmtId="164" fontId="40" fillId="2" borderId="3" xfId="1" applyNumberFormat="1" applyFont="1" applyFill="1" applyBorder="1" applyAlignment="1"/>
    <xf numFmtId="164" fontId="40" fillId="2" borderId="22" xfId="1" applyNumberFormat="1" applyFont="1" applyFill="1" applyBorder="1" applyAlignment="1"/>
    <xf numFmtId="164" fontId="40" fillId="2" borderId="18" xfId="1" applyNumberFormat="1" applyFont="1" applyFill="1" applyBorder="1" applyAlignment="1"/>
    <xf numFmtId="164" fontId="40" fillId="7" borderId="26" xfId="1" applyNumberFormat="1" applyFont="1" applyFill="1" applyBorder="1"/>
    <xf numFmtId="164" fontId="40" fillId="7" borderId="3" xfId="1" applyNumberFormat="1" applyFont="1" applyFill="1" applyBorder="1"/>
    <xf numFmtId="164" fontId="40" fillId="7" borderId="27" xfId="1" applyNumberFormat="1" applyFont="1" applyFill="1" applyBorder="1"/>
    <xf numFmtId="164" fontId="40" fillId="7" borderId="22" xfId="1" applyNumberFormat="1" applyFont="1" applyFill="1" applyBorder="1"/>
    <xf numFmtId="164" fontId="40" fillId="9" borderId="27" xfId="1" applyNumberFormat="1" applyFont="1" applyFill="1" applyBorder="1"/>
    <xf numFmtId="164" fontId="40" fillId="9" borderId="22" xfId="1" applyNumberFormat="1" applyFont="1" applyFill="1" applyBorder="1"/>
    <xf numFmtId="164" fontId="40" fillId="10" borderId="23" xfId="1" applyNumberFormat="1" applyFont="1" applyFill="1" applyBorder="1"/>
    <xf numFmtId="164" fontId="40" fillId="11" borderId="21" xfId="1" applyNumberFormat="1" applyFont="1" applyFill="1" applyBorder="1"/>
    <xf numFmtId="164" fontId="40" fillId="11" borderId="18" xfId="1" applyNumberFormat="1" applyFont="1" applyFill="1" applyBorder="1"/>
    <xf numFmtId="164" fontId="40" fillId="2" borderId="17" xfId="1" applyNumberFormat="1" applyFont="1" applyFill="1" applyBorder="1" applyAlignment="1">
      <alignment horizontal="center"/>
    </xf>
    <xf numFmtId="164" fontId="46" fillId="6" borderId="17" xfId="1" applyNumberFormat="1" applyFont="1" applyFill="1" applyBorder="1" applyAlignment="1">
      <alignment horizontal="center"/>
    </xf>
    <xf numFmtId="164" fontId="2" fillId="7" borderId="21" xfId="1" applyNumberFormat="1" applyFont="1" applyFill="1" applyBorder="1"/>
    <xf numFmtId="164" fontId="2" fillId="9" borderId="21" xfId="1" applyNumberFormat="1" applyFont="1" applyFill="1" applyBorder="1"/>
    <xf numFmtId="164" fontId="2" fillId="0" borderId="30" xfId="1" applyNumberFormat="1" applyFont="1" applyFill="1" applyBorder="1"/>
    <xf numFmtId="164" fontId="2" fillId="13" borderId="30" xfId="1" applyNumberFormat="1" applyFont="1" applyFill="1" applyBorder="1"/>
    <xf numFmtId="164" fontId="2" fillId="13" borderId="31" xfId="1" applyNumberFormat="1" applyFont="1" applyFill="1" applyBorder="1"/>
    <xf numFmtId="164" fontId="10" fillId="14" borderId="1" xfId="1" applyNumberFormat="1" applyFont="1" applyFill="1" applyBorder="1"/>
    <xf numFmtId="0" fontId="50" fillId="2" borderId="10" xfId="0" applyFont="1" applyFill="1" applyBorder="1" applyAlignment="1">
      <alignment horizontal="left"/>
    </xf>
    <xf numFmtId="0" fontId="50" fillId="2" borderId="5" xfId="0" applyFont="1" applyFill="1" applyBorder="1" applyAlignment="1">
      <alignment horizontal="center"/>
    </xf>
    <xf numFmtId="0" fontId="50" fillId="3" borderId="5" xfId="0" applyFont="1" applyFill="1" applyBorder="1" applyAlignment="1">
      <alignment horizontal="center"/>
    </xf>
    <xf numFmtId="0" fontId="50" fillId="3" borderId="27" xfId="0" applyFont="1" applyFill="1" applyBorder="1" applyAlignment="1">
      <alignment horizontal="center"/>
    </xf>
    <xf numFmtId="167" fontId="50" fillId="2" borderId="22" xfId="0" applyNumberFormat="1" applyFont="1" applyFill="1" applyBorder="1" applyAlignment="1">
      <alignment horizontal="center"/>
    </xf>
    <xf numFmtId="0" fontId="51" fillId="0" borderId="0" xfId="0" applyFont="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8" xfId="2" applyFont="1" applyBorder="1" applyAlignment="1">
      <alignment vertical="center" wrapText="1"/>
    </xf>
    <xf numFmtId="166" fontId="7" fillId="0" borderId="29" xfId="2" applyFont="1" applyBorder="1" applyAlignment="1">
      <alignment vertical="center" wrapText="1"/>
    </xf>
    <xf numFmtId="166" fontId="7" fillId="0" borderId="14" xfId="2" applyFont="1" applyBorder="1" applyAlignment="1">
      <alignment vertical="center" wrapText="1"/>
    </xf>
    <xf numFmtId="165" fontId="4" fillId="10" borderId="28"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2" fillId="0" borderId="0" xfId="0" quotePrefix="1" applyFont="1" applyAlignment="1">
      <alignment horizontal="left" vertical="center" wrapText="1"/>
    </xf>
    <xf numFmtId="0" fontId="14" fillId="8" borderId="0" xfId="0" applyFont="1" applyFill="1" applyAlignment="1">
      <alignment horizontal="center" wrapText="1"/>
    </xf>
    <xf numFmtId="0" fontId="3" fillId="8" borderId="0" xfId="0" applyFont="1" applyFill="1" applyAlignment="1">
      <alignment horizontal="center" wrapText="1"/>
    </xf>
    <xf numFmtId="0" fontId="2"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left" vertical="center" wrapText="1"/>
    </xf>
    <xf numFmtId="0" fontId="26" fillId="0" borderId="0" xfId="0" applyFont="1" applyAlignment="1">
      <alignment horizontal="left" wrapText="1"/>
    </xf>
    <xf numFmtId="0" fontId="2" fillId="0" borderId="42" xfId="0" applyFont="1" applyBorder="1" applyAlignment="1">
      <alignment horizontal="left" vertical="center" wrapText="1"/>
    </xf>
  </cellXfs>
  <cellStyles count="5">
    <cellStyle name="Comma" xfId="1" builtinId="3"/>
    <cellStyle name="Comma 2" xfId="4" xr:uid="{00000000-0005-0000-0000-000001000000}"/>
    <cellStyle name="Normal" xfId="0" builtinId="0"/>
    <cellStyle name="Normal_Inputs PSM 14-9_TEMPLATE" xfId="2" xr:uid="{00000000-0005-0000-0000-000003000000}"/>
    <cellStyle name="Percent" xfId="3" builtinId="5"/>
  </cellStyles>
  <dxfs count="4">
    <dxf>
      <font>
        <condense val="0"/>
        <extend val="0"/>
        <color indexed="10"/>
      </font>
    </dxf>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51"/>
  <sheetViews>
    <sheetView tabSelected="1" topLeftCell="A13" workbookViewId="0">
      <selection activeCell="A28" sqref="A28:J35"/>
    </sheetView>
  </sheetViews>
  <sheetFormatPr defaultRowHeight="12.75"/>
  <cols>
    <col min="1" max="1" width="9.140625" style="101"/>
    <col min="2" max="2" width="16.7109375" style="101" bestFit="1" customWidth="1"/>
    <col min="3" max="6" width="9.140625" style="101"/>
    <col min="7" max="7" width="9.85546875" style="101" customWidth="1"/>
    <col min="8" max="255" width="9.140625" style="101"/>
    <col min="256" max="256" width="16.7109375" style="101" bestFit="1" customWidth="1"/>
    <col min="257" max="260" width="9.140625" style="101"/>
    <col min="261" max="261" width="9.85546875" style="101" customWidth="1"/>
    <col min="262" max="511" width="9.140625" style="101"/>
    <col min="512" max="512" width="16.7109375" style="101" bestFit="1" customWidth="1"/>
    <col min="513" max="516" width="9.140625" style="101"/>
    <col min="517" max="517" width="9.85546875" style="101" customWidth="1"/>
    <col min="518" max="767" width="9.140625" style="101"/>
    <col min="768" max="768" width="16.7109375" style="101" bestFit="1" customWidth="1"/>
    <col min="769" max="772" width="9.140625" style="101"/>
    <col min="773" max="773" width="9.85546875" style="101" customWidth="1"/>
    <col min="774" max="1023" width="9.140625" style="101"/>
    <col min="1024" max="1024" width="16.7109375" style="101" bestFit="1" customWidth="1"/>
    <col min="1025" max="1028" width="9.140625" style="101"/>
    <col min="1029" max="1029" width="9.85546875" style="101" customWidth="1"/>
    <col min="1030" max="1279" width="9.140625" style="101"/>
    <col min="1280" max="1280" width="16.7109375" style="101" bestFit="1" customWidth="1"/>
    <col min="1281" max="1284" width="9.140625" style="101"/>
    <col min="1285" max="1285" width="9.85546875" style="101" customWidth="1"/>
    <col min="1286" max="1535" width="9.140625" style="101"/>
    <col min="1536" max="1536" width="16.7109375" style="101" bestFit="1" customWidth="1"/>
    <col min="1537" max="1540" width="9.140625" style="101"/>
    <col min="1541" max="1541" width="9.85546875" style="101" customWidth="1"/>
    <col min="1542" max="1791" width="9.140625" style="101"/>
    <col min="1792" max="1792" width="16.7109375" style="101" bestFit="1" customWidth="1"/>
    <col min="1793" max="1796" width="9.140625" style="101"/>
    <col min="1797" max="1797" width="9.85546875" style="101" customWidth="1"/>
    <col min="1798" max="2047" width="9.140625" style="101"/>
    <col min="2048" max="2048" width="16.7109375" style="101" bestFit="1" customWidth="1"/>
    <col min="2049" max="2052" width="9.140625" style="101"/>
    <col min="2053" max="2053" width="9.85546875" style="101" customWidth="1"/>
    <col min="2054" max="2303" width="9.140625" style="101"/>
    <col min="2304" max="2304" width="16.7109375" style="101" bestFit="1" customWidth="1"/>
    <col min="2305" max="2308" width="9.140625" style="101"/>
    <col min="2309" max="2309" width="9.85546875" style="101" customWidth="1"/>
    <col min="2310" max="2559" width="9.140625" style="101"/>
    <col min="2560" max="2560" width="16.7109375" style="101" bestFit="1" customWidth="1"/>
    <col min="2561" max="2564" width="9.140625" style="101"/>
    <col min="2565" max="2565" width="9.85546875" style="101" customWidth="1"/>
    <col min="2566" max="2815" width="9.140625" style="101"/>
    <col min="2816" max="2816" width="16.7109375" style="101" bestFit="1" customWidth="1"/>
    <col min="2817" max="2820" width="9.140625" style="101"/>
    <col min="2821" max="2821" width="9.85546875" style="101" customWidth="1"/>
    <col min="2822" max="3071" width="9.140625" style="101"/>
    <col min="3072" max="3072" width="16.7109375" style="101" bestFit="1" customWidth="1"/>
    <col min="3073" max="3076" width="9.140625" style="101"/>
    <col min="3077" max="3077" width="9.85546875" style="101" customWidth="1"/>
    <col min="3078" max="3327" width="9.140625" style="101"/>
    <col min="3328" max="3328" width="16.7109375" style="101" bestFit="1" customWidth="1"/>
    <col min="3329" max="3332" width="9.140625" style="101"/>
    <col min="3333" max="3333" width="9.85546875" style="101" customWidth="1"/>
    <col min="3334" max="3583" width="9.140625" style="101"/>
    <col min="3584" max="3584" width="16.7109375" style="101" bestFit="1" customWidth="1"/>
    <col min="3585" max="3588" width="9.140625" style="101"/>
    <col min="3589" max="3589" width="9.85546875" style="101" customWidth="1"/>
    <col min="3590" max="3839" width="9.140625" style="101"/>
    <col min="3840" max="3840" width="16.7109375" style="101" bestFit="1" customWidth="1"/>
    <col min="3841" max="3844" width="9.140625" style="101"/>
    <col min="3845" max="3845" width="9.85546875" style="101" customWidth="1"/>
    <col min="3846" max="4095" width="9.140625" style="101"/>
    <col min="4096" max="4096" width="16.7109375" style="101" bestFit="1" customWidth="1"/>
    <col min="4097" max="4100" width="9.140625" style="101"/>
    <col min="4101" max="4101" width="9.85546875" style="101" customWidth="1"/>
    <col min="4102" max="4351" width="9.140625" style="101"/>
    <col min="4352" max="4352" width="16.7109375" style="101" bestFit="1" customWidth="1"/>
    <col min="4353" max="4356" width="9.140625" style="101"/>
    <col min="4357" max="4357" width="9.85546875" style="101" customWidth="1"/>
    <col min="4358" max="4607" width="9.140625" style="101"/>
    <col min="4608" max="4608" width="16.7109375" style="101" bestFit="1" customWidth="1"/>
    <col min="4609" max="4612" width="9.140625" style="101"/>
    <col min="4613" max="4613" width="9.85546875" style="101" customWidth="1"/>
    <col min="4614" max="4863" width="9.140625" style="101"/>
    <col min="4864" max="4864" width="16.7109375" style="101" bestFit="1" customWidth="1"/>
    <col min="4865" max="4868" width="9.140625" style="101"/>
    <col min="4869" max="4869" width="9.85546875" style="101" customWidth="1"/>
    <col min="4870" max="5119" width="9.140625" style="101"/>
    <col min="5120" max="5120" width="16.7109375" style="101" bestFit="1" customWidth="1"/>
    <col min="5121" max="5124" width="9.140625" style="101"/>
    <col min="5125" max="5125" width="9.85546875" style="101" customWidth="1"/>
    <col min="5126" max="5375" width="9.140625" style="101"/>
    <col min="5376" max="5376" width="16.7109375" style="101" bestFit="1" customWidth="1"/>
    <col min="5377" max="5380" width="9.140625" style="101"/>
    <col min="5381" max="5381" width="9.85546875" style="101" customWidth="1"/>
    <col min="5382" max="5631" width="9.140625" style="101"/>
    <col min="5632" max="5632" width="16.7109375" style="101" bestFit="1" customWidth="1"/>
    <col min="5633" max="5636" width="9.140625" style="101"/>
    <col min="5637" max="5637" width="9.85546875" style="101" customWidth="1"/>
    <col min="5638" max="5887" width="9.140625" style="101"/>
    <col min="5888" max="5888" width="16.7109375" style="101" bestFit="1" customWidth="1"/>
    <col min="5889" max="5892" width="9.140625" style="101"/>
    <col min="5893" max="5893" width="9.85546875" style="101" customWidth="1"/>
    <col min="5894" max="6143" width="9.140625" style="101"/>
    <col min="6144" max="6144" width="16.7109375" style="101" bestFit="1" customWidth="1"/>
    <col min="6145" max="6148" width="9.140625" style="101"/>
    <col min="6149" max="6149" width="9.85546875" style="101" customWidth="1"/>
    <col min="6150" max="6399" width="9.140625" style="101"/>
    <col min="6400" max="6400" width="16.7109375" style="101" bestFit="1" customWidth="1"/>
    <col min="6401" max="6404" width="9.140625" style="101"/>
    <col min="6405" max="6405" width="9.85546875" style="101" customWidth="1"/>
    <col min="6406" max="6655" width="9.140625" style="101"/>
    <col min="6656" max="6656" width="16.7109375" style="101" bestFit="1" customWidth="1"/>
    <col min="6657" max="6660" width="9.140625" style="101"/>
    <col min="6661" max="6661" width="9.85546875" style="101" customWidth="1"/>
    <col min="6662" max="6911" width="9.140625" style="101"/>
    <col min="6912" max="6912" width="16.7109375" style="101" bestFit="1" customWidth="1"/>
    <col min="6913" max="6916" width="9.140625" style="101"/>
    <col min="6917" max="6917" width="9.85546875" style="101" customWidth="1"/>
    <col min="6918" max="7167" width="9.140625" style="101"/>
    <col min="7168" max="7168" width="16.7109375" style="101" bestFit="1" customWidth="1"/>
    <col min="7169" max="7172" width="9.140625" style="101"/>
    <col min="7173" max="7173" width="9.85546875" style="101" customWidth="1"/>
    <col min="7174" max="7423" width="9.140625" style="101"/>
    <col min="7424" max="7424" width="16.7109375" style="101" bestFit="1" customWidth="1"/>
    <col min="7425" max="7428" width="9.140625" style="101"/>
    <col min="7429" max="7429" width="9.85546875" style="101" customWidth="1"/>
    <col min="7430" max="7679" width="9.140625" style="101"/>
    <col min="7680" max="7680" width="16.7109375" style="101" bestFit="1" customWidth="1"/>
    <col min="7681" max="7684" width="9.140625" style="101"/>
    <col min="7685" max="7685" width="9.85546875" style="101" customWidth="1"/>
    <col min="7686" max="7935" width="9.140625" style="101"/>
    <col min="7936" max="7936" width="16.7109375" style="101" bestFit="1" customWidth="1"/>
    <col min="7937" max="7940" width="9.140625" style="101"/>
    <col min="7941" max="7941" width="9.85546875" style="101" customWidth="1"/>
    <col min="7942" max="8191" width="9.140625" style="101"/>
    <col min="8192" max="8192" width="16.7109375" style="101" bestFit="1" customWidth="1"/>
    <col min="8193" max="8196" width="9.140625" style="101"/>
    <col min="8197" max="8197" width="9.85546875" style="101" customWidth="1"/>
    <col min="8198" max="8447" width="9.140625" style="101"/>
    <col min="8448" max="8448" width="16.7109375" style="101" bestFit="1" customWidth="1"/>
    <col min="8449" max="8452" width="9.140625" style="101"/>
    <col min="8453" max="8453" width="9.85546875" style="101" customWidth="1"/>
    <col min="8454" max="8703" width="9.140625" style="101"/>
    <col min="8704" max="8704" width="16.7109375" style="101" bestFit="1" customWidth="1"/>
    <col min="8705" max="8708" width="9.140625" style="101"/>
    <col min="8709" max="8709" width="9.85546875" style="101" customWidth="1"/>
    <col min="8710" max="8959" width="9.140625" style="101"/>
    <col min="8960" max="8960" width="16.7109375" style="101" bestFit="1" customWidth="1"/>
    <col min="8961" max="8964" width="9.140625" style="101"/>
    <col min="8965" max="8965" width="9.85546875" style="101" customWidth="1"/>
    <col min="8966" max="9215" width="9.140625" style="101"/>
    <col min="9216" max="9216" width="16.7109375" style="101" bestFit="1" customWidth="1"/>
    <col min="9217" max="9220" width="9.140625" style="101"/>
    <col min="9221" max="9221" width="9.85546875" style="101" customWidth="1"/>
    <col min="9222" max="9471" width="9.140625" style="101"/>
    <col min="9472" max="9472" width="16.7109375" style="101" bestFit="1" customWidth="1"/>
    <col min="9473" max="9476" width="9.140625" style="101"/>
    <col min="9477" max="9477" width="9.85546875" style="101" customWidth="1"/>
    <col min="9478" max="9727" width="9.140625" style="101"/>
    <col min="9728" max="9728" width="16.7109375" style="101" bestFit="1" customWidth="1"/>
    <col min="9729" max="9732" width="9.140625" style="101"/>
    <col min="9733" max="9733" width="9.85546875" style="101" customWidth="1"/>
    <col min="9734" max="9983" width="9.140625" style="101"/>
    <col min="9984" max="9984" width="16.7109375" style="101" bestFit="1" customWidth="1"/>
    <col min="9985" max="9988" width="9.140625" style="101"/>
    <col min="9989" max="9989" width="9.85546875" style="101" customWidth="1"/>
    <col min="9990" max="10239" width="9.140625" style="101"/>
    <col min="10240" max="10240" width="16.7109375" style="101" bestFit="1" customWidth="1"/>
    <col min="10241" max="10244" width="9.140625" style="101"/>
    <col min="10245" max="10245" width="9.85546875" style="101" customWidth="1"/>
    <col min="10246" max="10495" width="9.140625" style="101"/>
    <col min="10496" max="10496" width="16.7109375" style="101" bestFit="1" customWidth="1"/>
    <col min="10497" max="10500" width="9.140625" style="101"/>
    <col min="10501" max="10501" width="9.85546875" style="101" customWidth="1"/>
    <col min="10502" max="10751" width="9.140625" style="101"/>
    <col min="10752" max="10752" width="16.7109375" style="101" bestFit="1" customWidth="1"/>
    <col min="10753" max="10756" width="9.140625" style="101"/>
    <col min="10757" max="10757" width="9.85546875" style="101" customWidth="1"/>
    <col min="10758" max="11007" width="9.140625" style="101"/>
    <col min="11008" max="11008" width="16.7109375" style="101" bestFit="1" customWidth="1"/>
    <col min="11009" max="11012" width="9.140625" style="101"/>
    <col min="11013" max="11013" width="9.85546875" style="101" customWidth="1"/>
    <col min="11014" max="11263" width="9.140625" style="101"/>
    <col min="11264" max="11264" width="16.7109375" style="101" bestFit="1" customWidth="1"/>
    <col min="11265" max="11268" width="9.140625" style="101"/>
    <col min="11269" max="11269" width="9.85546875" style="101" customWidth="1"/>
    <col min="11270" max="11519" width="9.140625" style="101"/>
    <col min="11520" max="11520" width="16.7109375" style="101" bestFit="1" customWidth="1"/>
    <col min="11521" max="11524" width="9.140625" style="101"/>
    <col min="11525" max="11525" width="9.85546875" style="101" customWidth="1"/>
    <col min="11526" max="11775" width="9.140625" style="101"/>
    <col min="11776" max="11776" width="16.7109375" style="101" bestFit="1" customWidth="1"/>
    <col min="11777" max="11780" width="9.140625" style="101"/>
    <col min="11781" max="11781" width="9.85546875" style="101" customWidth="1"/>
    <col min="11782" max="12031" width="9.140625" style="101"/>
    <col min="12032" max="12032" width="16.7109375" style="101" bestFit="1" customWidth="1"/>
    <col min="12033" max="12036" width="9.140625" style="101"/>
    <col min="12037" max="12037" width="9.85546875" style="101" customWidth="1"/>
    <col min="12038" max="12287" width="9.140625" style="101"/>
    <col min="12288" max="12288" width="16.7109375" style="101" bestFit="1" customWidth="1"/>
    <col min="12289" max="12292" width="9.140625" style="101"/>
    <col min="12293" max="12293" width="9.85546875" style="101" customWidth="1"/>
    <col min="12294" max="12543" width="9.140625" style="101"/>
    <col min="12544" max="12544" width="16.7109375" style="101" bestFit="1" customWidth="1"/>
    <col min="12545" max="12548" width="9.140625" style="101"/>
    <col min="12549" max="12549" width="9.85546875" style="101" customWidth="1"/>
    <col min="12550" max="12799" width="9.140625" style="101"/>
    <col min="12800" max="12800" width="16.7109375" style="101" bestFit="1" customWidth="1"/>
    <col min="12801" max="12804" width="9.140625" style="101"/>
    <col min="12805" max="12805" width="9.85546875" style="101" customWidth="1"/>
    <col min="12806" max="13055" width="9.140625" style="101"/>
    <col min="13056" max="13056" width="16.7109375" style="101" bestFit="1" customWidth="1"/>
    <col min="13057" max="13060" width="9.140625" style="101"/>
    <col min="13061" max="13061" width="9.85546875" style="101" customWidth="1"/>
    <col min="13062" max="13311" width="9.140625" style="101"/>
    <col min="13312" max="13312" width="16.7109375" style="101" bestFit="1" customWidth="1"/>
    <col min="13313" max="13316" width="9.140625" style="101"/>
    <col min="13317" max="13317" width="9.85546875" style="101" customWidth="1"/>
    <col min="13318" max="13567" width="9.140625" style="101"/>
    <col min="13568" max="13568" width="16.7109375" style="101" bestFit="1" customWidth="1"/>
    <col min="13569" max="13572" width="9.140625" style="101"/>
    <col min="13573" max="13573" width="9.85546875" style="101" customWidth="1"/>
    <col min="13574" max="13823" width="9.140625" style="101"/>
    <col min="13824" max="13824" width="16.7109375" style="101" bestFit="1" customWidth="1"/>
    <col min="13825" max="13828" width="9.140625" style="101"/>
    <col min="13829" max="13829" width="9.85546875" style="101" customWidth="1"/>
    <col min="13830" max="14079" width="9.140625" style="101"/>
    <col min="14080" max="14080" width="16.7109375" style="101" bestFit="1" customWidth="1"/>
    <col min="14081" max="14084" width="9.140625" style="101"/>
    <col min="14085" max="14085" width="9.85546875" style="101" customWidth="1"/>
    <col min="14086" max="14335" width="9.140625" style="101"/>
    <col min="14336" max="14336" width="16.7109375" style="101" bestFit="1" customWidth="1"/>
    <col min="14337" max="14340" width="9.140625" style="101"/>
    <col min="14341" max="14341" width="9.85546875" style="101" customWidth="1"/>
    <col min="14342" max="14591" width="9.140625" style="101"/>
    <col min="14592" max="14592" width="16.7109375" style="101" bestFit="1" customWidth="1"/>
    <col min="14593" max="14596" width="9.140625" style="101"/>
    <col min="14597" max="14597" width="9.85546875" style="101" customWidth="1"/>
    <col min="14598" max="14847" width="9.140625" style="101"/>
    <col min="14848" max="14848" width="16.7109375" style="101" bestFit="1" customWidth="1"/>
    <col min="14849" max="14852" width="9.140625" style="101"/>
    <col min="14853" max="14853" width="9.85546875" style="101" customWidth="1"/>
    <col min="14854" max="15103" width="9.140625" style="101"/>
    <col min="15104" max="15104" width="16.7109375" style="101" bestFit="1" customWidth="1"/>
    <col min="15105" max="15108" width="9.140625" style="101"/>
    <col min="15109" max="15109" width="9.85546875" style="101" customWidth="1"/>
    <col min="15110" max="15359" width="9.140625" style="101"/>
    <col min="15360" max="15360" width="16.7109375" style="101" bestFit="1" customWidth="1"/>
    <col min="15361" max="15364" width="9.140625" style="101"/>
    <col min="15365" max="15365" width="9.85546875" style="101" customWidth="1"/>
    <col min="15366" max="15615" width="9.140625" style="101"/>
    <col min="15616" max="15616" width="16.7109375" style="101" bestFit="1" customWidth="1"/>
    <col min="15617" max="15620" width="9.140625" style="101"/>
    <col min="15621" max="15621" width="9.85546875" style="101" customWidth="1"/>
    <col min="15622" max="15871" width="9.140625" style="101"/>
    <col min="15872" max="15872" width="16.7109375" style="101" bestFit="1" customWidth="1"/>
    <col min="15873" max="15876" width="9.140625" style="101"/>
    <col min="15877" max="15877" width="9.85546875" style="101" customWidth="1"/>
    <col min="15878" max="16127" width="9.140625" style="101"/>
    <col min="16128" max="16128" width="16.7109375" style="101" bestFit="1" customWidth="1"/>
    <col min="16129" max="16132" width="9.140625" style="101"/>
    <col min="16133" max="16133" width="9.85546875" style="101" customWidth="1"/>
    <col min="16134" max="16384" width="9.140625" style="101"/>
  </cols>
  <sheetData>
    <row r="1" spans="1:10">
      <c r="A1" s="99"/>
      <c r="B1" s="99"/>
      <c r="C1" s="99"/>
      <c r="D1" s="99"/>
      <c r="E1" s="99"/>
      <c r="F1" s="99"/>
      <c r="G1" s="99"/>
      <c r="H1" s="100" t="s">
        <v>147</v>
      </c>
      <c r="I1" s="99"/>
      <c r="J1" s="99"/>
    </row>
    <row r="2" spans="1:10">
      <c r="A2" s="99"/>
      <c r="B2" s="99"/>
      <c r="C2" s="99"/>
      <c r="D2" s="99"/>
      <c r="E2" s="99"/>
      <c r="F2" s="99"/>
      <c r="G2" s="99"/>
      <c r="H2" s="99"/>
      <c r="I2" s="99"/>
      <c r="J2" s="99"/>
    </row>
    <row r="3" spans="1:10">
      <c r="A3" s="99"/>
      <c r="B3" s="99"/>
      <c r="C3" s="99"/>
      <c r="D3" s="99"/>
      <c r="E3" s="99"/>
      <c r="F3" s="99"/>
      <c r="G3" s="99"/>
      <c r="H3" s="99"/>
      <c r="I3" s="99"/>
      <c r="J3" s="99"/>
    </row>
    <row r="4" spans="1:10">
      <c r="A4" s="99"/>
      <c r="B4" s="99"/>
      <c r="C4" s="99"/>
      <c r="D4" s="99"/>
      <c r="E4" s="99"/>
      <c r="F4" s="99" t="s">
        <v>148</v>
      </c>
      <c r="G4" s="99"/>
      <c r="H4" s="99"/>
      <c r="I4" s="99"/>
      <c r="J4" s="99"/>
    </row>
    <row r="5" spans="1:10" ht="15.75">
      <c r="A5" s="99"/>
      <c r="B5" s="494" t="s">
        <v>150</v>
      </c>
      <c r="C5" s="494"/>
      <c r="D5" s="494"/>
      <c r="E5" s="494"/>
      <c r="F5" s="494"/>
      <c r="G5" s="494"/>
      <c r="H5" s="494"/>
      <c r="I5" s="494"/>
      <c r="J5" s="99"/>
    </row>
    <row r="6" spans="1:10">
      <c r="A6" s="99"/>
      <c r="B6" s="99"/>
      <c r="C6" s="99"/>
      <c r="D6" s="99"/>
      <c r="E6" s="99"/>
      <c r="F6" s="99"/>
      <c r="G6" s="99"/>
      <c r="H6" s="99"/>
      <c r="I6" s="99"/>
      <c r="J6" s="99"/>
    </row>
    <row r="7" spans="1:10">
      <c r="A7" s="99"/>
      <c r="B7" s="99"/>
      <c r="C7" s="99"/>
      <c r="D7" s="99"/>
      <c r="E7" s="99"/>
      <c r="F7" s="99"/>
      <c r="G7" s="99"/>
      <c r="H7" s="99"/>
      <c r="I7" s="99"/>
      <c r="J7" s="99"/>
    </row>
    <row r="8" spans="1:10" ht="12.75" customHeight="1">
      <c r="A8" s="99"/>
      <c r="B8" s="495"/>
      <c r="C8" s="495"/>
      <c r="D8" s="495"/>
      <c r="E8" s="495"/>
      <c r="F8" s="495"/>
      <c r="G8" s="105"/>
      <c r="H8" s="99"/>
      <c r="I8" s="99"/>
      <c r="J8" s="99"/>
    </row>
    <row r="9" spans="1:10" ht="12.75" customHeight="1">
      <c r="A9" s="99"/>
      <c r="B9" s="495"/>
      <c r="C9" s="495"/>
      <c r="D9" s="495"/>
      <c r="E9" s="495"/>
      <c r="F9" s="495"/>
      <c r="G9" s="105"/>
      <c r="H9" s="99"/>
      <c r="I9" s="99"/>
      <c r="J9" s="99"/>
    </row>
    <row r="10" spans="1:10" ht="16.5">
      <c r="A10" s="99"/>
      <c r="B10" s="495"/>
      <c r="C10" s="495"/>
      <c r="D10" s="495"/>
      <c r="E10" s="495"/>
      <c r="F10" s="495"/>
      <c r="G10" s="105"/>
      <c r="H10" s="496"/>
      <c r="I10" s="496"/>
      <c r="J10" s="99"/>
    </row>
    <row r="11" spans="1:10" ht="16.5">
      <c r="A11" s="99"/>
      <c r="B11" s="495"/>
      <c r="C11" s="495"/>
      <c r="D11" s="495"/>
      <c r="E11" s="495"/>
      <c r="F11" s="495"/>
      <c r="G11" s="105"/>
      <c r="H11" s="496"/>
      <c r="I11" s="496"/>
      <c r="J11" s="99"/>
    </row>
    <row r="12" spans="1:10" ht="16.5" customHeight="1">
      <c r="A12" s="99"/>
      <c r="B12" s="495"/>
      <c r="C12" s="495"/>
      <c r="D12" s="495"/>
      <c r="E12" s="495"/>
      <c r="F12" s="495"/>
      <c r="G12" s="99"/>
      <c r="H12" s="99"/>
      <c r="I12" s="99"/>
      <c r="J12" s="99"/>
    </row>
    <row r="13" spans="1:10">
      <c r="A13" s="99"/>
      <c r="B13" s="99"/>
      <c r="C13" s="99"/>
      <c r="D13" s="99"/>
      <c r="E13" s="99"/>
      <c r="F13" s="99"/>
      <c r="G13" s="99"/>
      <c r="H13" s="99"/>
      <c r="I13" s="99"/>
      <c r="J13" s="99"/>
    </row>
    <row r="14" spans="1:10">
      <c r="A14" s="99"/>
      <c r="B14" s="99"/>
      <c r="C14" s="99"/>
      <c r="D14" s="99"/>
      <c r="E14" s="99"/>
      <c r="F14" s="99"/>
      <c r="G14" s="99"/>
      <c r="H14" s="99"/>
      <c r="I14" s="99"/>
      <c r="J14" s="99"/>
    </row>
    <row r="15" spans="1:10">
      <c r="A15" s="99"/>
      <c r="B15" s="99"/>
      <c r="C15" s="99"/>
      <c r="D15" s="99"/>
      <c r="E15" s="99"/>
      <c r="F15" s="99"/>
      <c r="G15" s="99"/>
      <c r="H15" s="99"/>
      <c r="I15" s="99"/>
      <c r="J15" s="99"/>
    </row>
    <row r="16" spans="1:10" ht="20.25">
      <c r="A16" s="102"/>
      <c r="B16" s="497" t="s">
        <v>201</v>
      </c>
      <c r="C16" s="497"/>
      <c r="D16" s="497"/>
      <c r="E16" s="497"/>
      <c r="F16" s="497"/>
      <c r="G16" s="497"/>
      <c r="H16" s="497"/>
      <c r="I16" s="497"/>
      <c r="J16" s="102"/>
    </row>
    <row r="17" spans="1:10" ht="16.5" customHeight="1">
      <c r="A17" s="102"/>
      <c r="B17" s="102"/>
      <c r="C17" s="103"/>
      <c r="D17" s="103"/>
      <c r="E17" s="493"/>
      <c r="F17" s="493"/>
      <c r="G17" s="493"/>
      <c r="H17" s="103"/>
      <c r="I17" s="103"/>
      <c r="J17" s="102"/>
    </row>
    <row r="18" spans="1:10" ht="12.75" customHeight="1">
      <c r="A18" s="102"/>
      <c r="B18" s="102"/>
      <c r="C18" s="104"/>
      <c r="D18" s="104"/>
      <c r="E18" s="104"/>
      <c r="F18" s="104"/>
      <c r="G18" s="104"/>
      <c r="H18" s="104"/>
      <c r="I18" s="104"/>
      <c r="J18" s="102"/>
    </row>
    <row r="19" spans="1:10" ht="25.5" customHeight="1">
      <c r="A19" s="102"/>
      <c r="B19" s="490" t="s">
        <v>149</v>
      </c>
      <c r="C19" s="490"/>
      <c r="D19" s="490"/>
      <c r="E19" s="490"/>
      <c r="F19" s="490"/>
      <c r="G19" s="490"/>
      <c r="H19" s="490"/>
      <c r="I19" s="490"/>
      <c r="J19" s="102"/>
    </row>
    <row r="20" spans="1:10" ht="12.75" customHeight="1">
      <c r="A20" s="102"/>
      <c r="B20" s="104"/>
      <c r="C20" s="104"/>
      <c r="D20" s="104"/>
      <c r="E20" s="104"/>
      <c r="F20" s="104"/>
      <c r="G20" s="104"/>
      <c r="H20" s="104"/>
      <c r="I20" s="104"/>
      <c r="J20" s="102"/>
    </row>
    <row r="21" spans="1:10" ht="12.75" customHeight="1">
      <c r="A21" s="102"/>
      <c r="B21" s="104"/>
      <c r="C21" s="104"/>
      <c r="D21" s="104"/>
      <c r="E21" s="104"/>
      <c r="F21" s="104"/>
      <c r="G21" s="104"/>
      <c r="H21" s="104"/>
      <c r="I21" s="104"/>
      <c r="J21" s="102"/>
    </row>
    <row r="22" spans="1:10" ht="20.25" customHeight="1">
      <c r="A22" s="102"/>
      <c r="B22" s="492" t="s">
        <v>151</v>
      </c>
      <c r="C22" s="492"/>
      <c r="D22" s="492"/>
      <c r="E22" s="492"/>
      <c r="F22" s="492"/>
      <c r="G22" s="492"/>
      <c r="H22" s="492"/>
      <c r="I22" s="492"/>
      <c r="J22" s="102"/>
    </row>
    <row r="23" spans="1:10" ht="20.25">
      <c r="A23" s="102"/>
      <c r="B23" s="492"/>
      <c r="C23" s="492"/>
      <c r="D23" s="492"/>
      <c r="E23" s="492"/>
      <c r="F23" s="492"/>
      <c r="G23" s="492"/>
      <c r="H23" s="492"/>
      <c r="I23" s="492"/>
      <c r="J23" s="102"/>
    </row>
    <row r="24" spans="1:10">
      <c r="A24" s="102"/>
      <c r="B24" s="102"/>
      <c r="C24" s="102"/>
      <c r="D24" s="102"/>
      <c r="E24" s="102"/>
      <c r="F24" s="102"/>
      <c r="G24" s="102"/>
      <c r="H24" s="102"/>
      <c r="I24" s="102"/>
      <c r="J24" s="102"/>
    </row>
    <row r="25" spans="1:10" ht="20.25">
      <c r="A25" s="102"/>
      <c r="B25" s="492"/>
      <c r="C25" s="492"/>
      <c r="D25" s="492"/>
      <c r="E25" s="492"/>
      <c r="F25" s="492"/>
      <c r="G25" s="492"/>
      <c r="H25" s="492"/>
      <c r="I25" s="492"/>
      <c r="J25" s="102"/>
    </row>
    <row r="26" spans="1:10">
      <c r="A26" s="102"/>
      <c r="B26" s="102"/>
      <c r="C26" s="102"/>
      <c r="D26" s="102"/>
      <c r="E26" s="102"/>
      <c r="F26" s="102"/>
      <c r="G26" s="102"/>
      <c r="H26" s="102"/>
      <c r="I26" s="102"/>
      <c r="J26" s="102"/>
    </row>
    <row r="27" spans="1:10">
      <c r="A27" s="102"/>
      <c r="B27" s="102"/>
      <c r="C27" s="102"/>
      <c r="D27" s="102"/>
      <c r="E27" s="102"/>
      <c r="F27" s="102"/>
      <c r="G27" s="102"/>
      <c r="H27" s="102"/>
      <c r="I27" s="102"/>
      <c r="J27" s="102"/>
    </row>
    <row r="28" spans="1:10" ht="12.75" customHeight="1">
      <c r="A28" s="491"/>
      <c r="B28" s="491"/>
      <c r="C28" s="491"/>
      <c r="D28" s="491"/>
      <c r="E28" s="491"/>
      <c r="F28" s="491"/>
      <c r="G28" s="491"/>
      <c r="H28" s="491"/>
      <c r="I28" s="491"/>
      <c r="J28" s="491"/>
    </row>
    <row r="29" spans="1:10" ht="12.75" customHeight="1">
      <c r="A29" s="491"/>
      <c r="B29" s="491"/>
      <c r="C29" s="491"/>
      <c r="D29" s="491"/>
      <c r="E29" s="491"/>
      <c r="F29" s="491"/>
      <c r="G29" s="491"/>
      <c r="H29" s="491"/>
      <c r="I29" s="491"/>
      <c r="J29" s="491"/>
    </row>
    <row r="30" spans="1:10" ht="12.75" customHeight="1">
      <c r="A30" s="491"/>
      <c r="B30" s="491"/>
      <c r="C30" s="491"/>
      <c r="D30" s="491"/>
      <c r="E30" s="491"/>
      <c r="F30" s="491"/>
      <c r="G30" s="491"/>
      <c r="H30" s="491"/>
      <c r="I30" s="491"/>
      <c r="J30" s="491"/>
    </row>
    <row r="31" spans="1:10" ht="12.75" customHeight="1">
      <c r="A31" s="491"/>
      <c r="B31" s="491"/>
      <c r="C31" s="491"/>
      <c r="D31" s="491"/>
      <c r="E31" s="491"/>
      <c r="F31" s="491"/>
      <c r="G31" s="491"/>
      <c r="H31" s="491"/>
      <c r="I31" s="491"/>
      <c r="J31" s="491"/>
    </row>
    <row r="32" spans="1:10" ht="12.75" customHeight="1">
      <c r="A32" s="491"/>
      <c r="B32" s="491"/>
      <c r="C32" s="491"/>
      <c r="D32" s="491"/>
      <c r="E32" s="491"/>
      <c r="F32" s="491"/>
      <c r="G32" s="491"/>
      <c r="H32" s="491"/>
      <c r="I32" s="491"/>
      <c r="J32" s="491"/>
    </row>
    <row r="33" spans="1:10" ht="12.75" customHeight="1">
      <c r="A33" s="491"/>
      <c r="B33" s="491"/>
      <c r="C33" s="491"/>
      <c r="D33" s="491"/>
      <c r="E33" s="491"/>
      <c r="F33" s="491"/>
      <c r="G33" s="491"/>
      <c r="H33" s="491"/>
      <c r="I33" s="491"/>
      <c r="J33" s="491"/>
    </row>
    <row r="34" spans="1:10" ht="12.75" customHeight="1">
      <c r="A34" s="491"/>
      <c r="B34" s="491"/>
      <c r="C34" s="491"/>
      <c r="D34" s="491"/>
      <c r="E34" s="491"/>
      <c r="F34" s="491"/>
      <c r="G34" s="491"/>
      <c r="H34" s="491"/>
      <c r="I34" s="491"/>
      <c r="J34" s="491"/>
    </row>
    <row r="35" spans="1:10" ht="12.75" customHeight="1">
      <c r="A35" s="491"/>
      <c r="B35" s="491"/>
      <c r="C35" s="491"/>
      <c r="D35" s="491"/>
      <c r="E35" s="491"/>
      <c r="F35" s="491"/>
      <c r="G35" s="491"/>
      <c r="H35" s="491"/>
      <c r="I35" s="491"/>
      <c r="J35" s="491"/>
    </row>
    <row r="36" spans="1:10">
      <c r="A36" s="102"/>
      <c r="B36" s="102"/>
      <c r="C36" s="102"/>
      <c r="D36" s="102"/>
      <c r="E36" s="102"/>
      <c r="F36" s="102"/>
      <c r="G36" s="102"/>
      <c r="H36" s="102"/>
      <c r="I36" s="102"/>
      <c r="J36" s="102"/>
    </row>
    <row r="37" spans="1:10">
      <c r="A37" s="102"/>
      <c r="B37" s="102"/>
      <c r="C37" s="102"/>
      <c r="D37" s="102"/>
      <c r="E37" s="102"/>
      <c r="F37" s="102"/>
      <c r="G37" s="102"/>
      <c r="H37" s="102"/>
      <c r="I37" s="102"/>
      <c r="J37" s="102"/>
    </row>
    <row r="38" spans="1:10">
      <c r="A38" s="102"/>
      <c r="B38" s="102"/>
      <c r="C38" s="102"/>
      <c r="D38" s="102"/>
      <c r="E38" s="102"/>
      <c r="F38" s="102"/>
      <c r="G38" s="102"/>
      <c r="H38" s="102"/>
      <c r="I38" s="102"/>
      <c r="J38" s="102"/>
    </row>
    <row r="39" spans="1:10" ht="20.25">
      <c r="A39" s="102"/>
      <c r="B39" s="492">
        <v>45078</v>
      </c>
      <c r="C39" s="492"/>
      <c r="D39" s="492"/>
      <c r="E39" s="492"/>
      <c r="F39" s="492"/>
      <c r="G39" s="492"/>
      <c r="H39" s="492"/>
      <c r="I39" s="492"/>
      <c r="J39" s="102"/>
    </row>
    <row r="40" spans="1:10">
      <c r="A40" s="102"/>
      <c r="B40" s="102"/>
      <c r="C40" s="102"/>
      <c r="D40" s="102"/>
      <c r="E40" s="102"/>
      <c r="F40" s="102"/>
      <c r="G40" s="102"/>
      <c r="H40" s="102"/>
      <c r="I40" s="102"/>
      <c r="J40" s="102"/>
    </row>
    <row r="41" spans="1:10">
      <c r="A41" s="102"/>
      <c r="B41" s="102"/>
      <c r="C41" s="102"/>
      <c r="D41" s="102"/>
      <c r="E41" s="102"/>
      <c r="F41" s="102"/>
      <c r="G41" s="102"/>
      <c r="H41" s="102"/>
      <c r="I41" s="102"/>
      <c r="J41" s="102"/>
    </row>
    <row r="42" spans="1:10">
      <c r="A42" s="102"/>
      <c r="B42" s="102"/>
      <c r="C42" s="102"/>
      <c r="D42" s="102"/>
      <c r="E42" s="102"/>
      <c r="F42" s="102"/>
      <c r="G42" s="102"/>
      <c r="H42" s="102"/>
      <c r="I42" s="102"/>
      <c r="J42" s="102"/>
    </row>
    <row r="43" spans="1:10">
      <c r="A43" s="102"/>
      <c r="B43" s="102"/>
      <c r="C43" s="102"/>
      <c r="D43" s="102"/>
      <c r="E43" s="102"/>
      <c r="F43" s="102"/>
      <c r="G43" s="102"/>
      <c r="H43" s="102"/>
      <c r="I43" s="102"/>
      <c r="J43" s="102"/>
    </row>
    <row r="44" spans="1:10">
      <c r="A44" s="102"/>
      <c r="B44" s="102"/>
      <c r="C44" s="102"/>
      <c r="D44" s="102"/>
      <c r="E44" s="102"/>
      <c r="F44" s="102"/>
      <c r="G44" s="102"/>
      <c r="H44" s="102"/>
      <c r="I44" s="102"/>
      <c r="J44" s="102"/>
    </row>
    <row r="45" spans="1:10">
      <c r="A45" s="102"/>
      <c r="B45" s="102"/>
      <c r="C45" s="102"/>
      <c r="D45" s="102"/>
      <c r="E45" s="102"/>
      <c r="F45" s="102"/>
      <c r="G45" s="102"/>
      <c r="H45" s="102"/>
      <c r="I45" s="102"/>
      <c r="J45" s="102"/>
    </row>
    <row r="46" spans="1:10">
      <c r="A46" s="102"/>
      <c r="B46" s="102"/>
      <c r="C46" s="102"/>
      <c r="D46" s="102"/>
      <c r="E46" s="102"/>
      <c r="F46" s="102"/>
      <c r="G46" s="102"/>
      <c r="H46" s="102"/>
      <c r="I46" s="102"/>
      <c r="J46" s="102"/>
    </row>
    <row r="47" spans="1:10">
      <c r="A47" s="102"/>
      <c r="B47" s="102"/>
      <c r="C47" s="102"/>
      <c r="D47" s="102"/>
      <c r="E47" s="102"/>
      <c r="F47" s="102"/>
      <c r="G47" s="102"/>
      <c r="H47" s="102"/>
      <c r="I47" s="102"/>
      <c r="J47" s="102"/>
    </row>
    <row r="48" spans="1:10">
      <c r="A48" s="102"/>
      <c r="B48" s="102"/>
      <c r="C48" s="102"/>
      <c r="D48" s="102"/>
      <c r="E48" s="102"/>
      <c r="F48" s="102"/>
      <c r="G48" s="102"/>
      <c r="H48" s="102"/>
      <c r="I48" s="102"/>
      <c r="J48" s="102"/>
    </row>
    <row r="49" spans="1:10">
      <c r="A49" s="102"/>
      <c r="B49" s="102"/>
      <c r="C49" s="102"/>
      <c r="D49" s="102"/>
      <c r="E49" s="102"/>
      <c r="F49" s="102"/>
      <c r="G49" s="102"/>
      <c r="H49" s="102"/>
      <c r="I49" s="102"/>
      <c r="J49" s="102"/>
    </row>
    <row r="50" spans="1:10">
      <c r="A50" s="102"/>
      <c r="B50" s="102"/>
      <c r="C50" s="102"/>
      <c r="D50" s="102"/>
      <c r="E50" s="102"/>
      <c r="F50" s="102"/>
      <c r="G50" s="102"/>
      <c r="H50" s="102"/>
      <c r="I50" s="102"/>
      <c r="J50" s="102"/>
    </row>
    <row r="51" spans="1:10">
      <c r="A51" s="102"/>
      <c r="B51" s="102"/>
      <c r="C51" s="102"/>
      <c r="D51" s="102"/>
      <c r="E51" s="102"/>
      <c r="F51" s="102"/>
      <c r="G51" s="102"/>
      <c r="H51" s="102"/>
      <c r="I51" s="102"/>
      <c r="J51" s="102"/>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40"/>
  <sheetViews>
    <sheetView showGridLines="0" view="pageBreakPreview" topLeftCell="A16" zoomScale="90" zoomScaleNormal="100" zoomScaleSheetLayoutView="90" workbookViewId="0">
      <selection activeCell="F40" sqref="F40"/>
    </sheetView>
  </sheetViews>
  <sheetFormatPr defaultColWidth="9.140625" defaultRowHeight="12.75"/>
  <cols>
    <col min="1" max="1" width="17.140625" style="66" customWidth="1"/>
    <col min="2" max="2" width="10.85546875" style="66" customWidth="1"/>
    <col min="3" max="3" width="25.140625" style="66" customWidth="1"/>
    <col min="4" max="4" width="13.42578125" style="66" customWidth="1"/>
    <col min="5" max="5" width="12.28515625" style="66" customWidth="1"/>
    <col min="6" max="6" width="40" style="66" customWidth="1"/>
    <col min="7" max="16384" width="9.140625" style="66"/>
  </cols>
  <sheetData>
    <row r="2" spans="1:6" ht="21">
      <c r="A2" s="13" t="s">
        <v>82</v>
      </c>
    </row>
    <row r="3" spans="1:6" ht="15">
      <c r="A3" s="1" t="s">
        <v>87</v>
      </c>
    </row>
    <row r="4" spans="1:6" ht="15">
      <c r="A4" s="1" t="s">
        <v>84</v>
      </c>
    </row>
    <row r="5" spans="1:6" ht="15">
      <c r="A5" s="1" t="s">
        <v>85</v>
      </c>
    </row>
    <row r="6" spans="1:6" ht="15">
      <c r="A6" s="1" t="s">
        <v>83</v>
      </c>
    </row>
    <row r="7" spans="1:6" ht="15">
      <c r="A7" s="1" t="s">
        <v>86</v>
      </c>
    </row>
    <row r="9" spans="1:6" ht="21">
      <c r="A9" s="13" t="s">
        <v>122</v>
      </c>
    </row>
    <row r="11" spans="1:6" ht="30.75" customHeight="1">
      <c r="A11" s="67" t="s">
        <v>45</v>
      </c>
      <c r="B11" s="67" t="s">
        <v>32</v>
      </c>
      <c r="C11" s="67" t="s">
        <v>33</v>
      </c>
      <c r="D11" s="67" t="s">
        <v>34</v>
      </c>
      <c r="E11" s="67" t="s">
        <v>35</v>
      </c>
      <c r="F11" s="67" t="s">
        <v>36</v>
      </c>
    </row>
    <row r="12" spans="1:6" ht="15">
      <c r="A12" s="70"/>
      <c r="B12" s="69">
        <v>1</v>
      </c>
      <c r="C12" s="68" t="s">
        <v>39</v>
      </c>
      <c r="D12" s="70" t="s">
        <v>37</v>
      </c>
      <c r="E12" s="70" t="s">
        <v>97</v>
      </c>
      <c r="F12" s="68" t="s">
        <v>43</v>
      </c>
    </row>
    <row r="13" spans="1:6" ht="15">
      <c r="A13" s="70"/>
      <c r="B13" s="69">
        <v>2</v>
      </c>
      <c r="C13" s="68" t="s">
        <v>40</v>
      </c>
      <c r="D13" s="70" t="s">
        <v>38</v>
      </c>
      <c r="E13" s="70" t="s">
        <v>98</v>
      </c>
      <c r="F13" s="68" t="s">
        <v>46</v>
      </c>
    </row>
    <row r="14" spans="1:6" ht="30">
      <c r="A14" s="70"/>
      <c r="B14" s="69">
        <v>3</v>
      </c>
      <c r="C14" s="68" t="s">
        <v>41</v>
      </c>
      <c r="D14" s="70" t="s">
        <v>42</v>
      </c>
      <c r="E14" s="70" t="s">
        <v>99</v>
      </c>
      <c r="F14" s="68" t="s">
        <v>44</v>
      </c>
    </row>
    <row r="18" spans="1:6" ht="21">
      <c r="A18" s="13" t="s">
        <v>81</v>
      </c>
    </row>
    <row r="20" spans="1:6" ht="31.5">
      <c r="A20" s="67" t="s">
        <v>45</v>
      </c>
      <c r="B20" s="67" t="s">
        <v>32</v>
      </c>
      <c r="C20" s="67" t="s">
        <v>33</v>
      </c>
      <c r="D20" s="67" t="s">
        <v>34</v>
      </c>
      <c r="E20" s="67" t="s">
        <v>35</v>
      </c>
      <c r="F20" s="67" t="s">
        <v>36</v>
      </c>
    </row>
    <row r="21" spans="1:6" ht="27" customHeight="1">
      <c r="A21" s="498" t="s">
        <v>123</v>
      </c>
      <c r="B21" s="499"/>
      <c r="C21" s="499"/>
      <c r="D21" s="499"/>
      <c r="E21" s="499"/>
      <c r="F21" s="500"/>
    </row>
    <row r="22" spans="1:6" ht="30">
      <c r="A22" s="70"/>
      <c r="B22" s="69">
        <v>1</v>
      </c>
      <c r="C22" s="68" t="s">
        <v>48</v>
      </c>
      <c r="D22" s="70" t="s">
        <v>37</v>
      </c>
      <c r="E22" s="70" t="s">
        <v>49</v>
      </c>
      <c r="F22" s="68" t="s">
        <v>50</v>
      </c>
    </row>
    <row r="23" spans="1:6" ht="30">
      <c r="A23" s="70"/>
      <c r="B23" s="69">
        <f>B22+1</f>
        <v>2</v>
      </c>
      <c r="C23" s="68" t="s">
        <v>51</v>
      </c>
      <c r="D23" s="70" t="s">
        <v>37</v>
      </c>
      <c r="E23" s="70" t="s">
        <v>52</v>
      </c>
      <c r="F23" s="68" t="s">
        <v>53</v>
      </c>
    </row>
    <row r="24" spans="1:6" ht="30">
      <c r="A24" s="70"/>
      <c r="B24" s="69">
        <f>B23+1</f>
        <v>3</v>
      </c>
      <c r="C24" s="68" t="s">
        <v>115</v>
      </c>
      <c r="D24" s="70" t="s">
        <v>55</v>
      </c>
      <c r="E24" s="70" t="s">
        <v>56</v>
      </c>
      <c r="F24" s="68" t="s">
        <v>117</v>
      </c>
    </row>
    <row r="25" spans="1:6" ht="60">
      <c r="A25" s="70"/>
      <c r="B25" s="69">
        <f>B24+1</f>
        <v>4</v>
      </c>
      <c r="C25" s="68" t="s">
        <v>54</v>
      </c>
      <c r="D25" s="70" t="s">
        <v>55</v>
      </c>
      <c r="E25" s="70" t="s">
        <v>57</v>
      </c>
      <c r="F25" s="68" t="s">
        <v>58</v>
      </c>
    </row>
    <row r="26" spans="1:6" ht="45">
      <c r="A26" s="70"/>
      <c r="B26" s="69">
        <f>B25+1</f>
        <v>5</v>
      </c>
      <c r="C26" s="68" t="s">
        <v>76</v>
      </c>
      <c r="D26" s="70" t="s">
        <v>55</v>
      </c>
      <c r="E26" s="70" t="s">
        <v>116</v>
      </c>
      <c r="F26" s="68" t="s">
        <v>59</v>
      </c>
    </row>
    <row r="27" spans="1:6" ht="15">
      <c r="A27" s="93"/>
      <c r="B27" s="94"/>
      <c r="C27" s="95"/>
      <c r="D27" s="93"/>
      <c r="E27" s="93"/>
      <c r="F27" s="95"/>
    </row>
    <row r="28" spans="1:6" ht="31.5">
      <c r="A28" s="67" t="s">
        <v>45</v>
      </c>
      <c r="B28" s="67" t="s">
        <v>32</v>
      </c>
      <c r="C28" s="67" t="s">
        <v>33</v>
      </c>
      <c r="D28" s="67" t="s">
        <v>34</v>
      </c>
      <c r="E28" s="67" t="s">
        <v>35</v>
      </c>
      <c r="F28" s="67" t="s">
        <v>36</v>
      </c>
    </row>
    <row r="29" spans="1:6" ht="48.75" customHeight="1">
      <c r="A29" s="498" t="s">
        <v>124</v>
      </c>
      <c r="B29" s="499"/>
      <c r="C29" s="499"/>
      <c r="D29" s="499"/>
      <c r="E29" s="499"/>
      <c r="F29" s="500"/>
    </row>
    <row r="30" spans="1:6" ht="30">
      <c r="A30" s="70"/>
      <c r="B30" s="69">
        <f>B26+1</f>
        <v>6</v>
      </c>
      <c r="C30" s="68" t="s">
        <v>60</v>
      </c>
      <c r="D30" s="70" t="s">
        <v>61</v>
      </c>
      <c r="E30" s="70" t="s">
        <v>63</v>
      </c>
      <c r="F30" s="68" t="s">
        <v>80</v>
      </c>
    </row>
    <row r="31" spans="1:6" ht="30">
      <c r="A31" s="70"/>
      <c r="B31" s="69">
        <f t="shared" ref="B31:B39" si="0">B30+1</f>
        <v>7</v>
      </c>
      <c r="C31" s="68" t="s">
        <v>62</v>
      </c>
      <c r="D31" s="70" t="s">
        <v>65</v>
      </c>
      <c r="E31" s="70" t="s">
        <v>91</v>
      </c>
      <c r="F31" s="68" t="s">
        <v>79</v>
      </c>
    </row>
    <row r="32" spans="1:6" ht="60">
      <c r="A32" s="70"/>
      <c r="B32" s="69">
        <f t="shared" si="0"/>
        <v>8</v>
      </c>
      <c r="C32" s="68" t="s">
        <v>66</v>
      </c>
      <c r="D32" s="70" t="s">
        <v>65</v>
      </c>
      <c r="E32" s="70" t="s">
        <v>92</v>
      </c>
      <c r="F32" s="68" t="s">
        <v>78</v>
      </c>
    </row>
    <row r="33" spans="1:6" ht="45">
      <c r="A33" s="70"/>
      <c r="B33" s="69">
        <f t="shared" si="0"/>
        <v>9</v>
      </c>
      <c r="C33" s="68" t="s">
        <v>64</v>
      </c>
      <c r="D33" s="70" t="s">
        <v>61</v>
      </c>
      <c r="E33" s="70" t="s">
        <v>101</v>
      </c>
      <c r="F33" s="68" t="s">
        <v>88</v>
      </c>
    </row>
    <row r="34" spans="1:6" ht="30">
      <c r="A34" s="70"/>
      <c r="B34" s="69">
        <f t="shared" si="0"/>
        <v>10</v>
      </c>
      <c r="C34" s="68" t="s">
        <v>23</v>
      </c>
      <c r="D34" s="70" t="s">
        <v>61</v>
      </c>
      <c r="E34" s="70" t="s">
        <v>67</v>
      </c>
      <c r="F34" s="68" t="s">
        <v>77</v>
      </c>
    </row>
    <row r="35" spans="1:6" ht="30">
      <c r="A35" s="70"/>
      <c r="B35" s="69">
        <f t="shared" si="0"/>
        <v>11</v>
      </c>
      <c r="C35" s="68" t="s">
        <v>89</v>
      </c>
      <c r="D35" s="70" t="s">
        <v>61</v>
      </c>
      <c r="E35" s="70" t="s">
        <v>93</v>
      </c>
      <c r="F35" s="68" t="s">
        <v>96</v>
      </c>
    </row>
    <row r="36" spans="1:6" ht="30">
      <c r="A36" s="70"/>
      <c r="B36" s="69">
        <f t="shared" si="0"/>
        <v>12</v>
      </c>
      <c r="C36" s="68" t="s">
        <v>68</v>
      </c>
      <c r="D36" s="70" t="s">
        <v>61</v>
      </c>
      <c r="E36" s="70" t="s">
        <v>102</v>
      </c>
      <c r="F36" s="68" t="s">
        <v>72</v>
      </c>
    </row>
    <row r="37" spans="1:6" ht="30">
      <c r="A37" s="70"/>
      <c r="B37" s="69">
        <f t="shared" si="0"/>
        <v>13</v>
      </c>
      <c r="C37" s="68" t="s">
        <v>69</v>
      </c>
      <c r="D37" s="70" t="s">
        <v>61</v>
      </c>
      <c r="E37" s="70" t="s">
        <v>103</v>
      </c>
      <c r="F37" s="68" t="s">
        <v>73</v>
      </c>
    </row>
    <row r="38" spans="1:6" ht="30">
      <c r="A38" s="70"/>
      <c r="B38" s="69">
        <f t="shared" si="0"/>
        <v>14</v>
      </c>
      <c r="C38" s="68" t="s">
        <v>70</v>
      </c>
      <c r="D38" s="70" t="s">
        <v>61</v>
      </c>
      <c r="E38" s="70" t="s">
        <v>94</v>
      </c>
      <c r="F38" s="68" t="s">
        <v>74</v>
      </c>
    </row>
    <row r="39" spans="1:6" ht="30">
      <c r="A39" s="70"/>
      <c r="B39" s="69">
        <f t="shared" si="0"/>
        <v>15</v>
      </c>
      <c r="C39" s="68" t="s">
        <v>71</v>
      </c>
      <c r="D39" s="70" t="s">
        <v>61</v>
      </c>
      <c r="E39" s="70" t="s">
        <v>104</v>
      </c>
      <c r="F39" s="68" t="s">
        <v>75</v>
      </c>
    </row>
    <row r="40" spans="1:6" ht="45">
      <c r="A40" s="70"/>
      <c r="B40" s="69">
        <f>B39+1</f>
        <v>16</v>
      </c>
      <c r="C40" s="68" t="s">
        <v>12</v>
      </c>
      <c r="D40" s="70" t="s">
        <v>61</v>
      </c>
      <c r="E40" s="70" t="s">
        <v>105</v>
      </c>
      <c r="F40" s="68" t="s">
        <v>95</v>
      </c>
    </row>
  </sheetData>
  <mergeCells count="2">
    <mergeCell ref="A29:F29"/>
    <mergeCell ref="A21:F21"/>
  </mergeCells>
  <phoneticPr fontId="5" type="noConversion"/>
  <conditionalFormatting sqref="A12:A14 A21:A27 A29:A40">
    <cfRule type="cellIs" dxfId="3" priority="1" stopIfTrue="1" operator="equal">
      <formula>"X"</formula>
    </cfRule>
    <cfRule type="cellIs" dxfId="2" priority="2" stopIfTrue="1" operator="equal">
      <formula>"x"</formula>
    </cfRule>
  </conditionalFormatting>
  <printOptions horizontalCentered="1"/>
  <pageMargins left="0.75" right="0.75" top="1" bottom="1" header="0.5" footer="0.5"/>
  <pageSetup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O74"/>
  <sheetViews>
    <sheetView showGridLines="0" view="pageBreakPreview" zoomScale="90" zoomScaleNormal="100" zoomScaleSheetLayoutView="90" workbookViewId="0">
      <selection activeCell="K65" sqref="K65"/>
    </sheetView>
  </sheetViews>
  <sheetFormatPr defaultColWidth="12.140625" defaultRowHeight="15"/>
  <cols>
    <col min="1" max="1" width="44.140625" style="1" customWidth="1"/>
    <col min="2" max="12" width="15.7109375" style="1" customWidth="1"/>
    <col min="13" max="14" width="15.7109375" style="216" customWidth="1"/>
    <col min="15" max="15" width="15.7109375" style="1" customWidth="1"/>
    <col min="16" max="16384" width="12.140625" style="1"/>
  </cols>
  <sheetData>
    <row r="1" spans="1:15">
      <c r="B1" s="12"/>
      <c r="C1" s="12"/>
    </row>
    <row r="2" spans="1:15" ht="21">
      <c r="A2" s="13" t="s">
        <v>3</v>
      </c>
      <c r="B2" s="170" t="s">
        <v>201</v>
      </c>
      <c r="C2" s="171"/>
      <c r="D2" s="171"/>
      <c r="E2" s="171"/>
      <c r="F2" s="172"/>
    </row>
    <row r="3" spans="1:15">
      <c r="B3" s="12"/>
    </row>
    <row r="4" spans="1:15" ht="18.75">
      <c r="A4" s="9" t="s">
        <v>5</v>
      </c>
      <c r="B4" s="501">
        <f>'Title Page'!A39:H39</f>
        <v>45078</v>
      </c>
      <c r="C4" s="502"/>
    </row>
    <row r="5" spans="1:15">
      <c r="B5" s="12"/>
      <c r="C5" s="12"/>
    </row>
    <row r="6" spans="1:15" ht="18.75">
      <c r="A6" s="9" t="s">
        <v>18</v>
      </c>
      <c r="B6" s="2">
        <v>2010</v>
      </c>
      <c r="C6" s="2">
        <f>'Facility Detail'!$G$3260</f>
        <v>2011</v>
      </c>
      <c r="D6" s="2">
        <f>C6+1</f>
        <v>2012</v>
      </c>
      <c r="E6" s="2">
        <f>D6+1</f>
        <v>2013</v>
      </c>
      <c r="F6" s="2">
        <f>E6+1</f>
        <v>2014</v>
      </c>
      <c r="G6" s="2">
        <f>F6+1</f>
        <v>2015</v>
      </c>
      <c r="H6" s="2">
        <f>G6+1</f>
        <v>2016</v>
      </c>
      <c r="I6" s="2">
        <f t="shared" ref="I6:K6" si="0">H6+1</f>
        <v>2017</v>
      </c>
      <c r="J6" s="2">
        <f t="shared" si="0"/>
        <v>2018</v>
      </c>
      <c r="K6" s="2">
        <f t="shared" si="0"/>
        <v>2019</v>
      </c>
      <c r="L6" s="2">
        <f t="shared" ref="L6" si="1">K6+1</f>
        <v>2020</v>
      </c>
      <c r="M6" s="2">
        <f t="shared" ref="M6:O6" si="2">L6+1</f>
        <v>2021</v>
      </c>
      <c r="N6" s="2">
        <f t="shared" si="2"/>
        <v>2022</v>
      </c>
      <c r="O6" s="2">
        <f t="shared" si="2"/>
        <v>2023</v>
      </c>
    </row>
    <row r="7" spans="1:15">
      <c r="A7" s="64" t="s">
        <v>11</v>
      </c>
      <c r="B7" s="159">
        <v>3984631</v>
      </c>
      <c r="C7" s="159">
        <v>4005862.6749999998</v>
      </c>
      <c r="D7" s="159">
        <v>4041897.855</v>
      </c>
      <c r="E7" s="159">
        <v>4092687.9720000001</v>
      </c>
      <c r="F7" s="160">
        <v>4117646.1230000001</v>
      </c>
      <c r="G7" s="160">
        <v>4108270</v>
      </c>
      <c r="H7" s="160">
        <v>3981653.9279999998</v>
      </c>
      <c r="I7" s="165">
        <v>4221297.9519999996</v>
      </c>
      <c r="J7" s="165">
        <v>3949115.5449999999</v>
      </c>
      <c r="K7" s="165">
        <v>4144589.8369999998</v>
      </c>
      <c r="L7" s="165">
        <v>4065151.3369999998</v>
      </c>
      <c r="M7" s="165">
        <v>4198961</v>
      </c>
      <c r="N7" s="165">
        <v>4181079.2790000001</v>
      </c>
      <c r="O7" s="165">
        <v>4132188</v>
      </c>
    </row>
    <row r="8" spans="1:15">
      <c r="A8" s="64" t="s">
        <v>9</v>
      </c>
      <c r="B8" s="50"/>
      <c r="C8" s="78">
        <v>0</v>
      </c>
      <c r="D8" s="78">
        <v>0.03</v>
      </c>
      <c r="E8" s="78">
        <v>0.03</v>
      </c>
      <c r="F8" s="78">
        <v>0.03</v>
      </c>
      <c r="G8" s="78">
        <v>0.03</v>
      </c>
      <c r="H8" s="78">
        <v>0.09</v>
      </c>
      <c r="I8" s="166">
        <v>0.09</v>
      </c>
      <c r="J8" s="166">
        <v>0.09</v>
      </c>
      <c r="K8" s="166">
        <v>0.09</v>
      </c>
      <c r="L8" s="166">
        <v>0.15</v>
      </c>
      <c r="M8" s="166">
        <v>0.15</v>
      </c>
      <c r="N8" s="166">
        <v>0.15</v>
      </c>
      <c r="O8" s="166">
        <v>0.15</v>
      </c>
    </row>
    <row r="9" spans="1:15">
      <c r="A9" s="61" t="s">
        <v>7</v>
      </c>
      <c r="B9" s="147"/>
      <c r="C9" s="148">
        <f t="shared" ref="C9:D9" si="3" xml:space="preserve"> IF( SUM(A7:B7) = 0, 0, AVERAGE(A7:B7) * C8 )</f>
        <v>0</v>
      </c>
      <c r="D9" s="148">
        <f t="shared" si="3"/>
        <v>119857.40512499999</v>
      </c>
      <c r="E9" s="148">
        <f t="shared" ref="E9:K9" si="4" xml:space="preserve"> IF( SUM(C7:D7) = 0, 0, AVERAGE(C7:D7) * E8 )</f>
        <v>120716.40794999998</v>
      </c>
      <c r="F9" s="148">
        <f t="shared" si="4"/>
        <v>122018.787405</v>
      </c>
      <c r="G9" s="148">
        <f t="shared" si="4"/>
        <v>123155.011425</v>
      </c>
      <c r="H9" s="148">
        <f t="shared" si="4"/>
        <v>370166.22553499998</v>
      </c>
      <c r="I9" s="148">
        <f t="shared" si="4"/>
        <v>364046.57675999997</v>
      </c>
      <c r="J9" s="147">
        <f t="shared" si="4"/>
        <v>369132.83459999994</v>
      </c>
      <c r="K9" s="147">
        <f t="shared" si="4"/>
        <v>367668.60736499995</v>
      </c>
      <c r="L9" s="147">
        <f xml:space="preserve"> IF( SUM(J7:K7) = 0, 0, AVERAGE(J7:K7) * L8 )</f>
        <v>607027.90364999988</v>
      </c>
      <c r="M9" s="147">
        <f xml:space="preserve"> IF( SUM(K7:L7) = 0, 0, AVERAGE(K7:L7) * M8 )</f>
        <v>615730.5880499999</v>
      </c>
      <c r="N9" s="147">
        <f xml:space="preserve"> IF( SUM(L7:M7) = 0, 0, AVERAGE(L7:M7) * N8 )</f>
        <v>619808.42527499993</v>
      </c>
      <c r="O9" s="147">
        <f xml:space="preserve"> IF( SUM(M7:N7) = 0, 0, AVERAGE(M7:N7) * O8 )</f>
        <v>628503.02092499996</v>
      </c>
    </row>
    <row r="10" spans="1:15">
      <c r="F10" s="110"/>
      <c r="G10" s="110"/>
      <c r="H10" s="110"/>
      <c r="I10" s="110"/>
      <c r="J10" s="110"/>
      <c r="K10" s="110"/>
      <c r="L10" s="110"/>
      <c r="M10" s="281"/>
      <c r="N10" s="281"/>
      <c r="O10" s="110"/>
    </row>
    <row r="11" spans="1:15" ht="18.75">
      <c r="A11" s="9" t="s">
        <v>19</v>
      </c>
      <c r="B11" s="2">
        <v>2010</v>
      </c>
      <c r="C11" s="2">
        <f>C6</f>
        <v>2011</v>
      </c>
      <c r="D11" s="2">
        <f t="shared" ref="D11:M11" si="5">D6</f>
        <v>2012</v>
      </c>
      <c r="E11" s="2">
        <f t="shared" si="5"/>
        <v>2013</v>
      </c>
      <c r="F11" s="2">
        <f t="shared" si="5"/>
        <v>2014</v>
      </c>
      <c r="G11" s="2">
        <f t="shared" si="5"/>
        <v>2015</v>
      </c>
      <c r="H11" s="2">
        <f t="shared" si="5"/>
        <v>2016</v>
      </c>
      <c r="I11" s="2">
        <f t="shared" si="5"/>
        <v>2017</v>
      </c>
      <c r="J11" s="2">
        <f t="shared" si="5"/>
        <v>2018</v>
      </c>
      <c r="K11" s="2">
        <f t="shared" si="5"/>
        <v>2019</v>
      </c>
      <c r="L11" s="2">
        <f t="shared" ref="L11" si="6">L6</f>
        <v>2020</v>
      </c>
      <c r="M11" s="2">
        <f t="shared" si="5"/>
        <v>2021</v>
      </c>
      <c r="N11" s="2">
        <f t="shared" ref="N11:O11" si="7">N6</f>
        <v>2022</v>
      </c>
      <c r="O11" s="2">
        <f t="shared" si="7"/>
        <v>2023</v>
      </c>
    </row>
    <row r="12" spans="1:15">
      <c r="A12" s="64" t="s">
        <v>31</v>
      </c>
      <c r="B12" s="50"/>
      <c r="C12" s="11">
        <f>'Generation Rollup'!S14</f>
        <v>104826</v>
      </c>
      <c r="D12" s="11">
        <f>'Generation Rollup'!T14</f>
        <v>107711</v>
      </c>
      <c r="E12" s="11">
        <f>'Generation Rollup'!U14</f>
        <v>107158</v>
      </c>
      <c r="F12" s="11">
        <f>'Generation Rollup'!V14</f>
        <v>114902</v>
      </c>
      <c r="G12" s="11">
        <f>'Generation Rollup'!W14</f>
        <v>271108</v>
      </c>
      <c r="H12" s="11">
        <f>'Generation Rollup'!X14</f>
        <v>373982.40669669915</v>
      </c>
      <c r="I12" s="11">
        <f>'Generation Rollup'!Y14</f>
        <v>285492</v>
      </c>
      <c r="J12" s="11">
        <f>'Generation Rollup'!Z14</f>
        <v>293213</v>
      </c>
      <c r="K12" s="11">
        <f>'Generation Rollup'!AA14</f>
        <v>198796.8148606311</v>
      </c>
      <c r="L12" s="11">
        <f>'Generation Rollup'!AB14</f>
        <v>560182.05599708681</v>
      </c>
      <c r="M12" s="11">
        <f>'Generation Rollup'!AC14</f>
        <v>777200.43684753845</v>
      </c>
      <c r="N12" s="11">
        <f>'Generation Rollup'!AD14</f>
        <v>795718</v>
      </c>
      <c r="O12" s="11">
        <f>'Generation Rollup'!AE14</f>
        <v>803358.91924546752</v>
      </c>
    </row>
    <row r="13" spans="1:15">
      <c r="A13" s="64" t="s">
        <v>121</v>
      </c>
      <c r="B13" s="58"/>
      <c r="C13" s="59">
        <f>SUM('Facility Detail'!I85,'Facility Detail'!I138,'Facility Detail'!I235,'Facility Detail'!I288,'Facility Detail'!I341,'Facility Detail'!I394,'Facility Detail'!I447,'Facility Detail'!I500,'Facility Detail'!I552,'Facility Detail'!I604,'Facility Detail'!I657,'Facility Detail'!I699,'Facility Detail'!I741,'Facility Detail'!I795,'Facility Detail'!I848,'Facility Detail'!I901,'Facility Detail'!I942,'Facility Detail'!I995,'Facility Detail'!I1036,'Facility Detail'!I1089,'Facility Detail'!I1142,'Facility Detail'!I1195,'Facility Detail'!I1248,'Facility Detail'!I1294,'Facility Detail'!I1341,'Facility Detail'!I1382,'Facility Detail'!I1435,'Facility Detail'!I1480,'Facility Detail'!I1534,'Facility Detail'!I1575,'Facility Detail'!I1628,'Facility Detail'!I1682,'Facility Detail'!I1736,'Facility Detail'!I1788,'Facility Detail'!I1830,'Facility Detail'!I1884,'Facility Detail'!I1937,'Facility Detail'!I1990,'Facility Detail'!I2032,'Facility Detail'!I2073,'Facility Detail'!I2125,'Facility Detail'!I2178,'Facility Detail'!I2219,'Facility Detail'!I2260,'Facility Detail'!I2312,'Facility Detail'!I2364,'Facility Detail'!I2417,'Facility Detail'!I2470,'Facility Detail'!I2523,'Facility Detail'!I2576,'Facility Detail'!I2628,'Facility Detail'!I2680,'Facility Detail'!I2733,'Facility Detail'!I2841,'Facility Detail'!I2880,'Facility Detail'!I2921,'Facility Detail'!I2974,'Facility Detail'!I3027,'Facility Detail'!I3079,'Facility Detail'!I3132,'Facility Detail'!I3170,'Facility Detail'!I3207)</f>
        <v>0</v>
      </c>
      <c r="D13" s="59">
        <f>SUM('Facility Detail'!J85,'Facility Detail'!J138,'Facility Detail'!J235,'Facility Detail'!J288,'Facility Detail'!J341,'Facility Detail'!J394,'Facility Detail'!J447,'Facility Detail'!J500,'Facility Detail'!J552,'Facility Detail'!J604,'Facility Detail'!J657,'Facility Detail'!J699,'Facility Detail'!J741,'Facility Detail'!J795,'Facility Detail'!J848,'Facility Detail'!J901,'Facility Detail'!J942,'Facility Detail'!J995,'Facility Detail'!J1036,'Facility Detail'!J1089,'Facility Detail'!J1142,'Facility Detail'!J1195,'Facility Detail'!J1248,'Facility Detail'!J1294,'Facility Detail'!J1341,'Facility Detail'!J1382,'Facility Detail'!J1435,'Facility Detail'!J1480,'Facility Detail'!J1534,'Facility Detail'!J1575,'Facility Detail'!J1628,'Facility Detail'!J1682,'Facility Detail'!J1736,'Facility Detail'!J1788,'Facility Detail'!J1830,'Facility Detail'!J1884,'Facility Detail'!J1937,'Facility Detail'!J1990,'Facility Detail'!J2032,'Facility Detail'!J2073,'Facility Detail'!J2125,'Facility Detail'!J2178,'Facility Detail'!J2219,'Facility Detail'!J2260,'Facility Detail'!J2312,'Facility Detail'!J2364,'Facility Detail'!J2417,'Facility Detail'!J2470,'Facility Detail'!J2523,'Facility Detail'!J2576,'Facility Detail'!J2628,'Facility Detail'!J2680,'Facility Detail'!J2733,'Facility Detail'!J2841,'Facility Detail'!J2880,'Facility Detail'!J2921,'Facility Detail'!J2974,'Facility Detail'!J3027,'Facility Detail'!J3079,'Facility Detail'!J3132,'Facility Detail'!J3170,'Facility Detail'!J3207)</f>
        <v>0</v>
      </c>
      <c r="E13" s="59">
        <f>SUM('Facility Detail'!K85,'Facility Detail'!K138,'Facility Detail'!K235,'Facility Detail'!K288,'Facility Detail'!K341,'Facility Detail'!K394,'Facility Detail'!K447,'Facility Detail'!K500,'Facility Detail'!K552,'Facility Detail'!K604,'Facility Detail'!K657,'Facility Detail'!K699,'Facility Detail'!K741,'Facility Detail'!K795,'Facility Detail'!K848,'Facility Detail'!K901,'Facility Detail'!K942,'Facility Detail'!K995,'Facility Detail'!K1036,'Facility Detail'!K1089,'Facility Detail'!K1142,'Facility Detail'!K1195,'Facility Detail'!K1248,'Facility Detail'!K1294,'Facility Detail'!K1341,'Facility Detail'!K1382,'Facility Detail'!K1435,'Facility Detail'!K1480,'Facility Detail'!K1534,'Facility Detail'!K1575,'Facility Detail'!K1628,'Facility Detail'!K1682,'Facility Detail'!K1736,'Facility Detail'!K1788,'Facility Detail'!K1830,'Facility Detail'!K1884,'Facility Detail'!K1937,'Facility Detail'!K1990,'Facility Detail'!K2032,'Facility Detail'!K2073,'Facility Detail'!K2125,'Facility Detail'!K2178,'Facility Detail'!K2219,'Facility Detail'!K2260,'Facility Detail'!K2312,'Facility Detail'!K2364,'Facility Detail'!K2417,'Facility Detail'!K2470,'Facility Detail'!K2523,'Facility Detail'!K2576,'Facility Detail'!K2628,'Facility Detail'!K2680,'Facility Detail'!K2733,'Facility Detail'!K2841,'Facility Detail'!K2880,'Facility Detail'!K2921,'Facility Detail'!K2974,'Facility Detail'!K3027,'Facility Detail'!K3079,'Facility Detail'!K3132,'Facility Detail'!K3170,'Facility Detail'!K3207)</f>
        <v>0</v>
      </c>
      <c r="F13" s="59">
        <f>SUM('Facility Detail'!L85,'Facility Detail'!L138,'Facility Detail'!L235,'Facility Detail'!L288,'Facility Detail'!L341,'Facility Detail'!L394,'Facility Detail'!L447,'Facility Detail'!L500,'Facility Detail'!L552,'Facility Detail'!L604,'Facility Detail'!L657,'Facility Detail'!L699,'Facility Detail'!L741,'Facility Detail'!L795,'Facility Detail'!L848,'Facility Detail'!L901,'Facility Detail'!L942,'Facility Detail'!L995,'Facility Detail'!L1036,'Facility Detail'!L1089,'Facility Detail'!L1142,'Facility Detail'!L1195,'Facility Detail'!L1248,'Facility Detail'!L1294,'Facility Detail'!L1341,'Facility Detail'!L1382,'Facility Detail'!L1435,'Facility Detail'!L1480,'Facility Detail'!L1534,'Facility Detail'!L1575,'Facility Detail'!L1628,'Facility Detail'!L1682,'Facility Detail'!L1736,'Facility Detail'!L1788,'Facility Detail'!L1830,'Facility Detail'!L1884,'Facility Detail'!L1937,'Facility Detail'!L1990,'Facility Detail'!L2032,'Facility Detail'!L2073,'Facility Detail'!L2125,'Facility Detail'!L2178,'Facility Detail'!L2219,'Facility Detail'!L2260,'Facility Detail'!L2312,'Facility Detail'!L2364,'Facility Detail'!L2417,'Facility Detail'!L2470,'Facility Detail'!L2523,'Facility Detail'!L2576,'Facility Detail'!L2628,'Facility Detail'!L2680,'Facility Detail'!L2733,'Facility Detail'!L2841,'Facility Detail'!L2880,'Facility Detail'!L2921,'Facility Detail'!L2974,'Facility Detail'!L3027,'Facility Detail'!L3079,'Facility Detail'!L3132,'Facility Detail'!L3170,'Facility Detail'!L3207)</f>
        <v>0</v>
      </c>
      <c r="G13" s="59">
        <f>SUM('Facility Detail'!M85,'Facility Detail'!M138,'Facility Detail'!M235,'Facility Detail'!M288,'Facility Detail'!M341,'Facility Detail'!M394,'Facility Detail'!M447,'Facility Detail'!M500,'Facility Detail'!M552,'Facility Detail'!M604,'Facility Detail'!M657,'Facility Detail'!M699,'Facility Detail'!M741,'Facility Detail'!M795,'Facility Detail'!M848,'Facility Detail'!M901,'Facility Detail'!M942,'Facility Detail'!M995,'Facility Detail'!M1036,'Facility Detail'!M1089,'Facility Detail'!M1142,'Facility Detail'!M1195,'Facility Detail'!M1248,'Facility Detail'!M1294,'Facility Detail'!M1341,'Facility Detail'!M1382,'Facility Detail'!M1435,'Facility Detail'!M1480,'Facility Detail'!M1534,'Facility Detail'!M1575,'Facility Detail'!M1628,'Facility Detail'!M1682,'Facility Detail'!M1736,'Facility Detail'!M1788,'Facility Detail'!M1830,'Facility Detail'!M1884,'Facility Detail'!M1937,'Facility Detail'!M1990,'Facility Detail'!M2032,'Facility Detail'!M2073,'Facility Detail'!M2125,'Facility Detail'!M2178,'Facility Detail'!M2219,'Facility Detail'!M2260,'Facility Detail'!M2312,'Facility Detail'!M2364,'Facility Detail'!M2417,'Facility Detail'!M2470,'Facility Detail'!M2523,'Facility Detail'!M2576,'Facility Detail'!M2628,'Facility Detail'!M2680,'Facility Detail'!M2733,'Facility Detail'!M2841,'Facility Detail'!M2880,'Facility Detail'!M2921,'Facility Detail'!M2974,'Facility Detail'!M3027,'Facility Detail'!M3079,'Facility Detail'!M3132,'Facility Detail'!M3170,'Facility Detail'!M3207)</f>
        <v>0</v>
      </c>
      <c r="H13" s="59">
        <f>SUM('Facility Detail'!N85,'Facility Detail'!N138,'Facility Detail'!N235,'Facility Detail'!N288,'Facility Detail'!N341,'Facility Detail'!N394,'Facility Detail'!N447,'Facility Detail'!N500,'Facility Detail'!N552,'Facility Detail'!N604,'Facility Detail'!N657,'Facility Detail'!N699,'Facility Detail'!N741,'Facility Detail'!N795,'Facility Detail'!N848,'Facility Detail'!N901,'Facility Detail'!N942,'Facility Detail'!N995,'Facility Detail'!N1036,'Facility Detail'!N1089,'Facility Detail'!N1142,'Facility Detail'!N1195,'Facility Detail'!N1248,'Facility Detail'!N1294,'Facility Detail'!N1341,'Facility Detail'!N1382,'Facility Detail'!N1435,'Facility Detail'!N1480,'Facility Detail'!N1534,'Facility Detail'!N1575,'Facility Detail'!N1628,'Facility Detail'!N1682,'Facility Detail'!N1736,'Facility Detail'!N1788,'Facility Detail'!N1830,'Facility Detail'!N1884,'Facility Detail'!N1937,'Facility Detail'!N1990,'Facility Detail'!N2032,'Facility Detail'!N2073,'Facility Detail'!N2125,'Facility Detail'!N2178,'Facility Detail'!N2219,'Facility Detail'!N2260,'Facility Detail'!N2312,'Facility Detail'!N2364,'Facility Detail'!N2417,'Facility Detail'!N2470,'Facility Detail'!N2523,'Facility Detail'!N2576,'Facility Detail'!N2628,'Facility Detail'!N2680,'Facility Detail'!N2733,'Facility Detail'!N2841,'Facility Detail'!N2880,'Facility Detail'!N2921,'Facility Detail'!N2974,'Facility Detail'!N3027,'Facility Detail'!N3079,'Facility Detail'!N3132,'Facility Detail'!N3170,'Facility Detail'!N3207)</f>
        <v>0</v>
      </c>
      <c r="I13" s="59">
        <f>SUM('Facility Detail'!O85,'Facility Detail'!O138,'Facility Detail'!O235,'Facility Detail'!O288,'Facility Detail'!O341,'Facility Detail'!O394,'Facility Detail'!O447,'Facility Detail'!O500,'Facility Detail'!O552,'Facility Detail'!O604,'Facility Detail'!O657,'Facility Detail'!O699,'Facility Detail'!O741,'Facility Detail'!O795,'Facility Detail'!O848,'Facility Detail'!O901,'Facility Detail'!O942,'Facility Detail'!O995,'Facility Detail'!O1036,'Facility Detail'!O1089,'Facility Detail'!O1142,'Facility Detail'!O1195,'Facility Detail'!O1248,'Facility Detail'!O1294,'Facility Detail'!O1341,'Facility Detail'!O1382,'Facility Detail'!O1435,'Facility Detail'!O1480,'Facility Detail'!O1534,'Facility Detail'!O1575,'Facility Detail'!O1628,'Facility Detail'!O1682,'Facility Detail'!O1736,'Facility Detail'!O1788,'Facility Detail'!O1830,'Facility Detail'!O1884,'Facility Detail'!O1937,'Facility Detail'!O1990,'Facility Detail'!O2032,'Facility Detail'!O2073,'Facility Detail'!O2125,'Facility Detail'!O2178,'Facility Detail'!O2219,'Facility Detail'!O2260,'Facility Detail'!O2312,'Facility Detail'!O2364,'Facility Detail'!O2417,'Facility Detail'!O2470,'Facility Detail'!O2523,'Facility Detail'!O2576,'Facility Detail'!O2628,'Facility Detail'!O2680,'Facility Detail'!O2733,'Facility Detail'!O2841,'Facility Detail'!O2880,'Facility Detail'!O2921,'Facility Detail'!O2974,'Facility Detail'!O3027,'Facility Detail'!O3079,'Facility Detail'!O3132,'Facility Detail'!O3170,'Facility Detail'!O3207)</f>
        <v>0</v>
      </c>
      <c r="J13" s="59">
        <f>SUM('Facility Detail'!P85,'Facility Detail'!P138,'Facility Detail'!P235,'Facility Detail'!P288,'Facility Detail'!P341,'Facility Detail'!P394,'Facility Detail'!P447,'Facility Detail'!P500,'Facility Detail'!P552,'Facility Detail'!P604,'Facility Detail'!P657,'Facility Detail'!P699,'Facility Detail'!P741,'Facility Detail'!P795,'Facility Detail'!P848,'Facility Detail'!P901,'Facility Detail'!P942,'Facility Detail'!P995,'Facility Detail'!P1036,'Facility Detail'!P1089,'Facility Detail'!P1142,'Facility Detail'!P1195,'Facility Detail'!P1248,'Facility Detail'!P1294,'Facility Detail'!P1341,'Facility Detail'!P1382,'Facility Detail'!P1435,'Facility Detail'!P1480,'Facility Detail'!P1534,'Facility Detail'!P1575,'Facility Detail'!P1628,'Facility Detail'!P1682,'Facility Detail'!P1736,'Facility Detail'!P1788,'Facility Detail'!P1830,'Facility Detail'!P1884,'Facility Detail'!P1937,'Facility Detail'!P1990,'Facility Detail'!P2032,'Facility Detail'!P2073,'Facility Detail'!P2125,'Facility Detail'!P2178,'Facility Detail'!P2219,'Facility Detail'!P2260,'Facility Detail'!P2312,'Facility Detail'!P2364,'Facility Detail'!P2417,'Facility Detail'!P2470,'Facility Detail'!P2523,'Facility Detail'!P2576,'Facility Detail'!P2628,'Facility Detail'!P2680,'Facility Detail'!P2733,'Facility Detail'!P2841,'Facility Detail'!P2880,'Facility Detail'!P2921,'Facility Detail'!P2974,'Facility Detail'!P3027,'Facility Detail'!P3079,'Facility Detail'!P3132,'Facility Detail'!P3170,'Facility Detail'!P3207)</f>
        <v>0</v>
      </c>
      <c r="K13" s="59">
        <f>SUM('Facility Detail'!Q85,'Facility Detail'!Q138,'Facility Detail'!Q235,'Facility Detail'!Q288,'Facility Detail'!Q341,'Facility Detail'!Q394,'Facility Detail'!Q447,'Facility Detail'!Q500,'Facility Detail'!Q552,'Facility Detail'!Q604,'Facility Detail'!Q657,'Facility Detail'!Q699,'Facility Detail'!Q741,'Facility Detail'!Q795,'Facility Detail'!Q848,'Facility Detail'!Q901,'Facility Detail'!Q942,'Facility Detail'!Q995,'Facility Detail'!Q1036,'Facility Detail'!Q1089,'Facility Detail'!Q1142,'Facility Detail'!Q1195,'Facility Detail'!Q1248,'Facility Detail'!Q1294,'Facility Detail'!Q1341,'Facility Detail'!Q1382,'Facility Detail'!Q1435,'Facility Detail'!Q1480,'Facility Detail'!Q1534,'Facility Detail'!Q1575,'Facility Detail'!Q1628,'Facility Detail'!Q1682,'Facility Detail'!Q1736,'Facility Detail'!Q1788,'Facility Detail'!Q1830,'Facility Detail'!Q1884,'Facility Detail'!Q1937,'Facility Detail'!Q1990,'Facility Detail'!Q2032,'Facility Detail'!Q2073,'Facility Detail'!Q2125,'Facility Detail'!Q2178,'Facility Detail'!Q2219,'Facility Detail'!Q2260,'Facility Detail'!Q2312,'Facility Detail'!Q2364,'Facility Detail'!Q2417,'Facility Detail'!Q2470,'Facility Detail'!Q2523,'Facility Detail'!Q2576,'Facility Detail'!Q2628,'Facility Detail'!Q2680,'Facility Detail'!Q2733,'Facility Detail'!Q2841,'Facility Detail'!Q2880,'Facility Detail'!Q2921,'Facility Detail'!Q2974,'Facility Detail'!Q3027,'Facility Detail'!Q3079,'Facility Detail'!Q3132,'Facility Detail'!Q3170,'Facility Detail'!Q3202)</f>
        <v>0</v>
      </c>
      <c r="L13" s="59">
        <f>SUM('Facility Detail'!R85,'Facility Detail'!R138,'Facility Detail'!R235,'Facility Detail'!R288,'Facility Detail'!R341,'Facility Detail'!R394,'Facility Detail'!R447,'Facility Detail'!R500,'Facility Detail'!R552,'Facility Detail'!R604,'Facility Detail'!R657,'Facility Detail'!R699,'Facility Detail'!R741,'Facility Detail'!R795,'Facility Detail'!R848,'Facility Detail'!R901,'Facility Detail'!R942,'Facility Detail'!R995,'Facility Detail'!R1036,'Facility Detail'!R1089,'Facility Detail'!R1142,'Facility Detail'!R1195,'Facility Detail'!R1248,'Facility Detail'!R1294,'Facility Detail'!R1341,'Facility Detail'!R1382,'Facility Detail'!R1435,'Facility Detail'!R1480,'Facility Detail'!R1534,'Facility Detail'!R1575,'Facility Detail'!R1628,'Facility Detail'!R1682,'Facility Detail'!R1736,'Facility Detail'!R1788,'Facility Detail'!R1830,'Facility Detail'!R1884,'Facility Detail'!R1937,'Facility Detail'!R1990,'Facility Detail'!R2032,'Facility Detail'!R2073,'Facility Detail'!R2125,'Facility Detail'!R2178,'Facility Detail'!R2219,'Facility Detail'!R2260,'Facility Detail'!R2312,'Facility Detail'!R2364,'Facility Detail'!R2417,'Facility Detail'!R2470,'Facility Detail'!R2523,'Facility Detail'!R2576,'Facility Detail'!R2628,'Facility Detail'!R2680,'Facility Detail'!R2733,'Facility Detail'!R2841,'Facility Detail'!R2880,'Facility Detail'!R2921,'Facility Detail'!R2974,'Facility Detail'!R3027,'Facility Detail'!R3079,'Facility Detail'!R3132,'Facility Detail'!R3170,'Facility Detail'!R3207)</f>
        <v>0</v>
      </c>
      <c r="M13" s="59">
        <f>SUM('Facility Detail'!S85,'Facility Detail'!S138,'Facility Detail'!S235,'Facility Detail'!S288,'Facility Detail'!S341,'Facility Detail'!S394,'Facility Detail'!S447,'Facility Detail'!S500,'Facility Detail'!S552,'Facility Detail'!S604,'Facility Detail'!S657,'Facility Detail'!S699,'Facility Detail'!S741,'Facility Detail'!S795,'Facility Detail'!S848,'Facility Detail'!S901,'Facility Detail'!S942,'Facility Detail'!S995,'Facility Detail'!S1036,'Facility Detail'!S1089,'Facility Detail'!S1142,'Facility Detail'!S1195,'Facility Detail'!S1248,'Facility Detail'!S1294,'Facility Detail'!S1341,'Facility Detail'!S1382,'Facility Detail'!S1435,'Facility Detail'!S1480,'Facility Detail'!S1534,'Facility Detail'!S1575,'Facility Detail'!S1628,'Facility Detail'!S1682,'Facility Detail'!S1736,'Facility Detail'!S1788,'Facility Detail'!S1830,'Facility Detail'!S1884,'Facility Detail'!S1937,'Facility Detail'!S1990,'Facility Detail'!S2032,'Facility Detail'!S2073,'Facility Detail'!S2125,'Facility Detail'!S2178,'Facility Detail'!S2219,'Facility Detail'!S2260,'Facility Detail'!S2312,'Facility Detail'!S2364,'Facility Detail'!S2417,'Facility Detail'!S2470,'Facility Detail'!S2523,'Facility Detail'!S2576,'Facility Detail'!S2628,'Facility Detail'!S2680,'Facility Detail'!S2733,'Facility Detail'!S2841,'Facility Detail'!S2880,'Facility Detail'!S2921,'Facility Detail'!S2974,'Facility Detail'!S3027,'Facility Detail'!S3079,'Facility Detail'!S3132,'Facility Detail'!S3170,'Facility Detail'!S3207)</f>
        <v>0</v>
      </c>
      <c r="N13" s="59">
        <f>SUM('Facility Detail'!T85,'Facility Detail'!T138,'Facility Detail'!T235,'Facility Detail'!T288,'Facility Detail'!T341,'Facility Detail'!T394,'Facility Detail'!T447,'Facility Detail'!T500,'Facility Detail'!T552,'Facility Detail'!T604,'Facility Detail'!T657,'Facility Detail'!T699,'Facility Detail'!T741,'Facility Detail'!T795,'Facility Detail'!T848,'Facility Detail'!T901,'Facility Detail'!T942,'Facility Detail'!T995,'Facility Detail'!T1036,'Facility Detail'!T1089,'Facility Detail'!T1142,'Facility Detail'!T1195,'Facility Detail'!T1248,'Facility Detail'!T1294,'Facility Detail'!T1341,'Facility Detail'!T1382,'Facility Detail'!T1435,'Facility Detail'!T1480,'Facility Detail'!T1534,'Facility Detail'!T1575,'Facility Detail'!T1628,'Facility Detail'!T1682,'Facility Detail'!T1736,'Facility Detail'!T1788,'Facility Detail'!T1830,'Facility Detail'!T1884,'Facility Detail'!T1937,'Facility Detail'!T1990,'Facility Detail'!T2032,'Facility Detail'!T2073,'Facility Detail'!T2125,'Facility Detail'!T2178,'Facility Detail'!T2219,'Facility Detail'!T2260,'Facility Detail'!T2312,'Facility Detail'!T2364,'Facility Detail'!T2417,'Facility Detail'!T2470,'Facility Detail'!T2523,'Facility Detail'!T2576,'Facility Detail'!T2628,'Facility Detail'!T2680,'Facility Detail'!T2733,'Facility Detail'!T2841,'Facility Detail'!T2880,'Facility Detail'!T2921,'Facility Detail'!T2974,'Facility Detail'!T3027,'Facility Detail'!T3079,'Facility Detail'!T3132,'Facility Detail'!T3170,'Facility Detail'!T3207)</f>
        <v>0</v>
      </c>
      <c r="O13" s="59">
        <f>SUM('Facility Detail'!U85,'Facility Detail'!U138,'Facility Detail'!U235,'Facility Detail'!U288,'Facility Detail'!U341,'Facility Detail'!U394,'Facility Detail'!U447,'Facility Detail'!U500,'Facility Detail'!U552,'Facility Detail'!U604,'Facility Detail'!U657,'Facility Detail'!U699,'Facility Detail'!U741,'Facility Detail'!U795,'Facility Detail'!U848,'Facility Detail'!U901,'Facility Detail'!U942,'Facility Detail'!U995,'Facility Detail'!U1036,'Facility Detail'!U1089,'Facility Detail'!U1142,'Facility Detail'!U1195,'Facility Detail'!U1248,'Facility Detail'!U1294,'Facility Detail'!U1341,'Facility Detail'!U1382,'Facility Detail'!U1435,'Facility Detail'!U1480,'Facility Detail'!U1534,'Facility Detail'!U1575,'Facility Detail'!U1628,'Facility Detail'!U1682,'Facility Detail'!U1736,'Facility Detail'!U1788,'Facility Detail'!U1830,'Facility Detail'!U1884,'Facility Detail'!U1937,'Facility Detail'!U1990,'Facility Detail'!U2032,'Facility Detail'!U2073,'Facility Detail'!U2125,'Facility Detail'!U2178,'Facility Detail'!U2219,'Facility Detail'!U2260,'Facility Detail'!U2312,'Facility Detail'!U2364,'Facility Detail'!U2417,'Facility Detail'!U2470,'Facility Detail'!U2523,'Facility Detail'!U2576,'Facility Detail'!U2628,'Facility Detail'!U2680,'Facility Detail'!U2733,'Facility Detail'!U2841,'Facility Detail'!U2880,'Facility Detail'!U2921,'Facility Detail'!U2974,'Facility Detail'!U3027,'Facility Detail'!U3079,'Facility Detail'!U3132,'Facility Detail'!U3170,'Facility Detail'!U3207)</f>
        <v>0</v>
      </c>
    </row>
    <row r="14" spans="1:15">
      <c r="A14" s="61" t="s">
        <v>24</v>
      </c>
      <c r="B14" s="34"/>
      <c r="C14" s="34">
        <f t="shared" ref="C14:H14" si="8">SUM(C12:C13)</f>
        <v>104826</v>
      </c>
      <c r="D14" s="34">
        <f t="shared" si="8"/>
        <v>107711</v>
      </c>
      <c r="E14" s="34">
        <f t="shared" si="8"/>
        <v>107158</v>
      </c>
      <c r="F14" s="34">
        <f t="shared" si="8"/>
        <v>114902</v>
      </c>
      <c r="G14" s="34">
        <f t="shared" si="8"/>
        <v>271108</v>
      </c>
      <c r="H14" s="34">
        <f t="shared" si="8"/>
        <v>373982.40669669915</v>
      </c>
      <c r="I14" s="23">
        <f t="shared" ref="I14:J14" si="9">SUM(I12:I13)</f>
        <v>285492</v>
      </c>
      <c r="J14" s="23">
        <f t="shared" si="9"/>
        <v>293213</v>
      </c>
      <c r="K14" s="23">
        <f t="shared" ref="K14:M14" si="10">SUM(K12:K13)</f>
        <v>198796.8148606311</v>
      </c>
      <c r="L14" s="23">
        <f t="shared" ref="L14" si="11">SUM(L12:L13)</f>
        <v>560182.05599708681</v>
      </c>
      <c r="M14" s="23">
        <f t="shared" si="10"/>
        <v>777200.43684753845</v>
      </c>
      <c r="N14" s="23">
        <f t="shared" ref="N14:O14" si="12">SUM(N12:N13)</f>
        <v>795718</v>
      </c>
      <c r="O14" s="23">
        <f t="shared" si="12"/>
        <v>803358.91924546752</v>
      </c>
    </row>
    <row r="15" spans="1:15">
      <c r="A15" s="6"/>
      <c r="B15" s="34"/>
      <c r="C15" s="34"/>
      <c r="D15" s="34"/>
      <c r="E15" s="34"/>
      <c r="F15" s="109"/>
      <c r="G15" s="109"/>
      <c r="H15" s="109"/>
      <c r="I15" s="109"/>
      <c r="J15" s="109"/>
      <c r="K15" s="109"/>
      <c r="L15" s="164"/>
      <c r="M15" s="164"/>
      <c r="N15" s="164"/>
      <c r="O15" s="164"/>
    </row>
    <row r="16" spans="1:15" ht="18.75">
      <c r="A16" s="9" t="s">
        <v>16</v>
      </c>
      <c r="B16" s="2">
        <v>2010</v>
      </c>
      <c r="C16" s="2">
        <f>C6</f>
        <v>2011</v>
      </c>
      <c r="D16" s="2">
        <f t="shared" ref="D16:M16" si="13">D6</f>
        <v>2012</v>
      </c>
      <c r="E16" s="2">
        <f t="shared" si="13"/>
        <v>2013</v>
      </c>
      <c r="F16" s="2">
        <f t="shared" si="13"/>
        <v>2014</v>
      </c>
      <c r="G16" s="2">
        <f t="shared" si="13"/>
        <v>2015</v>
      </c>
      <c r="H16" s="2">
        <f t="shared" si="13"/>
        <v>2016</v>
      </c>
      <c r="I16" s="2">
        <f t="shared" si="13"/>
        <v>2017</v>
      </c>
      <c r="J16" s="2">
        <f t="shared" si="13"/>
        <v>2018</v>
      </c>
      <c r="K16" s="2">
        <f t="shared" si="13"/>
        <v>2019</v>
      </c>
      <c r="L16" s="2">
        <f t="shared" ref="L16" si="14">L6</f>
        <v>2020</v>
      </c>
      <c r="M16" s="2">
        <f t="shared" si="13"/>
        <v>2021</v>
      </c>
      <c r="N16" s="2">
        <f t="shared" ref="N16:O16" si="15">N6</f>
        <v>2022</v>
      </c>
      <c r="O16" s="2">
        <f t="shared" si="15"/>
        <v>2023</v>
      </c>
    </row>
    <row r="17" spans="1:15">
      <c r="A17" s="64" t="str">
        <f>'Facility Detail'!G88</f>
        <v>Quantity of RECs Sold</v>
      </c>
      <c r="B17" s="51"/>
      <c r="C17" s="11">
        <f>-1*SUM('Facility Detail'!I88,'Facility Detail'!I141,'Facility Detail'!I238,'Facility Detail'!I291,'Facility Detail'!I344,'Facility Detail'!I397,'Facility Detail'!I450,'Facility Detail'!I503,'Facility Detail'!I555,'Facility Detail'!I607,'Facility Detail'!I744,'Facility Detail'!I798,'Facility Detail'!I851,'Facility Detail'!I945,'Facility Detail'!I1039,'Facility Detail'!I1092,'Facility Detail'!I1145,'Facility Detail'!I1198,'Facility Detail'!I1251,'Facility Detail'!I1297,'Facility Detail'!I1385,'Facility Detail'!I1483,'Facility Detail'!I1578,'Facility Detail'!I1631,'Facility Detail'!I1685,'Facility Detail'!I1739,'Facility Detail'!I1833,'Facility Detail'!I1887,'Facility Detail'!I1940,'Facility Detail'!I2076,'Facility Detail'!I2128,'Facility Detail'!I2263,'Facility Detail'!I2315,'Facility Detail'!I2367,'Facility Detail'!I2420,'Facility Detail'!I2473,'Facility Detail'!I2526,'Facility Detail'!I2579,'Facility Detail'!I2631,'Facility Detail'!I2683,'Facility Detail'!I2736,'Facility Detail'!I2924,'Facility Detail'!I2977,'Facility Detail'!I3030,'Facility Detail'!I3082,'Facility Detail'!I3210,'Facility Detail'!I195,'Facility Detail'!I1438)</f>
        <v>0</v>
      </c>
      <c r="D17" s="11">
        <f>-1*SUM('Facility Detail'!J88,'Facility Detail'!J141,'Facility Detail'!J238,'Facility Detail'!J291,'Facility Detail'!J344,'Facility Detail'!J397,'Facility Detail'!J450,'Facility Detail'!J503,'Facility Detail'!J555,'Facility Detail'!J607,'Facility Detail'!J744,'Facility Detail'!J798,'Facility Detail'!J851,'Facility Detail'!J945,'Facility Detail'!J1039,'Facility Detail'!J1092,'Facility Detail'!J1145,'Facility Detail'!J1198,'Facility Detail'!J1251,'Facility Detail'!J1297,'Facility Detail'!J1385,'Facility Detail'!J1483,'Facility Detail'!J1578,'Facility Detail'!J1631,'Facility Detail'!J1685,'Facility Detail'!J1739,'Facility Detail'!J1833,'Facility Detail'!J1887,'Facility Detail'!J1940,'Facility Detail'!J2076,'Facility Detail'!J2128,'Facility Detail'!J2263,'Facility Detail'!J2315,'Facility Detail'!J2367,'Facility Detail'!J2420,'Facility Detail'!J2473,'Facility Detail'!J2526,'Facility Detail'!J2579,'Facility Detail'!J2631,'Facility Detail'!J2683,'Facility Detail'!J2736,'Facility Detail'!J2924,'Facility Detail'!J2977,'Facility Detail'!J3030,'Facility Detail'!J3082,'Facility Detail'!J3210,'Facility Detail'!J195,'Facility Detail'!J1438)</f>
        <v>0</v>
      </c>
      <c r="E17" s="11">
        <f>-1*SUM('Facility Detail'!K88,'Facility Detail'!K141,'Facility Detail'!K238,'Facility Detail'!K291,'Facility Detail'!K344,'Facility Detail'!K397,'Facility Detail'!K450,'Facility Detail'!K503,'Facility Detail'!K555,'Facility Detail'!K607,'Facility Detail'!K744,'Facility Detail'!K798,'Facility Detail'!K851,'Facility Detail'!K945,'Facility Detail'!K1039,'Facility Detail'!K1092,'Facility Detail'!K1145,'Facility Detail'!K1198,'Facility Detail'!K1251,'Facility Detail'!K1297,'Facility Detail'!K1385,'Facility Detail'!K1483,'Facility Detail'!K1578,'Facility Detail'!K1631,'Facility Detail'!K1685,'Facility Detail'!K1739,'Facility Detail'!K1833,'Facility Detail'!K1887,'Facility Detail'!K1940,'Facility Detail'!K2076,'Facility Detail'!K2128,'Facility Detail'!K2263,'Facility Detail'!K2315,'Facility Detail'!K2367,'Facility Detail'!K2420,'Facility Detail'!K2473,'Facility Detail'!K2526,'Facility Detail'!K2579,'Facility Detail'!K2631,'Facility Detail'!K2683,'Facility Detail'!K2736,'Facility Detail'!K2924,'Facility Detail'!K2977,'Facility Detail'!K3030,'Facility Detail'!K3082,'Facility Detail'!K3210,'Facility Detail'!K195,'Facility Detail'!K1438)</f>
        <v>0</v>
      </c>
      <c r="F17" s="11">
        <f>-1*SUM('Facility Detail'!L88,'Facility Detail'!L141,'Facility Detail'!L238,'Facility Detail'!L291,'Facility Detail'!L344,'Facility Detail'!L397,'Facility Detail'!L450,'Facility Detail'!L503,'Facility Detail'!L555,'Facility Detail'!L607,'Facility Detail'!L744,'Facility Detail'!L798,'Facility Detail'!L851,'Facility Detail'!L945,'Facility Detail'!L1039,'Facility Detail'!L1092,'Facility Detail'!L1145,'Facility Detail'!L1198,'Facility Detail'!L1251,'Facility Detail'!L1297,'Facility Detail'!L1385,'Facility Detail'!L1483,'Facility Detail'!L1578,'Facility Detail'!L1631,'Facility Detail'!L1685,'Facility Detail'!L1739,'Facility Detail'!L1833,'Facility Detail'!L1887,'Facility Detail'!L1940,'Facility Detail'!L2076,'Facility Detail'!L2128,'Facility Detail'!L2263,'Facility Detail'!L2315,'Facility Detail'!L2367,'Facility Detail'!L2420,'Facility Detail'!L2473,'Facility Detail'!L2526,'Facility Detail'!L2579,'Facility Detail'!L2631,'Facility Detail'!L2683,'Facility Detail'!L2736,'Facility Detail'!L2924,'Facility Detail'!L2977,'Facility Detail'!L3030,'Facility Detail'!L3082,'Facility Detail'!L3210,'Facility Detail'!L195,'Facility Detail'!L1438)</f>
        <v>0</v>
      </c>
      <c r="G17" s="11">
        <f>-1*SUM('Facility Detail'!M88,'Facility Detail'!M141,'Facility Detail'!M238,'Facility Detail'!M291,'Facility Detail'!M344,'Facility Detail'!M397,'Facility Detail'!M450,'Facility Detail'!M503,'Facility Detail'!M555,'Facility Detail'!M607,'Facility Detail'!M744,'Facility Detail'!M798,'Facility Detail'!M851,'Facility Detail'!M945,'Facility Detail'!M1039,'Facility Detail'!M1092,'Facility Detail'!M1145,'Facility Detail'!M1198,'Facility Detail'!M1251,'Facility Detail'!M1297,'Facility Detail'!M1385,'Facility Detail'!M1483,'Facility Detail'!M1578,'Facility Detail'!M1631,'Facility Detail'!M1685,'Facility Detail'!M1739,'Facility Detail'!M1833,'Facility Detail'!M1887,'Facility Detail'!M1940,'Facility Detail'!M2076,'Facility Detail'!M2128,'Facility Detail'!M2263,'Facility Detail'!M2315,'Facility Detail'!M2367,'Facility Detail'!M2420,'Facility Detail'!M2473,'Facility Detail'!M2526,'Facility Detail'!M2579,'Facility Detail'!M2631,'Facility Detail'!M2683,'Facility Detail'!M2736,'Facility Detail'!M2924,'Facility Detail'!M2977,'Facility Detail'!M3030,'Facility Detail'!M3082,'Facility Detail'!M3210,'Facility Detail'!M195,'Facility Detail'!M1438)</f>
        <v>0</v>
      </c>
      <c r="H17" s="11">
        <f>-1*SUM('Facility Detail'!N88,'Facility Detail'!N141,'Facility Detail'!N238,'Facility Detail'!N291,'Facility Detail'!N344,'Facility Detail'!N397,'Facility Detail'!N450,'Facility Detail'!N503,'Facility Detail'!N555,'Facility Detail'!N607,'Facility Detail'!N744,'Facility Detail'!N798,'Facility Detail'!N851,'Facility Detail'!N945,'Facility Detail'!N1039,'Facility Detail'!N1092,'Facility Detail'!N1145,'Facility Detail'!N1198,'Facility Detail'!N1251,'Facility Detail'!N1297,'Facility Detail'!N1385,'Facility Detail'!N1483,'Facility Detail'!N1578,'Facility Detail'!N1631,'Facility Detail'!N1685,'Facility Detail'!N1739,'Facility Detail'!N1833,'Facility Detail'!N1887,'Facility Detail'!N1940,'Facility Detail'!N2076,'Facility Detail'!N2128,'Facility Detail'!N2263,'Facility Detail'!N2315,'Facility Detail'!N2367,'Facility Detail'!N2420,'Facility Detail'!N2473,'Facility Detail'!N2526,'Facility Detail'!N2579,'Facility Detail'!N2631,'Facility Detail'!N2683,'Facility Detail'!N2736,'Facility Detail'!N2924,'Facility Detail'!N2977,'Facility Detail'!N3030,'Facility Detail'!N3082,'Facility Detail'!N3210,'Facility Detail'!N195,'Facility Detail'!N1438)</f>
        <v>0</v>
      </c>
      <c r="I17" s="11">
        <f>-1*SUM('Facility Detail'!O88,'Facility Detail'!O141,'Facility Detail'!O238,'Facility Detail'!O291,'Facility Detail'!O344,'Facility Detail'!O397,'Facility Detail'!O450,'Facility Detail'!O503,'Facility Detail'!O555,'Facility Detail'!O607,'Facility Detail'!O744,'Facility Detail'!O798,'Facility Detail'!O851,'Facility Detail'!O945,'Facility Detail'!O1039,'Facility Detail'!O1092,'Facility Detail'!O1145,'Facility Detail'!O1198,'Facility Detail'!O1251,'Facility Detail'!O1297,'Facility Detail'!O1385,'Facility Detail'!O1483,'Facility Detail'!O1578,'Facility Detail'!O1631,'Facility Detail'!O1685,'Facility Detail'!O1739,'Facility Detail'!O1833,'Facility Detail'!O1887,'Facility Detail'!O1940,'Facility Detail'!O2076,'Facility Detail'!O2128,'Facility Detail'!O2263,'Facility Detail'!O2315,'Facility Detail'!O2367,'Facility Detail'!O2420,'Facility Detail'!O2473,'Facility Detail'!O2526,'Facility Detail'!O2579,'Facility Detail'!O2631,'Facility Detail'!O2683,'Facility Detail'!O2736,'Facility Detail'!O2924,'Facility Detail'!O2977,'Facility Detail'!O3030,'Facility Detail'!O3082,'Facility Detail'!O3210,'Facility Detail'!O195,'Facility Detail'!O1438)</f>
        <v>0</v>
      </c>
      <c r="J17" s="11">
        <f>-1*SUM('Facility Detail'!P88,'Facility Detail'!P141,'Facility Detail'!P238,'Facility Detail'!P291,'Facility Detail'!P344,'Facility Detail'!P397,'Facility Detail'!P450,'Facility Detail'!P503,'Facility Detail'!P555,'Facility Detail'!P607,'Facility Detail'!P744,'Facility Detail'!P798,'Facility Detail'!P851,'Facility Detail'!P945,'Facility Detail'!P1039,'Facility Detail'!P1092,'Facility Detail'!P1145,'Facility Detail'!P1198,'Facility Detail'!P1251,'Facility Detail'!P1297,'Facility Detail'!P1385,'Facility Detail'!P1483,'Facility Detail'!P1578,'Facility Detail'!P1631,'Facility Detail'!P1685,'Facility Detail'!P1739,'Facility Detail'!P1833,'Facility Detail'!P1887,'Facility Detail'!P1940,'Facility Detail'!P2076,'Facility Detail'!P2128,'Facility Detail'!P2263,'Facility Detail'!P2315,'Facility Detail'!P2367,'Facility Detail'!P2420,'Facility Detail'!P2473,'Facility Detail'!P2526,'Facility Detail'!P2579,'Facility Detail'!P2631,'Facility Detail'!P2683,'Facility Detail'!P2736,'Facility Detail'!P2924,'Facility Detail'!P2977,'Facility Detail'!P3030,'Facility Detail'!P3082,'Facility Detail'!P3210,'Facility Detail'!P195,'Facility Detail'!P1438)</f>
        <v>0</v>
      </c>
      <c r="K17" s="11">
        <f>-1*SUM('Facility Detail'!Q88,'Facility Detail'!Q141,'Facility Detail'!Q238,'Facility Detail'!Q291,'Facility Detail'!Q344,'Facility Detail'!Q397,'Facility Detail'!Q450,'Facility Detail'!Q503,'Facility Detail'!Q555,'Facility Detail'!Q607,'Facility Detail'!Q744,'Facility Detail'!Q798,'Facility Detail'!Q851,'Facility Detail'!Q945,'Facility Detail'!Q1039,'Facility Detail'!Q1092,'Facility Detail'!Q1145,'Facility Detail'!Q1198,'Facility Detail'!Q1251,'Facility Detail'!Q1297,'Facility Detail'!Q1385,'Facility Detail'!Q1483,'Facility Detail'!Q1578,'Facility Detail'!Q1631,'Facility Detail'!Q1685,'Facility Detail'!Q1739,'Facility Detail'!Q1833,'Facility Detail'!Q1887,'Facility Detail'!Q1940,'Facility Detail'!Q2076,'Facility Detail'!Q2128,'Facility Detail'!Q2263,'Facility Detail'!Q2315,'Facility Detail'!Q2367,'Facility Detail'!Q2420,'Facility Detail'!Q2473,'Facility Detail'!Q2526,'Facility Detail'!Q2579,'Facility Detail'!Q2631,'Facility Detail'!Q2683,'Facility Detail'!Q2736,'Facility Detail'!Q2924,'Facility Detail'!Q2977,'Facility Detail'!Q3030,'Facility Detail'!Q3082,'Facility Detail'!Q3210,'Facility Detail'!Q195,'Facility Detail'!Q1438)</f>
        <v>0</v>
      </c>
      <c r="L17" s="11">
        <f>-1*SUM('Facility Detail'!R88,'Facility Detail'!R141,'Facility Detail'!R238,'Facility Detail'!R291,'Facility Detail'!R344,'Facility Detail'!R397,'Facility Detail'!R450,'Facility Detail'!R503,'Facility Detail'!R555,'Facility Detail'!R607,'Facility Detail'!R744,'Facility Detail'!R798,'Facility Detail'!R851,'Facility Detail'!R945,'Facility Detail'!R1039,'Facility Detail'!R1092,'Facility Detail'!R1145,'Facility Detail'!R1198,'Facility Detail'!R1251,'Facility Detail'!R1297,'Facility Detail'!R1385,'Facility Detail'!R1483,'Facility Detail'!R1578,'Facility Detail'!R1631,'Facility Detail'!R1685,'Facility Detail'!R1739,'Facility Detail'!R1833,'Facility Detail'!R1887,'Facility Detail'!R1940,'Facility Detail'!R2076,'Facility Detail'!R2128,'Facility Detail'!R2263,'Facility Detail'!R2315,'Facility Detail'!R2367,'Facility Detail'!R2420,'Facility Detail'!R2473,'Facility Detail'!R2526,'Facility Detail'!R2579,'Facility Detail'!R2631,'Facility Detail'!R2683,'Facility Detail'!R2736,'Facility Detail'!R2924,'Facility Detail'!R2977,'Facility Detail'!R3030,'Facility Detail'!R3082,'Facility Detail'!R3210,'Facility Detail'!R195,'Facility Detail'!R1438)</f>
        <v>0</v>
      </c>
      <c r="M17" s="11">
        <f>-1*SUM('Facility Detail'!S88,'Facility Detail'!S141,'Facility Detail'!S238,'Facility Detail'!S291,'Facility Detail'!S344,'Facility Detail'!S397,'Facility Detail'!S450,'Facility Detail'!S503,'Facility Detail'!S555,'Facility Detail'!S607,'Facility Detail'!S744,'Facility Detail'!S798,'Facility Detail'!S851,'Facility Detail'!S945,'Facility Detail'!S1039,'Facility Detail'!S1092,'Facility Detail'!S1145,'Facility Detail'!S1198,'Facility Detail'!S1251,'Facility Detail'!S1297,'Facility Detail'!S1385,'Facility Detail'!S1483,'Facility Detail'!S1578,'Facility Detail'!S1631,'Facility Detail'!S1685,'Facility Detail'!S1739,'Facility Detail'!S1833,'Facility Detail'!S1887,'Facility Detail'!S1940,'Facility Detail'!S2076,'Facility Detail'!S2128,'Facility Detail'!S2263,'Facility Detail'!S2315,'Facility Detail'!S2367,'Facility Detail'!S2420,'Facility Detail'!S2473,'Facility Detail'!S2526,'Facility Detail'!S2579,'Facility Detail'!S2631,'Facility Detail'!S2683,'Facility Detail'!S2736,'Facility Detail'!S2924,'Facility Detail'!S2977,'Facility Detail'!S3030,'Facility Detail'!S3082,'Facility Detail'!S3210,'Facility Detail'!S195,'Facility Detail'!S1438)</f>
        <v>0</v>
      </c>
      <c r="N17" s="11">
        <f>-1*SUM('Facility Detail'!T88,'Facility Detail'!T141,'Facility Detail'!T238,'Facility Detail'!T291,'Facility Detail'!T344,'Facility Detail'!T397,'Facility Detail'!T450,'Facility Detail'!T503,'Facility Detail'!T555,'Facility Detail'!T607,'Facility Detail'!T744,'Facility Detail'!T798,'Facility Detail'!T851,'Facility Detail'!T945,'Facility Detail'!T1039,'Facility Detail'!T1092,'Facility Detail'!T1145,'Facility Detail'!T1198,'Facility Detail'!T1251,'Facility Detail'!T1297,'Facility Detail'!T1385,'Facility Detail'!T1483,'Facility Detail'!T1578,'Facility Detail'!T1631,'Facility Detail'!T1685,'Facility Detail'!T1739,'Facility Detail'!T1833,'Facility Detail'!T1887,'Facility Detail'!T1940,'Facility Detail'!T2076,'Facility Detail'!T2128,'Facility Detail'!T2263,'Facility Detail'!T2315,'Facility Detail'!T2367,'Facility Detail'!T2420,'Facility Detail'!T2473,'Facility Detail'!T2526,'Facility Detail'!T2579,'Facility Detail'!T2631,'Facility Detail'!T2683,'Facility Detail'!T2736,'Facility Detail'!T2924,'Facility Detail'!T2977,'Facility Detail'!T3030,'Facility Detail'!T3082,'Facility Detail'!T3210,'Facility Detail'!T195,'Facility Detail'!T1438)</f>
        <v>0</v>
      </c>
      <c r="O17" s="11">
        <f>-1*SUM('Facility Detail'!U88,'Facility Detail'!U141,'Facility Detail'!U238,'Facility Detail'!U291,'Facility Detail'!U344,'Facility Detail'!U397,'Facility Detail'!U450,'Facility Detail'!U503,'Facility Detail'!U555,'Facility Detail'!U607,'Facility Detail'!U744,'Facility Detail'!U798,'Facility Detail'!U851,'Facility Detail'!U945,'Facility Detail'!U1039,'Facility Detail'!U1092,'Facility Detail'!U1145,'Facility Detail'!U1198,'Facility Detail'!U1251,'Facility Detail'!U1297,'Facility Detail'!U1385,'Facility Detail'!U1483,'Facility Detail'!U1578,'Facility Detail'!U1631,'Facility Detail'!U1685,'Facility Detail'!U1739,'Facility Detail'!U1833,'Facility Detail'!U1887,'Facility Detail'!U1940,'Facility Detail'!U2076,'Facility Detail'!U2128,'Facility Detail'!U2263,'Facility Detail'!U2315,'Facility Detail'!U2367,'Facility Detail'!U2420,'Facility Detail'!U2473,'Facility Detail'!U2526,'Facility Detail'!U2579,'Facility Detail'!U2631,'Facility Detail'!U2683,'Facility Detail'!U2736,'Facility Detail'!U2924,'Facility Detail'!U2977,'Facility Detail'!U3030,'Facility Detail'!U3082,'Facility Detail'!U3210,'Facility Detail'!U195,'Facility Detail'!U1438)</f>
        <v>0</v>
      </c>
    </row>
    <row r="18" spans="1:15">
      <c r="A18" s="65" t="str">
        <f>'Facility Detail'!G89</f>
        <v>Bonus Incentives Transferred</v>
      </c>
      <c r="B18" s="77"/>
      <c r="C18" s="55">
        <f>-1*SUM('Facility Detail'!I89,'Facility Detail'!I142,'Facility Detail'!I239,'Facility Detail'!I292,'Facility Detail'!I345,'Facility Detail'!I398,'Facility Detail'!I451,'Facility Detail'!I504,'Facility Detail'!I556,'Facility Detail'!I608,'Facility Detail'!I745,'Facility Detail'!I799,'Facility Detail'!I852,'Facility Detail'!I946,'Facility Detail'!I1040,'Facility Detail'!I1093,'Facility Detail'!I1146,'Facility Detail'!I1199,'Facility Detail'!I1252,'Facility Detail'!I1298,'Facility Detail'!I1386,'Facility Detail'!I1484,'Facility Detail'!I1579,'Facility Detail'!I1632,'Facility Detail'!I1686,'Facility Detail'!I1740,'Facility Detail'!I1834,'Facility Detail'!I1888,'Facility Detail'!I1941,'Facility Detail'!I2077,'Facility Detail'!I2129,'Facility Detail'!I2264,'Facility Detail'!I2316,'Facility Detail'!I2368,'Facility Detail'!I2421,'Facility Detail'!I2474,'Facility Detail'!I2527,'Facility Detail'!I2580,'Facility Detail'!I2632,'Facility Detail'!I2684,'Facility Detail'!I2737,'Facility Detail'!I2925,'Facility Detail'!I2978,'Facility Detail'!I3031,'Facility Detail'!I3083,'Facility Detail'!I3211,'Facility Detail'!I196,'Facility Detail'!I1439)</f>
        <v>0</v>
      </c>
      <c r="D18" s="55">
        <f>-1*SUM('Facility Detail'!J89,'Facility Detail'!J142,'Facility Detail'!J239,'Facility Detail'!J292,'Facility Detail'!J345,'Facility Detail'!J398,'Facility Detail'!J451,'Facility Detail'!J504,'Facility Detail'!J556,'Facility Detail'!J608,'Facility Detail'!J745,'Facility Detail'!J799,'Facility Detail'!J852,'Facility Detail'!J946,'Facility Detail'!J1040,'Facility Detail'!J1093,'Facility Detail'!J1146,'Facility Detail'!J1199,'Facility Detail'!J1252,'Facility Detail'!J1298,'Facility Detail'!J1386,'Facility Detail'!J1484,'Facility Detail'!J1579,'Facility Detail'!J1632,'Facility Detail'!J1686,'Facility Detail'!J1740,'Facility Detail'!J1834,'Facility Detail'!J1888,'Facility Detail'!J1941,'Facility Detail'!J2077,'Facility Detail'!J2129,'Facility Detail'!J2264,'Facility Detail'!J2316,'Facility Detail'!J2368,'Facility Detail'!J2421,'Facility Detail'!J2474,'Facility Detail'!J2527,'Facility Detail'!J2580,'Facility Detail'!J2632,'Facility Detail'!J2684,'Facility Detail'!J2737,'Facility Detail'!J2925,'Facility Detail'!J2978,'Facility Detail'!J3031,'Facility Detail'!J3083,'Facility Detail'!J3211,'Facility Detail'!J196,'Facility Detail'!J1439)</f>
        <v>0</v>
      </c>
      <c r="E18" s="55">
        <f>-1*SUM('Facility Detail'!K89,'Facility Detail'!K142,'Facility Detail'!K239,'Facility Detail'!K292,'Facility Detail'!K345,'Facility Detail'!K398,'Facility Detail'!K451,'Facility Detail'!K504,'Facility Detail'!K556,'Facility Detail'!K608,'Facility Detail'!K745,'Facility Detail'!K799,'Facility Detail'!K852,'Facility Detail'!K946,'Facility Detail'!K1040,'Facility Detail'!K1093,'Facility Detail'!K1146,'Facility Detail'!K1199,'Facility Detail'!K1252,'Facility Detail'!K1298,'Facility Detail'!K1386,'Facility Detail'!K1484,'Facility Detail'!K1579,'Facility Detail'!K1632,'Facility Detail'!K1686,'Facility Detail'!K1740,'Facility Detail'!K1834,'Facility Detail'!K1888,'Facility Detail'!K1941,'Facility Detail'!K2077,'Facility Detail'!K2129,'Facility Detail'!K2264,'Facility Detail'!K2316,'Facility Detail'!K2368,'Facility Detail'!K2421,'Facility Detail'!K2474,'Facility Detail'!K2527,'Facility Detail'!K2580,'Facility Detail'!K2632,'Facility Detail'!K2684,'Facility Detail'!K2737,'Facility Detail'!K2925,'Facility Detail'!K2978,'Facility Detail'!K3031,'Facility Detail'!K3083,'Facility Detail'!K3211,'Facility Detail'!K196,'Facility Detail'!K1439)</f>
        <v>0</v>
      </c>
      <c r="F18" s="55">
        <f>-1*SUM('Facility Detail'!L89,'Facility Detail'!L142,'Facility Detail'!L239,'Facility Detail'!L292,'Facility Detail'!L345,'Facility Detail'!L398,'Facility Detail'!L451,'Facility Detail'!L504,'Facility Detail'!L556,'Facility Detail'!L608,'Facility Detail'!L745,'Facility Detail'!L799,'Facility Detail'!L852,'Facility Detail'!L946,'Facility Detail'!L1040,'Facility Detail'!L1093,'Facility Detail'!L1146,'Facility Detail'!L1199,'Facility Detail'!L1252,'Facility Detail'!L1298,'Facility Detail'!L1386,'Facility Detail'!L1484,'Facility Detail'!L1579,'Facility Detail'!L1632,'Facility Detail'!L1686,'Facility Detail'!L1740,'Facility Detail'!L1834,'Facility Detail'!L1888,'Facility Detail'!L1941,'Facility Detail'!L2077,'Facility Detail'!L2129,'Facility Detail'!L2264,'Facility Detail'!L2316,'Facility Detail'!L2368,'Facility Detail'!L2421,'Facility Detail'!L2474,'Facility Detail'!L2527,'Facility Detail'!L2580,'Facility Detail'!L2632,'Facility Detail'!L2684,'Facility Detail'!L2737,'Facility Detail'!L2925,'Facility Detail'!L2978,'Facility Detail'!L3031,'Facility Detail'!L3083,'Facility Detail'!L3211,'Facility Detail'!L196,'Facility Detail'!L1439)</f>
        <v>0</v>
      </c>
      <c r="G18" s="55">
        <f>-1*SUM('Facility Detail'!M89,'Facility Detail'!M142,'Facility Detail'!M239,'Facility Detail'!M292,'Facility Detail'!M345,'Facility Detail'!M398,'Facility Detail'!M451,'Facility Detail'!M504,'Facility Detail'!M556,'Facility Detail'!M608,'Facility Detail'!M745,'Facility Detail'!M799,'Facility Detail'!M852,'Facility Detail'!M946,'Facility Detail'!M1040,'Facility Detail'!M1093,'Facility Detail'!M1146,'Facility Detail'!M1199,'Facility Detail'!M1252,'Facility Detail'!M1298,'Facility Detail'!M1386,'Facility Detail'!M1484,'Facility Detail'!M1579,'Facility Detail'!M1632,'Facility Detail'!M1686,'Facility Detail'!M1740,'Facility Detail'!M1834,'Facility Detail'!M1888,'Facility Detail'!M1941,'Facility Detail'!M2077,'Facility Detail'!M2129,'Facility Detail'!M2264,'Facility Detail'!M2316,'Facility Detail'!M2368,'Facility Detail'!M2421,'Facility Detail'!M2474,'Facility Detail'!M2527,'Facility Detail'!M2580,'Facility Detail'!M2632,'Facility Detail'!M2684,'Facility Detail'!M2737,'Facility Detail'!M2925,'Facility Detail'!M2978,'Facility Detail'!M3031,'Facility Detail'!M3083,'Facility Detail'!M3211,'Facility Detail'!M196,'Facility Detail'!M1439)</f>
        <v>0</v>
      </c>
      <c r="H18" s="55">
        <f>-1*SUM('Facility Detail'!N89,'Facility Detail'!N142,'Facility Detail'!N239,'Facility Detail'!N292,'Facility Detail'!N345,'Facility Detail'!N398,'Facility Detail'!N451,'Facility Detail'!N504,'Facility Detail'!N556,'Facility Detail'!N608,'Facility Detail'!N745,'Facility Detail'!N799,'Facility Detail'!N852,'Facility Detail'!N946,'Facility Detail'!N1040,'Facility Detail'!N1093,'Facility Detail'!N1146,'Facility Detail'!N1199,'Facility Detail'!N1252,'Facility Detail'!N1298,'Facility Detail'!N1386,'Facility Detail'!N1484,'Facility Detail'!N1579,'Facility Detail'!N1632,'Facility Detail'!N1686,'Facility Detail'!N1740,'Facility Detail'!N1834,'Facility Detail'!N1888,'Facility Detail'!N1941,'Facility Detail'!N2077,'Facility Detail'!N2129,'Facility Detail'!N2264,'Facility Detail'!N2316,'Facility Detail'!N2368,'Facility Detail'!N2421,'Facility Detail'!N2474,'Facility Detail'!N2527,'Facility Detail'!N2580,'Facility Detail'!N2632,'Facility Detail'!N2684,'Facility Detail'!N2737,'Facility Detail'!N2925,'Facility Detail'!N2978,'Facility Detail'!N3031,'Facility Detail'!N3083,'Facility Detail'!N3211,'Facility Detail'!N196,'Facility Detail'!N1439)</f>
        <v>0</v>
      </c>
      <c r="I18" s="55">
        <f>-1*SUM('Facility Detail'!O89,'Facility Detail'!O142,'Facility Detail'!O239,'Facility Detail'!O292,'Facility Detail'!O345,'Facility Detail'!O398,'Facility Detail'!O451,'Facility Detail'!O504,'Facility Detail'!O556,'Facility Detail'!O608,'Facility Detail'!O745,'Facility Detail'!O799,'Facility Detail'!O852,'Facility Detail'!O946,'Facility Detail'!O1040,'Facility Detail'!O1093,'Facility Detail'!O1146,'Facility Detail'!O1199,'Facility Detail'!O1252,'Facility Detail'!O1298,'Facility Detail'!O1386,'Facility Detail'!O1484,'Facility Detail'!O1579,'Facility Detail'!O1632,'Facility Detail'!O1686,'Facility Detail'!O1740,'Facility Detail'!O1834,'Facility Detail'!O1888,'Facility Detail'!O1941,'Facility Detail'!O2077,'Facility Detail'!O2129,'Facility Detail'!O2264,'Facility Detail'!O2316,'Facility Detail'!O2368,'Facility Detail'!O2421,'Facility Detail'!O2474,'Facility Detail'!O2527,'Facility Detail'!O2580,'Facility Detail'!O2632,'Facility Detail'!O2684,'Facility Detail'!O2737,'Facility Detail'!O2925,'Facility Detail'!O2978,'Facility Detail'!O3031,'Facility Detail'!O3083,'Facility Detail'!O3211,'Facility Detail'!O196,'Facility Detail'!O1439)</f>
        <v>0</v>
      </c>
      <c r="J18" s="55">
        <f>-1*SUM('Facility Detail'!P89,'Facility Detail'!P142,'Facility Detail'!P239,'Facility Detail'!P292,'Facility Detail'!P345,'Facility Detail'!P398,'Facility Detail'!P451,'Facility Detail'!P504,'Facility Detail'!P556,'Facility Detail'!P608,'Facility Detail'!P745,'Facility Detail'!P799,'Facility Detail'!P852,'Facility Detail'!P946,'Facility Detail'!P1040,'Facility Detail'!P1093,'Facility Detail'!P1146,'Facility Detail'!P1199,'Facility Detail'!P1252,'Facility Detail'!P1298,'Facility Detail'!P1386,'Facility Detail'!P1484,'Facility Detail'!P1579,'Facility Detail'!P1632,'Facility Detail'!P1686,'Facility Detail'!P1740,'Facility Detail'!P1834,'Facility Detail'!P1888,'Facility Detail'!P1941,'Facility Detail'!P2077,'Facility Detail'!P2129,'Facility Detail'!P2264,'Facility Detail'!P2316,'Facility Detail'!P2368,'Facility Detail'!P2421,'Facility Detail'!P2474,'Facility Detail'!P2527,'Facility Detail'!P2580,'Facility Detail'!P2632,'Facility Detail'!P2684,'Facility Detail'!P2737,'Facility Detail'!P2925,'Facility Detail'!P2978,'Facility Detail'!P3031,'Facility Detail'!P3083,'Facility Detail'!P3211,'Facility Detail'!P196,'Facility Detail'!P1439)</f>
        <v>0</v>
      </c>
      <c r="K18" s="55">
        <f>-1*SUM('Facility Detail'!Q89,'Facility Detail'!Q142,'Facility Detail'!Q239,'Facility Detail'!Q292,'Facility Detail'!Q345,'Facility Detail'!Q398,'Facility Detail'!Q451,'Facility Detail'!Q504,'Facility Detail'!Q556,'Facility Detail'!Q608,'Facility Detail'!Q745,'Facility Detail'!Q799,'Facility Detail'!Q852,'Facility Detail'!Q946,'Facility Detail'!Q1040,'Facility Detail'!Q1093,'Facility Detail'!Q1146,'Facility Detail'!Q1199,'Facility Detail'!Q1252,'Facility Detail'!Q1298,'Facility Detail'!Q1386,'Facility Detail'!Q1484,'Facility Detail'!Q1579,'Facility Detail'!Q1632,'Facility Detail'!Q1686,'Facility Detail'!Q1740,'Facility Detail'!Q1834,'Facility Detail'!Q1888,'Facility Detail'!Q1941,'Facility Detail'!Q2077,'Facility Detail'!Q2129,'Facility Detail'!Q2264,'Facility Detail'!Q2316,'Facility Detail'!Q2368,'Facility Detail'!Q2421,'Facility Detail'!Q2474,'Facility Detail'!Q2527,'Facility Detail'!Q2580,'Facility Detail'!Q2632,'Facility Detail'!Q2684,'Facility Detail'!Q2737,'Facility Detail'!Q2925,'Facility Detail'!Q2978,'Facility Detail'!Q3031,'Facility Detail'!Q3083,'Facility Detail'!Q3211,'Facility Detail'!Q196,'Facility Detail'!Q1439)</f>
        <v>0</v>
      </c>
      <c r="L18" s="55">
        <f>-1*SUM('Facility Detail'!R89,'Facility Detail'!R142,'Facility Detail'!R239,'Facility Detail'!R292,'Facility Detail'!R345,'Facility Detail'!R398,'Facility Detail'!R451,'Facility Detail'!R504,'Facility Detail'!R556,'Facility Detail'!R608,'Facility Detail'!R745,'Facility Detail'!R799,'Facility Detail'!R852,'Facility Detail'!R946,'Facility Detail'!R1040,'Facility Detail'!R1093,'Facility Detail'!R1146,'Facility Detail'!R1199,'Facility Detail'!R1252,'Facility Detail'!R1298,'Facility Detail'!R1386,'Facility Detail'!R1484,'Facility Detail'!R1579,'Facility Detail'!R1632,'Facility Detail'!R1686,'Facility Detail'!R1740,'Facility Detail'!R1834,'Facility Detail'!R1888,'Facility Detail'!R1941,'Facility Detail'!R2077,'Facility Detail'!R2129,'Facility Detail'!R2264,'Facility Detail'!R2316,'Facility Detail'!R2368,'Facility Detail'!R2421,'Facility Detail'!R2474,'Facility Detail'!R2527,'Facility Detail'!R2580,'Facility Detail'!R2632,'Facility Detail'!R2684,'Facility Detail'!R2737,'Facility Detail'!R2925,'Facility Detail'!R2978,'Facility Detail'!R3031,'Facility Detail'!R3083,'Facility Detail'!R3211,'Facility Detail'!R196,'Facility Detail'!R1439)</f>
        <v>0</v>
      </c>
      <c r="M18" s="55">
        <f>-1*SUM('Facility Detail'!S89,'Facility Detail'!S142,'Facility Detail'!S239,'Facility Detail'!S292,'Facility Detail'!S345,'Facility Detail'!S398,'Facility Detail'!S451,'Facility Detail'!S504,'Facility Detail'!S556,'Facility Detail'!S608,'Facility Detail'!S745,'Facility Detail'!S799,'Facility Detail'!S852,'Facility Detail'!S946,'Facility Detail'!S1040,'Facility Detail'!S1093,'Facility Detail'!S1146,'Facility Detail'!S1199,'Facility Detail'!S1252,'Facility Detail'!S1298,'Facility Detail'!S1386,'Facility Detail'!S1484,'Facility Detail'!S1579,'Facility Detail'!S1632,'Facility Detail'!S1686,'Facility Detail'!S1740,'Facility Detail'!S1834,'Facility Detail'!S1888,'Facility Detail'!S1941,'Facility Detail'!S2077,'Facility Detail'!S2129,'Facility Detail'!S2264,'Facility Detail'!S2316,'Facility Detail'!S2368,'Facility Detail'!S2421,'Facility Detail'!S2474,'Facility Detail'!S2527,'Facility Detail'!S2580,'Facility Detail'!S2632,'Facility Detail'!S2684,'Facility Detail'!S2737,'Facility Detail'!S2925,'Facility Detail'!S2978,'Facility Detail'!S3031,'Facility Detail'!S3083,'Facility Detail'!S3211,'Facility Detail'!S196,'Facility Detail'!S1439)</f>
        <v>0</v>
      </c>
      <c r="N18" s="55">
        <f>-1*SUM('Facility Detail'!T89,'Facility Detail'!T142,'Facility Detail'!T239,'Facility Detail'!T292,'Facility Detail'!T345,'Facility Detail'!T398,'Facility Detail'!T451,'Facility Detail'!T504,'Facility Detail'!T556,'Facility Detail'!T608,'Facility Detail'!T745,'Facility Detail'!T799,'Facility Detail'!T852,'Facility Detail'!T946,'Facility Detail'!T1040,'Facility Detail'!T1093,'Facility Detail'!T1146,'Facility Detail'!T1199,'Facility Detail'!T1252,'Facility Detail'!T1298,'Facility Detail'!T1386,'Facility Detail'!T1484,'Facility Detail'!T1579,'Facility Detail'!T1632,'Facility Detail'!T1686,'Facility Detail'!T1740,'Facility Detail'!T1834,'Facility Detail'!T1888,'Facility Detail'!T1941,'Facility Detail'!T2077,'Facility Detail'!T2129,'Facility Detail'!T2264,'Facility Detail'!T2316,'Facility Detail'!T2368,'Facility Detail'!T2421,'Facility Detail'!T2474,'Facility Detail'!T2527,'Facility Detail'!T2580,'Facility Detail'!T2632,'Facility Detail'!T2684,'Facility Detail'!T2737,'Facility Detail'!T2925,'Facility Detail'!T2978,'Facility Detail'!T3031,'Facility Detail'!T3083,'Facility Detail'!T3211,'Facility Detail'!T196,'Facility Detail'!T1439)</f>
        <v>0</v>
      </c>
      <c r="O18" s="55">
        <f>-1*SUM('Facility Detail'!U89,'Facility Detail'!U142,'Facility Detail'!U239,'Facility Detail'!U292,'Facility Detail'!U345,'Facility Detail'!U398,'Facility Detail'!U451,'Facility Detail'!U504,'Facility Detail'!U556,'Facility Detail'!U608,'Facility Detail'!U745,'Facility Detail'!U799,'Facility Detail'!U852,'Facility Detail'!U946,'Facility Detail'!U1040,'Facility Detail'!U1093,'Facility Detail'!U1146,'Facility Detail'!U1199,'Facility Detail'!U1252,'Facility Detail'!U1298,'Facility Detail'!U1386,'Facility Detail'!U1484,'Facility Detail'!U1579,'Facility Detail'!U1632,'Facility Detail'!U1686,'Facility Detail'!U1740,'Facility Detail'!U1834,'Facility Detail'!U1888,'Facility Detail'!U1941,'Facility Detail'!U2077,'Facility Detail'!U2129,'Facility Detail'!U2264,'Facility Detail'!U2316,'Facility Detail'!U2368,'Facility Detail'!U2421,'Facility Detail'!U2474,'Facility Detail'!U2527,'Facility Detail'!U2580,'Facility Detail'!U2632,'Facility Detail'!U2684,'Facility Detail'!U2737,'Facility Detail'!U2925,'Facility Detail'!U2978,'Facility Detail'!U3031,'Facility Detail'!U3083,'Facility Detail'!U3211,'Facility Detail'!U196,'Facility Detail'!U1439)</f>
        <v>0</v>
      </c>
    </row>
    <row r="19" spans="1:15">
      <c r="A19" s="65" t="str">
        <f>'Facility Detail'!G90</f>
        <v>Bonus Incentives Not Realized</v>
      </c>
      <c r="B19" s="52"/>
      <c r="C19" s="190">
        <f>-1*SUM('Facility Detail'!I90,'Facility Detail'!I143,'Facility Detail'!I240,'Facility Detail'!I293,'Facility Detail'!I346,'Facility Detail'!I399,'Facility Detail'!I452,'Facility Detail'!I505,'Facility Detail'!I557,'Facility Detail'!I609,'Facility Detail'!I746,'Facility Detail'!I800,'Facility Detail'!I853,'Facility Detail'!I947,'Facility Detail'!I1041,'Facility Detail'!I1094,'Facility Detail'!I1147,'Facility Detail'!I1200,'Facility Detail'!I1253,'Facility Detail'!I1299,'Facility Detail'!I1387,'Facility Detail'!I1485,'Facility Detail'!I1580,'Facility Detail'!I1633,'Facility Detail'!I1687,'Facility Detail'!I1741,'Facility Detail'!I1835,'Facility Detail'!I1889,'Facility Detail'!I1942,'Facility Detail'!I2078,'Facility Detail'!I2130,'Facility Detail'!I2265,'Facility Detail'!I2317,'Facility Detail'!I2369,'Facility Detail'!I2422,'Facility Detail'!I2475,'Facility Detail'!I2528,'Facility Detail'!I2581,'Facility Detail'!I2633,'Facility Detail'!I2685,'Facility Detail'!I2738,'Facility Detail'!I2926,'Facility Detail'!I2979,'Facility Detail'!I3032,'Facility Detail'!I3084,'Facility Detail'!I3212,'Facility Detail'!I197,'Facility Detail'!I1440)</f>
        <v>0</v>
      </c>
      <c r="D19" s="190">
        <f>-1*SUM('Facility Detail'!J90,'Facility Detail'!J143,'Facility Detail'!J240,'Facility Detail'!J293,'Facility Detail'!J346,'Facility Detail'!J399,'Facility Detail'!J452,'Facility Detail'!J505,'Facility Detail'!J557,'Facility Detail'!J609,'Facility Detail'!J746,'Facility Detail'!J800,'Facility Detail'!J853,'Facility Detail'!J947,'Facility Detail'!J1041,'Facility Detail'!J1094,'Facility Detail'!J1147,'Facility Detail'!J1200,'Facility Detail'!J1253,'Facility Detail'!J1299,'Facility Detail'!J1387,'Facility Detail'!J1485,'Facility Detail'!J1580,'Facility Detail'!J1633,'Facility Detail'!J1687,'Facility Detail'!J1741,'Facility Detail'!J1835,'Facility Detail'!J1889,'Facility Detail'!J1942,'Facility Detail'!J2078,'Facility Detail'!J2130,'Facility Detail'!J2265,'Facility Detail'!J2317,'Facility Detail'!J2369,'Facility Detail'!J2422,'Facility Detail'!J2475,'Facility Detail'!J2528,'Facility Detail'!J2581,'Facility Detail'!J2633,'Facility Detail'!J2685,'Facility Detail'!J2738,'Facility Detail'!J2926,'Facility Detail'!J2979,'Facility Detail'!J3032,'Facility Detail'!J3084,'Facility Detail'!J3212,'Facility Detail'!J197,'Facility Detail'!J1440)</f>
        <v>0</v>
      </c>
      <c r="E19" s="190">
        <f>-1*SUM('Facility Detail'!K90,'Facility Detail'!K143,'Facility Detail'!K240,'Facility Detail'!K293,'Facility Detail'!K346,'Facility Detail'!K399,'Facility Detail'!K452,'Facility Detail'!K505,'Facility Detail'!K557,'Facility Detail'!K609,'Facility Detail'!K746,'Facility Detail'!K800,'Facility Detail'!K853,'Facility Detail'!K947,'Facility Detail'!K1041,'Facility Detail'!K1094,'Facility Detail'!K1147,'Facility Detail'!K1200,'Facility Detail'!K1253,'Facility Detail'!K1299,'Facility Detail'!K1387,'Facility Detail'!K1485,'Facility Detail'!K1580,'Facility Detail'!K1633,'Facility Detail'!K1687,'Facility Detail'!K1741,'Facility Detail'!K1835,'Facility Detail'!K1889,'Facility Detail'!K1942,'Facility Detail'!K2078,'Facility Detail'!K2130,'Facility Detail'!K2265,'Facility Detail'!K2317,'Facility Detail'!K2369,'Facility Detail'!K2422,'Facility Detail'!K2475,'Facility Detail'!K2528,'Facility Detail'!K2581,'Facility Detail'!K2633,'Facility Detail'!K2685,'Facility Detail'!K2738,'Facility Detail'!K2926,'Facility Detail'!K2979,'Facility Detail'!K3032,'Facility Detail'!K3084,'Facility Detail'!K3212,'Facility Detail'!K197,'Facility Detail'!K1440)</f>
        <v>0</v>
      </c>
      <c r="F19" s="190">
        <f>-1*SUM('Facility Detail'!L90,'Facility Detail'!L143,'Facility Detail'!L240,'Facility Detail'!L293,'Facility Detail'!L346,'Facility Detail'!L399,'Facility Detail'!L452,'Facility Detail'!L505,'Facility Detail'!L557,'Facility Detail'!L609,'Facility Detail'!L746,'Facility Detail'!L800,'Facility Detail'!L853,'Facility Detail'!L947,'Facility Detail'!L1041,'Facility Detail'!L1094,'Facility Detail'!L1147,'Facility Detail'!L1200,'Facility Detail'!L1253,'Facility Detail'!L1299,'Facility Detail'!L1387,'Facility Detail'!L1485,'Facility Detail'!L1580,'Facility Detail'!L1633,'Facility Detail'!L1687,'Facility Detail'!L1741,'Facility Detail'!L1835,'Facility Detail'!L1889,'Facility Detail'!L1942,'Facility Detail'!L2078,'Facility Detail'!L2130,'Facility Detail'!L2265,'Facility Detail'!L2317,'Facility Detail'!L2369,'Facility Detail'!L2422,'Facility Detail'!L2475,'Facility Detail'!L2528,'Facility Detail'!L2581,'Facility Detail'!L2633,'Facility Detail'!L2685,'Facility Detail'!L2738,'Facility Detail'!L2926,'Facility Detail'!L2979,'Facility Detail'!L3032,'Facility Detail'!L3084,'Facility Detail'!L3212,'Facility Detail'!L197,'Facility Detail'!L1440)</f>
        <v>0</v>
      </c>
      <c r="G19" s="190">
        <f>-1*SUM('Facility Detail'!M90,'Facility Detail'!M143,'Facility Detail'!M240,'Facility Detail'!M293,'Facility Detail'!M346,'Facility Detail'!M399,'Facility Detail'!M452,'Facility Detail'!M505,'Facility Detail'!M557,'Facility Detail'!M609,'Facility Detail'!M746,'Facility Detail'!M800,'Facility Detail'!M853,'Facility Detail'!M947,'Facility Detail'!M1041,'Facility Detail'!M1094,'Facility Detail'!M1147,'Facility Detail'!M1200,'Facility Detail'!M1253,'Facility Detail'!M1299,'Facility Detail'!M1387,'Facility Detail'!M1485,'Facility Detail'!M1580,'Facility Detail'!M1633,'Facility Detail'!M1687,'Facility Detail'!M1741,'Facility Detail'!M1835,'Facility Detail'!M1889,'Facility Detail'!M1942,'Facility Detail'!M2078,'Facility Detail'!M2130,'Facility Detail'!M2265,'Facility Detail'!M2317,'Facility Detail'!M2369,'Facility Detail'!M2422,'Facility Detail'!M2475,'Facility Detail'!M2528,'Facility Detail'!M2581,'Facility Detail'!M2633,'Facility Detail'!M2685,'Facility Detail'!M2738,'Facility Detail'!M2926,'Facility Detail'!M2979,'Facility Detail'!M3032,'Facility Detail'!M3084,'Facility Detail'!M3212,'Facility Detail'!M197,'Facility Detail'!M1440)</f>
        <v>0</v>
      </c>
      <c r="H19" s="190">
        <f>-1*SUM('Facility Detail'!N90,'Facility Detail'!N143,'Facility Detail'!N240,'Facility Detail'!N293,'Facility Detail'!N346,'Facility Detail'!N399,'Facility Detail'!N452,'Facility Detail'!N505,'Facility Detail'!N557,'Facility Detail'!N609,'Facility Detail'!N746,'Facility Detail'!N800,'Facility Detail'!N853,'Facility Detail'!N947,'Facility Detail'!N1041,'Facility Detail'!N1094,'Facility Detail'!N1147,'Facility Detail'!N1200,'Facility Detail'!N1253,'Facility Detail'!N1299,'Facility Detail'!N1387,'Facility Detail'!N1485,'Facility Detail'!N1580,'Facility Detail'!N1633,'Facility Detail'!N1687,'Facility Detail'!N1741,'Facility Detail'!N1835,'Facility Detail'!N1889,'Facility Detail'!N1942,'Facility Detail'!N2078,'Facility Detail'!N2130,'Facility Detail'!N2265,'Facility Detail'!N2317,'Facility Detail'!N2369,'Facility Detail'!N2422,'Facility Detail'!N2475,'Facility Detail'!N2528,'Facility Detail'!N2581,'Facility Detail'!N2633,'Facility Detail'!N2685,'Facility Detail'!N2738,'Facility Detail'!N2926,'Facility Detail'!N2979,'Facility Detail'!N3032,'Facility Detail'!N3084,'Facility Detail'!N3212,'Facility Detail'!N197,'Facility Detail'!N1440)</f>
        <v>0</v>
      </c>
      <c r="I19" s="190">
        <f>-1*SUM('Facility Detail'!O90,'Facility Detail'!O143,'Facility Detail'!O240,'Facility Detail'!O293,'Facility Detail'!O346,'Facility Detail'!O399,'Facility Detail'!O452,'Facility Detail'!O505,'Facility Detail'!O557,'Facility Detail'!O609,'Facility Detail'!O746,'Facility Detail'!O800,'Facility Detail'!O853,'Facility Detail'!O947,'Facility Detail'!O1041,'Facility Detail'!O1094,'Facility Detail'!O1147,'Facility Detail'!O1200,'Facility Detail'!O1253,'Facility Detail'!O1299,'Facility Detail'!O1387,'Facility Detail'!O1485,'Facility Detail'!O1580,'Facility Detail'!O1633,'Facility Detail'!O1687,'Facility Detail'!O1741,'Facility Detail'!O1835,'Facility Detail'!O1889,'Facility Detail'!O1942,'Facility Detail'!O2078,'Facility Detail'!O2130,'Facility Detail'!O2265,'Facility Detail'!O2317,'Facility Detail'!O2369,'Facility Detail'!O2422,'Facility Detail'!O2475,'Facility Detail'!O2528,'Facility Detail'!O2581,'Facility Detail'!O2633,'Facility Detail'!O2685,'Facility Detail'!O2738,'Facility Detail'!O2926,'Facility Detail'!O2979,'Facility Detail'!O3032,'Facility Detail'!O3084,'Facility Detail'!O3212,'Facility Detail'!O197,'Facility Detail'!O1440)</f>
        <v>0</v>
      </c>
      <c r="J19" s="190">
        <f>-1*SUM('Facility Detail'!P90,'Facility Detail'!P143,'Facility Detail'!P240,'Facility Detail'!P293,'Facility Detail'!P346,'Facility Detail'!P399,'Facility Detail'!P452,'Facility Detail'!P505,'Facility Detail'!P557,'Facility Detail'!P609,'Facility Detail'!P746,'Facility Detail'!P800,'Facility Detail'!P853,'Facility Detail'!P947,'Facility Detail'!P1041,'Facility Detail'!P1094,'Facility Detail'!P1147,'Facility Detail'!P1200,'Facility Detail'!P1253,'Facility Detail'!P1299,'Facility Detail'!P1387,'Facility Detail'!P1485,'Facility Detail'!P1580,'Facility Detail'!P1633,'Facility Detail'!P1687,'Facility Detail'!P1741,'Facility Detail'!P1835,'Facility Detail'!P1889,'Facility Detail'!P1942,'Facility Detail'!P2078,'Facility Detail'!P2130,'Facility Detail'!P2265,'Facility Detail'!P2317,'Facility Detail'!P2369,'Facility Detail'!P2422,'Facility Detail'!P2475,'Facility Detail'!P2528,'Facility Detail'!P2581,'Facility Detail'!P2633,'Facility Detail'!P2685,'Facility Detail'!P2738,'Facility Detail'!P2926,'Facility Detail'!P2979,'Facility Detail'!P3032,'Facility Detail'!P3084,'Facility Detail'!P3212,'Facility Detail'!P197,'Facility Detail'!P1440)</f>
        <v>0</v>
      </c>
      <c r="K19" s="190">
        <f>-1*SUM('Facility Detail'!Q90,'Facility Detail'!Q143,'Facility Detail'!Q240,'Facility Detail'!Q293,'Facility Detail'!Q346,'Facility Detail'!Q399,'Facility Detail'!Q452,'Facility Detail'!Q505,'Facility Detail'!Q557,'Facility Detail'!Q609,'Facility Detail'!Q746,'Facility Detail'!Q800,'Facility Detail'!Q853,'Facility Detail'!Q947,'Facility Detail'!Q1041,'Facility Detail'!Q1094,'Facility Detail'!Q1147,'Facility Detail'!Q1200,'Facility Detail'!Q1253,'Facility Detail'!Q1299,'Facility Detail'!Q1387,'Facility Detail'!Q1485,'Facility Detail'!Q1580,'Facility Detail'!Q1633,'Facility Detail'!Q1687,'Facility Detail'!Q1741,'Facility Detail'!Q1835,'Facility Detail'!Q1889,'Facility Detail'!Q1942,'Facility Detail'!Q2078,'Facility Detail'!Q2130,'Facility Detail'!Q2265,'Facility Detail'!Q2317,'Facility Detail'!Q2369,'Facility Detail'!Q2422,'Facility Detail'!Q2475,'Facility Detail'!Q2528,'Facility Detail'!Q2581,'Facility Detail'!Q2633,'Facility Detail'!Q2685,'Facility Detail'!Q2738,'Facility Detail'!Q2926,'Facility Detail'!Q2979,'Facility Detail'!Q3032,'Facility Detail'!Q3084,'Facility Detail'!Q3212,'Facility Detail'!Q197,'Facility Detail'!Q1440)</f>
        <v>0</v>
      </c>
      <c r="L19" s="190">
        <f>-1*SUM('Facility Detail'!R90,'Facility Detail'!R143,'Facility Detail'!R240,'Facility Detail'!R293,'Facility Detail'!R346,'Facility Detail'!R399,'Facility Detail'!R452,'Facility Detail'!R505,'Facility Detail'!R557,'Facility Detail'!R609,'Facility Detail'!R746,'Facility Detail'!R800,'Facility Detail'!R853,'Facility Detail'!R947,'Facility Detail'!R1041,'Facility Detail'!R1094,'Facility Detail'!R1147,'Facility Detail'!R1200,'Facility Detail'!R1253,'Facility Detail'!R1299,'Facility Detail'!R1387,'Facility Detail'!R1485,'Facility Detail'!R1580,'Facility Detail'!R1633,'Facility Detail'!R1687,'Facility Detail'!R1741,'Facility Detail'!R1835,'Facility Detail'!R1889,'Facility Detail'!R1942,'Facility Detail'!R2078,'Facility Detail'!R2130,'Facility Detail'!R2265,'Facility Detail'!R2317,'Facility Detail'!R2369,'Facility Detail'!R2422,'Facility Detail'!R2475,'Facility Detail'!R2528,'Facility Detail'!R2581,'Facility Detail'!R2633,'Facility Detail'!R2685,'Facility Detail'!R2738,'Facility Detail'!R2926,'Facility Detail'!R2979,'Facility Detail'!R3032,'Facility Detail'!R3084,'Facility Detail'!R3212,'Facility Detail'!R197,'Facility Detail'!R1440)</f>
        <v>0</v>
      </c>
      <c r="M19" s="190">
        <f>-1*SUM('Facility Detail'!S90,'Facility Detail'!S143,'Facility Detail'!S240,'Facility Detail'!S293,'Facility Detail'!S346,'Facility Detail'!S399,'Facility Detail'!S452,'Facility Detail'!S505,'Facility Detail'!S557,'Facility Detail'!S609,'Facility Detail'!S746,'Facility Detail'!S800,'Facility Detail'!S853,'Facility Detail'!S947,'Facility Detail'!S1041,'Facility Detail'!S1094,'Facility Detail'!S1147,'Facility Detail'!S1200,'Facility Detail'!S1253,'Facility Detail'!S1299,'Facility Detail'!S1387,'Facility Detail'!S1485,'Facility Detail'!S1580,'Facility Detail'!S1633,'Facility Detail'!S1687,'Facility Detail'!S1741,'Facility Detail'!S1835,'Facility Detail'!S1889,'Facility Detail'!S1942,'Facility Detail'!S2078,'Facility Detail'!S2130,'Facility Detail'!S2265,'Facility Detail'!S2317,'Facility Detail'!S2369,'Facility Detail'!S2422,'Facility Detail'!S2475,'Facility Detail'!S2528,'Facility Detail'!S2581,'Facility Detail'!S2633,'Facility Detail'!S2685,'Facility Detail'!S2738,'Facility Detail'!S2926,'Facility Detail'!S2979,'Facility Detail'!S3032,'Facility Detail'!S3084,'Facility Detail'!S3212,'Facility Detail'!S197,'Facility Detail'!S1440)</f>
        <v>0</v>
      </c>
      <c r="N19" s="190">
        <f>-1*SUM('Facility Detail'!T90,'Facility Detail'!T143,'Facility Detail'!T240,'Facility Detail'!T293,'Facility Detail'!T346,'Facility Detail'!T399,'Facility Detail'!T452,'Facility Detail'!T505,'Facility Detail'!T557,'Facility Detail'!T609,'Facility Detail'!T746,'Facility Detail'!T800,'Facility Detail'!T853,'Facility Detail'!T947,'Facility Detail'!T1041,'Facility Detail'!T1094,'Facility Detail'!T1147,'Facility Detail'!T1200,'Facility Detail'!T1253,'Facility Detail'!T1299,'Facility Detail'!T1387,'Facility Detail'!T1485,'Facility Detail'!T1580,'Facility Detail'!T1633,'Facility Detail'!T1687,'Facility Detail'!T1741,'Facility Detail'!T1835,'Facility Detail'!T1889,'Facility Detail'!T1942,'Facility Detail'!T2078,'Facility Detail'!T2130,'Facility Detail'!T2265,'Facility Detail'!T2317,'Facility Detail'!T2369,'Facility Detail'!T2422,'Facility Detail'!T2475,'Facility Detail'!T2528,'Facility Detail'!T2581,'Facility Detail'!T2633,'Facility Detail'!T2685,'Facility Detail'!T2738,'Facility Detail'!T2926,'Facility Detail'!T2979,'Facility Detail'!T3032,'Facility Detail'!T3084,'Facility Detail'!T3212,'Facility Detail'!T197,'Facility Detail'!T1440)</f>
        <v>0</v>
      </c>
      <c r="O19" s="190">
        <f>-1*SUM('Facility Detail'!U90,'Facility Detail'!U143,'Facility Detail'!U240,'Facility Detail'!U293,'Facility Detail'!U346,'Facility Detail'!U399,'Facility Detail'!U452,'Facility Detail'!U505,'Facility Detail'!U557,'Facility Detail'!U609,'Facility Detail'!U746,'Facility Detail'!U800,'Facility Detail'!U853,'Facility Detail'!U947,'Facility Detail'!U1041,'Facility Detail'!U1094,'Facility Detail'!U1147,'Facility Detail'!U1200,'Facility Detail'!U1253,'Facility Detail'!U1299,'Facility Detail'!U1387,'Facility Detail'!U1485,'Facility Detail'!U1580,'Facility Detail'!U1633,'Facility Detail'!U1687,'Facility Detail'!U1741,'Facility Detail'!U1835,'Facility Detail'!U1889,'Facility Detail'!U1942,'Facility Detail'!U2078,'Facility Detail'!U2130,'Facility Detail'!U2265,'Facility Detail'!U2317,'Facility Detail'!U2369,'Facility Detail'!U2422,'Facility Detail'!U2475,'Facility Detail'!U2528,'Facility Detail'!U2581,'Facility Detail'!U2633,'Facility Detail'!U2685,'Facility Detail'!U2738,'Facility Detail'!U2926,'Facility Detail'!U2979,'Facility Detail'!U3032,'Facility Detail'!U3084,'Facility Detail'!U3212,'Facility Detail'!U197,'Facility Detail'!U1440)</f>
        <v>0</v>
      </c>
    </row>
    <row r="20" spans="1:15">
      <c r="A20" s="189" t="str">
        <f>'Facility Detail'!G91</f>
        <v>Total Sold / Transferred / Unrealized</v>
      </c>
      <c r="B20" s="147"/>
      <c r="C20" s="19">
        <f t="shared" ref="C20" si="16">SUM(C17:C19)</f>
        <v>0</v>
      </c>
      <c r="D20" s="19">
        <f t="shared" ref="D20:I20" si="17">SUM(D17:D19)</f>
        <v>0</v>
      </c>
      <c r="E20" s="19">
        <f t="shared" si="17"/>
        <v>0</v>
      </c>
      <c r="F20" s="19">
        <f t="shared" si="17"/>
        <v>0</v>
      </c>
      <c r="G20" s="111">
        <f t="shared" si="17"/>
        <v>0</v>
      </c>
      <c r="H20" s="111">
        <f t="shared" si="17"/>
        <v>0</v>
      </c>
      <c r="I20" s="111">
        <f t="shared" si="17"/>
        <v>0</v>
      </c>
      <c r="J20" s="111">
        <f t="shared" ref="J20:K20" si="18">SUM(J17:J19)</f>
        <v>0</v>
      </c>
      <c r="K20" s="111">
        <f t="shared" si="18"/>
        <v>0</v>
      </c>
      <c r="L20" s="111">
        <f t="shared" ref="L20:M20" si="19">SUM(L17:L19)</f>
        <v>0</v>
      </c>
      <c r="M20" s="111">
        <f t="shared" si="19"/>
        <v>0</v>
      </c>
      <c r="N20" s="111">
        <f t="shared" ref="N20:O20" si="20">SUM(N17:N19)</f>
        <v>0</v>
      </c>
      <c r="O20" s="111">
        <f t="shared" si="20"/>
        <v>0</v>
      </c>
    </row>
    <row r="21" spans="1:15">
      <c r="B21" s="14"/>
      <c r="C21" s="14"/>
      <c r="D21" s="14"/>
      <c r="E21" s="14"/>
      <c r="F21" s="112"/>
      <c r="G21" s="112"/>
      <c r="H21" s="112"/>
      <c r="I21" s="112"/>
      <c r="J21" s="112"/>
      <c r="K21" s="112"/>
      <c r="L21" s="112"/>
      <c r="M21" s="112"/>
      <c r="N21" s="112"/>
      <c r="O21" s="112"/>
    </row>
    <row r="22" spans="1:15" ht="18.75">
      <c r="A22" s="9" t="s">
        <v>100</v>
      </c>
      <c r="B22" s="2">
        <v>2010</v>
      </c>
      <c r="C22" s="2">
        <f>C6</f>
        <v>2011</v>
      </c>
      <c r="D22" s="2">
        <f t="shared" ref="D22:M22" si="21">D6</f>
        <v>2012</v>
      </c>
      <c r="E22" s="2">
        <f t="shared" si="21"/>
        <v>2013</v>
      </c>
      <c r="F22" s="2">
        <f t="shared" si="21"/>
        <v>2014</v>
      </c>
      <c r="G22" s="2">
        <f t="shared" si="21"/>
        <v>2015</v>
      </c>
      <c r="H22" s="2">
        <f t="shared" si="21"/>
        <v>2016</v>
      </c>
      <c r="I22" s="2">
        <f t="shared" si="21"/>
        <v>2017</v>
      </c>
      <c r="J22" s="2">
        <f t="shared" si="21"/>
        <v>2018</v>
      </c>
      <c r="K22" s="2">
        <f t="shared" si="21"/>
        <v>2019</v>
      </c>
      <c r="L22" s="2">
        <f t="shared" si="21"/>
        <v>2020</v>
      </c>
      <c r="M22" s="2">
        <f t="shared" si="21"/>
        <v>2021</v>
      </c>
      <c r="N22" s="2">
        <f t="shared" ref="N22:O22" si="22">N6</f>
        <v>2022</v>
      </c>
      <c r="O22" s="2">
        <f t="shared" si="22"/>
        <v>2023</v>
      </c>
    </row>
    <row r="23" spans="1:15">
      <c r="A23" s="81" t="str">
        <f xml:space="preserve"> 'Facility Detail'!$G$3260 &amp; " Surplus Applied to " &amp; ( 'Facility Detail'!$G$3260 + 1 )</f>
        <v>2011 Surplus Applied to 2012</v>
      </c>
      <c r="B23" s="129"/>
      <c r="C23" s="248">
        <f ca="1">-1*SUMIF('Facility Detail'!$G:$T,$A23,'Facility Detail'!I:I)</f>
        <v>-104826</v>
      </c>
      <c r="D23" s="250">
        <f ca="1">SUMIF('Facility Detail'!$G:$T,$A23,'Facility Detail'!J:J)</f>
        <v>104826</v>
      </c>
      <c r="E23" s="106"/>
      <c r="F23" s="106"/>
      <c r="G23" s="106"/>
      <c r="H23" s="106"/>
      <c r="I23" s="217"/>
      <c r="J23" s="217"/>
      <c r="K23" s="217"/>
      <c r="L23" s="217"/>
      <c r="M23" s="217"/>
      <c r="N23" s="217"/>
      <c r="O23" s="47"/>
    </row>
    <row r="24" spans="1:15">
      <c r="A24" s="81" t="str">
        <f xml:space="preserve"> ( 'Facility Detail'!$G$3260 + 1 ) &amp; " Surplus Applied to " &amp; ( 'Facility Detail'!$G$3260 )</f>
        <v>2012 Surplus Applied to 2011</v>
      </c>
      <c r="B24" s="130"/>
      <c r="C24" s="191">
        <f ca="1">SUMIF('Facility Detail'!$G:$T,$A24,'Facility Detail'!I:I)</f>
        <v>0</v>
      </c>
      <c r="D24" s="249">
        <f ca="1">SUMIF('Facility Detail'!$G:$T,$A24,'Facility Detail'!J:J)</f>
        <v>0</v>
      </c>
      <c r="E24" s="60"/>
      <c r="F24" s="251"/>
      <c r="G24" s="60"/>
      <c r="H24" s="60"/>
      <c r="I24" s="218"/>
      <c r="J24" s="218"/>
      <c r="K24" s="218"/>
      <c r="L24" s="218"/>
      <c r="M24" s="218"/>
      <c r="N24" s="218"/>
      <c r="O24" s="128"/>
    </row>
    <row r="25" spans="1:15">
      <c r="A25" s="81" t="str">
        <f xml:space="preserve"> ( 'Facility Detail'!$G$3260 + 1 ) &amp; " Surplus Applied to " &amp; ( 'Facility Detail'!$G$3260 + 2 )</f>
        <v>2012 Surplus Applied to 2013</v>
      </c>
      <c r="B25" s="48"/>
      <c r="C25" s="192"/>
      <c r="D25" s="249">
        <f ca="1">-1*SUMIF('Facility Detail'!$G:$T,$A25,'Facility Detail'!J:J)</f>
        <v>-92679</v>
      </c>
      <c r="E25" s="191">
        <f ca="1">SUMIF('Facility Detail'!$G:$T,$A25,'Facility Detail'!K:K)</f>
        <v>92679</v>
      </c>
      <c r="F25" s="252"/>
      <c r="G25" s="251"/>
      <c r="H25" s="60"/>
      <c r="I25" s="218"/>
      <c r="J25" s="218"/>
      <c r="K25" s="218"/>
      <c r="L25" s="218"/>
      <c r="M25" s="218"/>
      <c r="N25" s="218"/>
      <c r="O25" s="128"/>
    </row>
    <row r="26" spans="1:15">
      <c r="A26" s="81" t="str">
        <f xml:space="preserve"> ( 'Facility Detail'!$G$3260 + 2 ) &amp; " Surplus Applied to " &amp; ( 'Facility Detail'!$G$3260 + 1 )</f>
        <v>2013 Surplus Applied to 2012</v>
      </c>
      <c r="B26" s="48"/>
      <c r="C26" s="107"/>
      <c r="D26" s="191"/>
      <c r="E26" s="249">
        <f ca="1">SUMIF('Facility Detail'!$G:$T,$A26,'Facility Detail'!K:K)</f>
        <v>0</v>
      </c>
      <c r="F26" s="60"/>
      <c r="G26" s="252"/>
      <c r="H26" s="252"/>
      <c r="I26" s="218"/>
      <c r="J26" s="218"/>
      <c r="K26" s="218"/>
      <c r="L26" s="218"/>
      <c r="M26" s="218"/>
      <c r="N26" s="218"/>
      <c r="O26" s="128"/>
    </row>
    <row r="27" spans="1:15">
      <c r="A27" s="81" t="str">
        <f xml:space="preserve"> ( 'Facility Detail'!$G$3260 + 2 ) &amp; " Surplus Applied to " &amp; ( 'Facility Detail'!$G$3260 + 3 )</f>
        <v>2013 Surplus Applied to 2014</v>
      </c>
      <c r="B27" s="48"/>
      <c r="C27" s="107"/>
      <c r="D27" s="60"/>
      <c r="E27" s="249">
        <f ca="1">-1*SUMIF('Facility Detail'!$G:$T,$A27,'Facility Detail'!K:K)</f>
        <v>-79121</v>
      </c>
      <c r="F27" s="191">
        <f ca="1">SUMIF('Facility Detail'!$G:$T,$A27,'Facility Detail'!L:L)</f>
        <v>79121</v>
      </c>
      <c r="G27" s="60"/>
      <c r="H27" s="118"/>
      <c r="I27" s="146"/>
      <c r="J27" s="146"/>
      <c r="K27" s="146"/>
      <c r="L27" s="146"/>
      <c r="M27" s="146"/>
      <c r="N27" s="146"/>
      <c r="O27" s="122"/>
    </row>
    <row r="28" spans="1:15">
      <c r="A28" s="81" t="str">
        <f xml:space="preserve"> ( 'Facility Detail'!$G$3260 + 3 ) &amp; " Surplus Applied to " &amp; ( 'Facility Detail'!$G$3260 + 2 )</f>
        <v>2014 Surplus Applied to 2013</v>
      </c>
      <c r="B28" s="48"/>
      <c r="C28" s="107"/>
      <c r="D28" s="60"/>
      <c r="E28" s="191"/>
      <c r="F28" s="249">
        <f ca="1">SUMIF('Facility Detail'!$G:$T,$A28,'Facility Detail'!L:L)</f>
        <v>0</v>
      </c>
      <c r="G28" s="60"/>
      <c r="H28" s="118"/>
      <c r="I28" s="146"/>
      <c r="J28" s="146"/>
      <c r="K28" s="146"/>
      <c r="L28" s="146"/>
      <c r="M28" s="146"/>
      <c r="N28" s="146"/>
      <c r="O28" s="122"/>
    </row>
    <row r="29" spans="1:15">
      <c r="A29" s="81" t="str">
        <f xml:space="preserve"> ( 'Facility Detail'!$G$3260 + 3 ) &amp; " Surplus Applied to " &amp; ( 'Facility Detail'!$G$3260 + 4 )</f>
        <v>2014 Surplus Applied to 2015</v>
      </c>
      <c r="B29" s="48"/>
      <c r="C29" s="107"/>
      <c r="D29" s="60"/>
      <c r="E29" s="60"/>
      <c r="F29" s="249">
        <f ca="1">-SUMIF('Facility Detail'!$G:$T,$A29,'Facility Detail'!L:L)</f>
        <v>-72004</v>
      </c>
      <c r="G29" s="191">
        <f ca="1">SUMIF('Facility Detail'!$G:$T,$A29,'Facility Detail'!M:M)</f>
        <v>72004</v>
      </c>
      <c r="H29" s="252"/>
      <c r="I29" s="146"/>
      <c r="J29" s="146"/>
      <c r="K29" s="146"/>
      <c r="L29" s="146"/>
      <c r="M29" s="146"/>
      <c r="N29" s="146"/>
      <c r="O29" s="122"/>
    </row>
    <row r="30" spans="1:15">
      <c r="A30" s="81" t="str">
        <f xml:space="preserve"> ( 'Facility Detail'!$G$3260 + 4 ) &amp; " Surplus Applied to " &amp; ( 'Facility Detail'!$G$3260 + 3 )</f>
        <v>2015 Surplus Applied to 2014</v>
      </c>
      <c r="B30" s="48"/>
      <c r="C30" s="107"/>
      <c r="D30" s="60"/>
      <c r="E30" s="60"/>
      <c r="F30" s="191">
        <f ca="1">SUMIF('Facility Detail'!$G:$T,$A30,'Facility Detail'!L:L)</f>
        <v>0</v>
      </c>
      <c r="G30" s="249">
        <f ca="1">SUMIF('Facility Detail'!$G:$T,$A30,'Facility Detail'!M:M)</f>
        <v>0</v>
      </c>
      <c r="H30" s="252"/>
      <c r="I30" s="146"/>
      <c r="J30" s="146"/>
      <c r="K30" s="146"/>
      <c r="L30" s="146"/>
      <c r="M30" s="146"/>
      <c r="N30" s="146"/>
      <c r="O30" s="122"/>
    </row>
    <row r="31" spans="1:15">
      <c r="A31" s="81" t="str">
        <f xml:space="preserve"> ( 'Facility Detail'!$G$3260 + 4 ) &amp; " Surplus Applied to " &amp; ( 'Facility Detail'!$G$3260 + 5 )</f>
        <v>2015 Surplus Applied to 2016</v>
      </c>
      <c r="B31" s="48"/>
      <c r="C31" s="107"/>
      <c r="D31" s="60"/>
      <c r="E31" s="60"/>
      <c r="F31" s="60"/>
      <c r="G31" s="249">
        <f ca="1">-1*SUMIF('Facility Detail'!$G:$T,$A31,'Facility Detail'!M:M)</f>
        <v>-219957</v>
      </c>
      <c r="H31" s="191">
        <f ca="1">SUMIF('Facility Detail'!$G:$T,$A31,'Facility Detail'!N:N)</f>
        <v>219957</v>
      </c>
      <c r="I31" s="146"/>
      <c r="J31" s="146"/>
      <c r="K31" s="146"/>
      <c r="L31" s="146"/>
      <c r="M31" s="146"/>
      <c r="N31" s="146"/>
      <c r="O31" s="122"/>
    </row>
    <row r="32" spans="1:15">
      <c r="A32" s="81" t="str">
        <f xml:space="preserve"> ( 'Facility Detail'!$G$3260 + 5 ) &amp; " Surplus Applied to " &amp; ( 'Facility Detail'!$G$3260 + 4 )</f>
        <v>2016 Surplus Applied to 2015</v>
      </c>
      <c r="B32" s="48"/>
      <c r="C32" s="107"/>
      <c r="D32" s="107"/>
      <c r="E32" s="107"/>
      <c r="F32" s="107"/>
      <c r="G32" s="191">
        <f ca="1">SUMIF('Facility Detail'!$G:$T,$A32,'Facility Detail'!M:M)</f>
        <v>0</v>
      </c>
      <c r="H32" s="249">
        <f ca="1">SUMIF('Facility Detail'!$G:$T,$A32,'Facility Detail'!N:N)</f>
        <v>0</v>
      </c>
      <c r="I32" s="146"/>
      <c r="J32" s="146"/>
      <c r="K32" s="146"/>
      <c r="L32" s="146"/>
      <c r="M32" s="146"/>
      <c r="N32" s="146"/>
      <c r="O32" s="122"/>
    </row>
    <row r="33" spans="1:15">
      <c r="A33" s="81" t="str">
        <f xml:space="preserve"> ( 'Facility Detail'!$G$3260 + 5 ) &amp; " Surplus Applied to " &amp; ( 'Facility Detail'!$G$3260 + 6 )</f>
        <v>2016 Surplus Applied to 2017</v>
      </c>
      <c r="B33" s="48"/>
      <c r="C33" s="107"/>
      <c r="D33" s="107"/>
      <c r="E33" s="107"/>
      <c r="F33" s="107"/>
      <c r="G33" s="116"/>
      <c r="H33" s="249">
        <f ca="1">-1*SUMIF('Facility Detail'!$G:$T,$A33,'Facility Detail'!N:N)</f>
        <v>-223773.40669669915</v>
      </c>
      <c r="I33" s="191">
        <f ca="1">SUMIF('Facility Detail'!$G:$T,$A33,'Facility Detail'!O:O)</f>
        <v>223773.40669669915</v>
      </c>
      <c r="J33" s="146"/>
      <c r="K33" s="146"/>
      <c r="L33" s="146"/>
      <c r="M33" s="146"/>
      <c r="N33" s="146"/>
      <c r="O33" s="122"/>
    </row>
    <row r="34" spans="1:15">
      <c r="A34" s="81" t="s">
        <v>167</v>
      </c>
      <c r="B34" s="48"/>
      <c r="C34" s="107"/>
      <c r="D34" s="107"/>
      <c r="E34" s="107"/>
      <c r="F34" s="107"/>
      <c r="G34" s="116"/>
      <c r="H34" s="191">
        <f ca="1">SUMIF('Facility Detail'!$G:$T,$A34,'Facility Detail'!N:N)</f>
        <v>0</v>
      </c>
      <c r="I34" s="249">
        <f ca="1">SUMIF('Facility Detail'!$G:$T,$A34,'Facility Detail'!O:O)</f>
        <v>0</v>
      </c>
      <c r="J34" s="146"/>
      <c r="K34" s="146"/>
      <c r="L34" s="146"/>
      <c r="M34" s="146"/>
      <c r="N34" s="146"/>
      <c r="O34" s="122"/>
    </row>
    <row r="35" spans="1:15">
      <c r="A35" s="81" t="s">
        <v>168</v>
      </c>
      <c r="B35" s="48"/>
      <c r="C35" s="107"/>
      <c r="D35" s="107"/>
      <c r="E35" s="107"/>
      <c r="F35" s="107"/>
      <c r="G35" s="116"/>
      <c r="H35" s="116"/>
      <c r="I35" s="249">
        <f ca="1">-1*SUMIF('Facility Detail'!$G:$T,$A35,'Facility Detail'!O:O)</f>
        <v>-145218</v>
      </c>
      <c r="J35" s="191">
        <f ca="1">SUMIF('Facility Detail'!$G:$T,$A35,'Facility Detail'!P:P)</f>
        <v>145218</v>
      </c>
      <c r="K35" s="146"/>
      <c r="L35" s="146"/>
      <c r="M35" s="146"/>
      <c r="N35" s="146"/>
      <c r="O35" s="122"/>
    </row>
    <row r="36" spans="1:15">
      <c r="A36" s="81" t="s">
        <v>185</v>
      </c>
      <c r="B36" s="48"/>
      <c r="C36" s="107"/>
      <c r="D36" s="107"/>
      <c r="E36" s="107"/>
      <c r="F36" s="107"/>
      <c r="G36" s="116"/>
      <c r="H36" s="116"/>
      <c r="I36" s="191"/>
      <c r="J36" s="249">
        <f ca="1">SUMIF('Facility Detail'!$G:$T,$A36,'Facility Detail'!P:P)</f>
        <v>0</v>
      </c>
      <c r="K36" s="146"/>
      <c r="L36" s="146"/>
      <c r="M36" s="146"/>
      <c r="N36" s="146"/>
      <c r="O36" s="122"/>
    </row>
    <row r="37" spans="1:15">
      <c r="A37" s="81" t="s">
        <v>186</v>
      </c>
      <c r="B37" s="48"/>
      <c r="C37" s="107"/>
      <c r="D37" s="107"/>
      <c r="E37" s="107"/>
      <c r="F37" s="107"/>
      <c r="G37" s="116"/>
      <c r="H37" s="116"/>
      <c r="I37" s="116"/>
      <c r="J37" s="249">
        <f ca="1">-1*SUMIF('Facility Detail'!$G:$T,$A37,'Facility Detail'!P:P)</f>
        <v>-69298</v>
      </c>
      <c r="K37" s="191">
        <f ca="1">SUMIF('Facility Detail'!$G:$T,$A37,'Facility Detail'!Q:Q)</f>
        <v>69298</v>
      </c>
      <c r="L37" s="146"/>
      <c r="M37" s="146"/>
      <c r="N37" s="146"/>
      <c r="O37" s="122"/>
    </row>
    <row r="38" spans="1:15">
      <c r="A38" s="81" t="s">
        <v>187</v>
      </c>
      <c r="B38" s="48"/>
      <c r="C38" s="107"/>
      <c r="D38" s="107"/>
      <c r="E38" s="107"/>
      <c r="F38" s="107"/>
      <c r="G38" s="116"/>
      <c r="H38" s="116"/>
      <c r="I38" s="116"/>
      <c r="J38" s="191"/>
      <c r="K38" s="249">
        <f ca="1">SUMIF('Facility Detail'!$G:$T,$A38,'Facility Detail'!Q:Q)</f>
        <v>0</v>
      </c>
      <c r="L38" s="146"/>
      <c r="M38" s="146"/>
      <c r="N38" s="146"/>
      <c r="O38" s="122"/>
    </row>
    <row r="39" spans="1:15">
      <c r="A39" s="81" t="s">
        <v>188</v>
      </c>
      <c r="B39" s="48"/>
      <c r="C39" s="107"/>
      <c r="D39" s="107"/>
      <c r="E39" s="107"/>
      <c r="F39" s="107"/>
      <c r="G39" s="116"/>
      <c r="H39" s="116"/>
      <c r="I39" s="116"/>
      <c r="J39" s="116"/>
      <c r="K39" s="249">
        <f ca="1">SUMIF('Facility Detail'!$G:$T,$A39,'Facility Detail'!Q:Q)</f>
        <v>0</v>
      </c>
      <c r="L39" s="191">
        <f ca="1">SUMIF('Facility Detail'!$G:$T,$A39,'Facility Detail'!R:R)</f>
        <v>0</v>
      </c>
      <c r="M39" s="146"/>
      <c r="N39" s="146"/>
      <c r="O39" s="122"/>
    </row>
    <row r="40" spans="1:15">
      <c r="A40" s="81" t="s">
        <v>189</v>
      </c>
      <c r="B40" s="48"/>
      <c r="C40" s="107"/>
      <c r="D40" s="107"/>
      <c r="E40" s="107"/>
      <c r="F40" s="107"/>
      <c r="G40" s="116"/>
      <c r="H40" s="116"/>
      <c r="I40" s="116"/>
      <c r="J40" s="116"/>
      <c r="K40" s="191">
        <f ca="1">SUMIF('Facility Detail'!$G:$T,$A40,'Facility Detail'!Q:Q)</f>
        <v>99573</v>
      </c>
      <c r="L40" s="249">
        <f ca="1">-SUMIF('Facility Detail'!$G:$T,$A40,'Facility Detail'!R:R)</f>
        <v>-99573</v>
      </c>
      <c r="M40" s="146"/>
      <c r="N40" s="146"/>
      <c r="O40" s="122"/>
    </row>
    <row r="41" spans="1:15">
      <c r="A41" s="81" t="s">
        <v>190</v>
      </c>
      <c r="B41" s="48"/>
      <c r="C41" s="107"/>
      <c r="D41" s="107"/>
      <c r="E41" s="107"/>
      <c r="F41" s="107"/>
      <c r="G41" s="107"/>
      <c r="H41" s="107"/>
      <c r="I41" s="107"/>
      <c r="J41" s="107"/>
      <c r="K41" s="107"/>
      <c r="L41" s="249">
        <f ca="1">SUMIF('Facility Detail'!$G:$T,$A41,'Facility Detail'!R:R)</f>
        <v>0</v>
      </c>
      <c r="M41" s="191">
        <f ca="1">SUMIF('Facility Detail'!$G:$T,$A41,'Facility Detail'!S:S)</f>
        <v>0</v>
      </c>
      <c r="N41" s="146"/>
      <c r="O41" s="146"/>
    </row>
    <row r="42" spans="1:15">
      <c r="A42" s="81" t="s">
        <v>199</v>
      </c>
      <c r="B42" s="48"/>
      <c r="C42" s="107"/>
      <c r="D42" s="107"/>
      <c r="E42" s="107"/>
      <c r="F42" s="107"/>
      <c r="G42" s="107"/>
      <c r="H42" s="107"/>
      <c r="I42" s="107"/>
      <c r="J42" s="107"/>
      <c r="K42" s="107"/>
      <c r="L42" s="191">
        <f ca="1">SUMIF('Facility Detail'!$G:$T,$A42,'Facility Detail'!R:R)</f>
        <v>146418</v>
      </c>
      <c r="M42" s="249">
        <f ca="1">-SUMIF('Facility Detail'!$G:$T,$A42,'Facility Detail'!S:S)</f>
        <v>-146418</v>
      </c>
      <c r="N42" s="146"/>
      <c r="O42" s="146"/>
    </row>
    <row r="43" spans="1:15">
      <c r="A43" s="81" t="s">
        <v>200</v>
      </c>
      <c r="B43" s="114"/>
      <c r="C43" s="107"/>
      <c r="D43" s="107"/>
      <c r="E43" s="107"/>
      <c r="F43" s="107"/>
      <c r="G43" s="107"/>
      <c r="H43" s="107"/>
      <c r="I43" s="107"/>
      <c r="J43" s="107"/>
      <c r="K43" s="107"/>
      <c r="L43" s="107"/>
      <c r="M43" s="249">
        <f ca="1">-SUMIF('Facility Detail'!$G:$T,$A43,'Facility Detail'!S:S)</f>
        <v>-15051</v>
      </c>
      <c r="N43" s="191">
        <f ca="1">SUMIF('Facility Detail'!$G:$T,$A43,'Facility Detail'!T:T)</f>
        <v>15051</v>
      </c>
      <c r="O43" s="122"/>
    </row>
    <row r="44" spans="1:15">
      <c r="A44" s="81" t="s">
        <v>308</v>
      </c>
      <c r="B44" s="114"/>
      <c r="C44" s="107"/>
      <c r="D44" s="107"/>
      <c r="E44" s="107"/>
      <c r="F44" s="107"/>
      <c r="G44" s="107"/>
      <c r="H44" s="107"/>
      <c r="I44" s="107"/>
      <c r="J44" s="107"/>
      <c r="K44" s="107"/>
      <c r="L44" s="107"/>
      <c r="M44" s="191">
        <f ca="1">SUMIF('Facility Detail'!$G:$T,$A44,'Facility Detail'!S:S)</f>
        <v>0</v>
      </c>
      <c r="N44" s="249">
        <f ca="1">-SUMIF('Facility Detail'!$G:$T,$A44,'Facility Detail'!T:T)</f>
        <v>0</v>
      </c>
      <c r="O44" s="122"/>
    </row>
    <row r="45" spans="1:15">
      <c r="A45" s="81" t="s">
        <v>307</v>
      </c>
      <c r="B45" s="114"/>
      <c r="C45" s="107"/>
      <c r="D45" s="107"/>
      <c r="E45" s="107"/>
      <c r="F45" s="107"/>
      <c r="G45" s="107"/>
      <c r="H45" s="107"/>
      <c r="I45" s="107"/>
      <c r="J45" s="107"/>
      <c r="K45" s="107"/>
      <c r="L45" s="107"/>
      <c r="M45" s="107"/>
      <c r="N45" s="249">
        <f ca="1">-SUMIF('Facility Detail'!$G:$T,$A45,'Facility Detail'!T:T)</f>
        <v>0</v>
      </c>
      <c r="O45" s="480"/>
    </row>
    <row r="46" spans="1:15">
      <c r="A46" s="81" t="s">
        <v>318</v>
      </c>
      <c r="B46" s="114"/>
      <c r="C46" s="107"/>
      <c r="D46" s="107"/>
      <c r="E46" s="107"/>
      <c r="F46" s="107"/>
      <c r="G46" s="107"/>
      <c r="H46" s="107"/>
      <c r="I46" s="107"/>
      <c r="J46" s="107"/>
      <c r="K46" s="107"/>
      <c r="L46" s="107"/>
      <c r="M46" s="107"/>
      <c r="N46" s="191"/>
      <c r="O46" s="481"/>
    </row>
    <row r="47" spans="1:15">
      <c r="A47" s="81" t="s">
        <v>319</v>
      </c>
      <c r="B47" s="49"/>
      <c r="C47" s="194"/>
      <c r="D47" s="194"/>
      <c r="E47" s="194"/>
      <c r="F47" s="194"/>
      <c r="G47" s="194"/>
      <c r="H47" s="194"/>
      <c r="I47" s="194"/>
      <c r="J47" s="194"/>
      <c r="K47" s="194"/>
      <c r="L47" s="194"/>
      <c r="M47" s="194"/>
      <c r="N47" s="194"/>
      <c r="O47" s="482"/>
    </row>
    <row r="48" spans="1:15">
      <c r="A48" s="61" t="s">
        <v>17</v>
      </c>
      <c r="B48" s="34"/>
      <c r="C48" s="34">
        <f ca="1">SUM(C23:C24)</f>
        <v>-104826</v>
      </c>
      <c r="D48" s="34">
        <f ca="1">SUM(D23:D25)</f>
        <v>12147</v>
      </c>
      <c r="E48" s="34">
        <f ca="1">SUM(E25:E27)</f>
        <v>13558</v>
      </c>
      <c r="F48" s="34">
        <f ca="1">SUM(F27:F29)</f>
        <v>7117</v>
      </c>
      <c r="G48" s="34">
        <f ca="1">SUM(G29:G31)</f>
        <v>-147953</v>
      </c>
      <c r="H48" s="34">
        <f ca="1">SUM(H31:H33)</f>
        <v>-3816.4066966991522</v>
      </c>
      <c r="I48" s="34">
        <f ca="1">SUM(I33:I35)</f>
        <v>78555.406696699152</v>
      </c>
      <c r="J48" s="34">
        <f ca="1">SUM(J35:J37)</f>
        <v>75920</v>
      </c>
      <c r="K48" s="23">
        <f ca="1">SUM(K37:K40)</f>
        <v>168871</v>
      </c>
      <c r="L48" s="23">
        <f ca="1">SUM(L39:L42)</f>
        <v>46845</v>
      </c>
      <c r="M48" s="23">
        <f ca="1">SUM(M40:M43)</f>
        <v>-161469</v>
      </c>
      <c r="N48" s="23">
        <f ca="1">SUM(N43:N45)</f>
        <v>15051</v>
      </c>
      <c r="O48" s="23">
        <f>SUM(O43:O45)</f>
        <v>0</v>
      </c>
    </row>
    <row r="49" spans="1:15">
      <c r="B49" s="34"/>
      <c r="C49" s="34"/>
      <c r="D49" s="34"/>
      <c r="E49" s="34"/>
      <c r="F49" s="109"/>
      <c r="G49" s="109"/>
      <c r="H49" s="109"/>
      <c r="I49" s="109"/>
      <c r="J49" s="164"/>
      <c r="K49" s="164"/>
      <c r="L49" s="164"/>
      <c r="M49" s="283"/>
      <c r="N49" s="283"/>
      <c r="O49" s="164"/>
    </row>
    <row r="50" spans="1:15">
      <c r="A50" s="61" t="s">
        <v>12</v>
      </c>
      <c r="B50" s="79"/>
      <c r="C50" s="80">
        <f>SUM('Facility Detail'!I121,'Facility Detail'!I174,'Facility Detail'!I271,'Facility Detail'!I324,'Facility Detail'!I377,'Facility Detail'!I430,'Facility Detail'!I483,'Facility Detail'!I536,'Facility Detail'!I588,'Facility Detail'!I640,'Facility Detail'!I777,'Facility Detail'!I831,'Facility Detail'!I884,'Facility Detail'!I978,'Facility Detail'!I1072,'Facility Detail'!I1125,'Facility Detail'!I1178,'Facility Detail'!I1231,'Facility Detail'!I1278,'Facility Detail'!I1324,'Facility Detail'!I1418,'Facility Detail'!I1516,'Facility Detail'!I1611,'Facility Detail'!I1664,'Facility Detail'!I1718,'Facility Detail'!I1770,'Facility Detail'!I1866,'Facility Detail'!I1920,'Facility Detail'!I1973,'Facility Detail'!I2109,'Facility Detail'!I2161,'Facility Detail'!I2296,'Facility Detail'!I2348,'Facility Detail'!I2400,'Facility Detail'!I2453,'Facility Detail'!I2506,'Facility Detail'!I2559,'Facility Detail'!I2612,'Facility Detail'!I2664,'Facility Detail'!I2716,'Facility Detail'!I2769,'Facility Detail'!I2957,'Facility Detail'!I3010,'Facility Detail'!I3063,'Facility Detail'!I3115,'Facility Detail'!I3243,'Facility Detail'!I218,'Facility Detail'!I1461)</f>
        <v>0</v>
      </c>
      <c r="D50" s="80">
        <f>SUM('Facility Detail'!J121,'Facility Detail'!J174,'Facility Detail'!J271,'Facility Detail'!J324,'Facility Detail'!J377,'Facility Detail'!J430,'Facility Detail'!J483,'Facility Detail'!J536,'Facility Detail'!J588,'Facility Detail'!J640,'Facility Detail'!J777,'Facility Detail'!J831,'Facility Detail'!J884,'Facility Detail'!J978,'Facility Detail'!J1072,'Facility Detail'!J1125,'Facility Detail'!J1178,'Facility Detail'!J1231,'Facility Detail'!J1278,'Facility Detail'!J1324,'Facility Detail'!J1418,'Facility Detail'!J1516,'Facility Detail'!J1611,'Facility Detail'!J1664,'Facility Detail'!J1718,'Facility Detail'!J1770,'Facility Detail'!J1866,'Facility Detail'!J1920,'Facility Detail'!J1973,'Facility Detail'!J2109,'Facility Detail'!J2161,'Facility Detail'!J2296,'Facility Detail'!J2348,'Facility Detail'!J2400,'Facility Detail'!J2453,'Facility Detail'!J2506,'Facility Detail'!J2559,'Facility Detail'!J2612,'Facility Detail'!J2664,'Facility Detail'!J2716,'Facility Detail'!J2769,'Facility Detail'!J2957,'Facility Detail'!J3010,'Facility Detail'!J3063,'Facility Detail'!J3115,'Facility Detail'!J3243,'Facility Detail'!J218,'Facility Detail'!J1461)</f>
        <v>0</v>
      </c>
      <c r="E50" s="80">
        <f>SUM('Facility Detail'!K121,'Facility Detail'!K174,'Facility Detail'!K271,'Facility Detail'!K324,'Facility Detail'!K377,'Facility Detail'!K430,'Facility Detail'!K483,'Facility Detail'!K536,'Facility Detail'!K588,'Facility Detail'!K640,'Facility Detail'!K777,'Facility Detail'!K831,'Facility Detail'!K884,'Facility Detail'!K978,'Facility Detail'!K1072,'Facility Detail'!K1125,'Facility Detail'!K1178,'Facility Detail'!K1231,'Facility Detail'!K1278,'Facility Detail'!K1324,'Facility Detail'!K1418,'Facility Detail'!K1516,'Facility Detail'!K1611,'Facility Detail'!K1664,'Facility Detail'!K1718,'Facility Detail'!K1770,'Facility Detail'!K1866,'Facility Detail'!K1920,'Facility Detail'!K1973,'Facility Detail'!K2109,'Facility Detail'!K2161,'Facility Detail'!K2296,'Facility Detail'!K2348,'Facility Detail'!K2400,'Facility Detail'!K2453,'Facility Detail'!K2506,'Facility Detail'!K2559,'Facility Detail'!K2612,'Facility Detail'!K2664,'Facility Detail'!K2716,'Facility Detail'!K2769,'Facility Detail'!K2957,'Facility Detail'!K3010,'Facility Detail'!K3063,'Facility Detail'!K3115,'Facility Detail'!K3243,'Facility Detail'!K218,'Facility Detail'!K1461)</f>
        <v>0</v>
      </c>
      <c r="F50" s="80">
        <f>SUM('Facility Detail'!L121,'Facility Detail'!L174,'Facility Detail'!L271,'Facility Detail'!L324,'Facility Detail'!L377,'Facility Detail'!L430,'Facility Detail'!L483,'Facility Detail'!L536,'Facility Detail'!L588,'Facility Detail'!L640,'Facility Detail'!L777,'Facility Detail'!L831,'Facility Detail'!L884,'Facility Detail'!L978,'Facility Detail'!L1072,'Facility Detail'!L1125,'Facility Detail'!L1178,'Facility Detail'!L1231,'Facility Detail'!L1278,'Facility Detail'!L1324,'Facility Detail'!L1418,'Facility Detail'!L1516,'Facility Detail'!L1611,'Facility Detail'!L1664,'Facility Detail'!L1718,'Facility Detail'!L1770,'Facility Detail'!L1866,'Facility Detail'!L1920,'Facility Detail'!L1973,'Facility Detail'!L2109,'Facility Detail'!L2161,'Facility Detail'!L2296,'Facility Detail'!L2348,'Facility Detail'!L2400,'Facility Detail'!L2453,'Facility Detail'!L2506,'Facility Detail'!L2559,'Facility Detail'!L2612,'Facility Detail'!L2664,'Facility Detail'!L2716,'Facility Detail'!L2769,'Facility Detail'!L2957,'Facility Detail'!L3010,'Facility Detail'!L3063,'Facility Detail'!L3115,'Facility Detail'!L3243,'Facility Detail'!L218,'Facility Detail'!L1461)</f>
        <v>0</v>
      </c>
      <c r="G50" s="80">
        <f>SUM('Facility Detail'!M121,'Facility Detail'!M174,'Facility Detail'!M271,'Facility Detail'!M324,'Facility Detail'!M377,'Facility Detail'!M430,'Facility Detail'!M483,'Facility Detail'!M536,'Facility Detail'!M588,'Facility Detail'!M640,'Facility Detail'!M777,'Facility Detail'!M831,'Facility Detail'!M884,'Facility Detail'!M978,'Facility Detail'!M1072,'Facility Detail'!M1125,'Facility Detail'!M1178,'Facility Detail'!M1231,'Facility Detail'!M1278,'Facility Detail'!M1324,'Facility Detail'!M1418,'Facility Detail'!M1516,'Facility Detail'!M1611,'Facility Detail'!M1664,'Facility Detail'!M1718,'Facility Detail'!M1770,'Facility Detail'!M1866,'Facility Detail'!M1920,'Facility Detail'!M1973,'Facility Detail'!M2109,'Facility Detail'!M2161,'Facility Detail'!M2296,'Facility Detail'!M2348,'Facility Detail'!M2400,'Facility Detail'!M2453,'Facility Detail'!M2506,'Facility Detail'!M2559,'Facility Detail'!M2612,'Facility Detail'!M2664,'Facility Detail'!M2716,'Facility Detail'!M2769,'Facility Detail'!M2957,'Facility Detail'!M3010,'Facility Detail'!M3063,'Facility Detail'!M3115,'Facility Detail'!M3243,'Facility Detail'!M218,'Facility Detail'!M1461)</f>
        <v>0</v>
      </c>
      <c r="H50" s="80">
        <f>SUM('Facility Detail'!N121,'Facility Detail'!N174,'Facility Detail'!N271,'Facility Detail'!N324,'Facility Detail'!N377,'Facility Detail'!N430,'Facility Detail'!N483,'Facility Detail'!N536,'Facility Detail'!N588,'Facility Detail'!N640,'Facility Detail'!N777,'Facility Detail'!N831,'Facility Detail'!N884,'Facility Detail'!N978,'Facility Detail'!N1072,'Facility Detail'!N1125,'Facility Detail'!N1178,'Facility Detail'!N1231,'Facility Detail'!N1278,'Facility Detail'!N1324,'Facility Detail'!N1418,'Facility Detail'!N1516,'Facility Detail'!N1611,'Facility Detail'!N1664,'Facility Detail'!N1718,'Facility Detail'!N1770,'Facility Detail'!N1866,'Facility Detail'!N1920,'Facility Detail'!N1973,'Facility Detail'!N2109,'Facility Detail'!N2161,'Facility Detail'!N2296,'Facility Detail'!N2348,'Facility Detail'!N2400,'Facility Detail'!N2453,'Facility Detail'!N2506,'Facility Detail'!N2559,'Facility Detail'!N2612,'Facility Detail'!N2664,'Facility Detail'!N2716,'Facility Detail'!N2769,'Facility Detail'!N2957,'Facility Detail'!N3010,'Facility Detail'!N3063,'Facility Detail'!N3115,'Facility Detail'!N3243,'Facility Detail'!N218,'Facility Detail'!N1461)</f>
        <v>0</v>
      </c>
      <c r="I50" s="80">
        <f>SUM('Facility Detail'!O121,'Facility Detail'!O174,'Facility Detail'!O271,'Facility Detail'!O324,'Facility Detail'!O377,'Facility Detail'!O430,'Facility Detail'!O483,'Facility Detail'!O536,'Facility Detail'!O588,'Facility Detail'!O640,'Facility Detail'!O777,'Facility Detail'!O831,'Facility Detail'!O884,'Facility Detail'!O978,'Facility Detail'!O1072,'Facility Detail'!O1125,'Facility Detail'!O1178,'Facility Detail'!O1231,'Facility Detail'!O1278,'Facility Detail'!O1324,'Facility Detail'!O1418,'Facility Detail'!O1516,'Facility Detail'!O1611,'Facility Detail'!O1664,'Facility Detail'!O1718,'Facility Detail'!O1770,'Facility Detail'!O1866,'Facility Detail'!O1920,'Facility Detail'!O1973,'Facility Detail'!O2109,'Facility Detail'!O2161,'Facility Detail'!O2296,'Facility Detail'!O2348,'Facility Detail'!O2400,'Facility Detail'!O2453,'Facility Detail'!O2506,'Facility Detail'!O2559,'Facility Detail'!O2612,'Facility Detail'!O2664,'Facility Detail'!O2716,'Facility Detail'!O2769,'Facility Detail'!O2957,'Facility Detail'!O3010,'Facility Detail'!O3063,'Facility Detail'!O3115,'Facility Detail'!O3243,'Facility Detail'!O218,'Facility Detail'!O1461)</f>
        <v>0</v>
      </c>
      <c r="J50" s="80">
        <f>SUM('Facility Detail'!P121,'Facility Detail'!P174,'Facility Detail'!P271,'Facility Detail'!P324,'Facility Detail'!P377,'Facility Detail'!P430,'Facility Detail'!P483,'Facility Detail'!P536,'Facility Detail'!P588,'Facility Detail'!P640,'Facility Detail'!P777,'Facility Detail'!P831,'Facility Detail'!P884,'Facility Detail'!P978,'Facility Detail'!P1072,'Facility Detail'!P1125,'Facility Detail'!P1178,'Facility Detail'!P1231,'Facility Detail'!P1278,'Facility Detail'!P1324,'Facility Detail'!P1418,'Facility Detail'!P1516,'Facility Detail'!P1611,'Facility Detail'!P1664,'Facility Detail'!P1718,'Facility Detail'!P1770,'Facility Detail'!P1866,'Facility Detail'!P1920,'Facility Detail'!P1973,'Facility Detail'!P2109,'Facility Detail'!P2161,'Facility Detail'!P2296,'Facility Detail'!P2348,'Facility Detail'!P2400,'Facility Detail'!P2453,'Facility Detail'!P2506,'Facility Detail'!P2559,'Facility Detail'!P2612,'Facility Detail'!P2664,'Facility Detail'!P2716,'Facility Detail'!P2769,'Facility Detail'!P2957,'Facility Detail'!P3010,'Facility Detail'!P3063,'Facility Detail'!P3115,'Facility Detail'!P3243,'Facility Detail'!P218,'Facility Detail'!P1461)</f>
        <v>0</v>
      </c>
      <c r="K50" s="80">
        <f>SUM('Facility Detail'!Q121,'Facility Detail'!Q174,'Facility Detail'!Q271,'Facility Detail'!Q324,'Facility Detail'!Q377,'Facility Detail'!Q430,'Facility Detail'!Q483,'Facility Detail'!Q536,'Facility Detail'!Q588,'Facility Detail'!Q640,'Facility Detail'!Q777,'Facility Detail'!Q831,'Facility Detail'!Q884,'Facility Detail'!Q978,'Facility Detail'!Q1072,'Facility Detail'!Q1125,'Facility Detail'!Q1178,'Facility Detail'!Q1231,'Facility Detail'!Q1278,'Facility Detail'!Q1324,'Facility Detail'!Q1418,'Facility Detail'!Q1516,'Facility Detail'!Q1611,'Facility Detail'!Q1664,'Facility Detail'!Q1718,'Facility Detail'!Q1770,'Facility Detail'!Q1866,'Facility Detail'!Q1920,'Facility Detail'!Q1973,'Facility Detail'!Q2109,'Facility Detail'!Q2161,'Facility Detail'!Q2296,'Facility Detail'!Q2348,'Facility Detail'!Q2400,'Facility Detail'!Q2453,'Facility Detail'!Q2506,'Facility Detail'!Q2559,'Facility Detail'!Q2612,'Facility Detail'!Q2664,'Facility Detail'!Q2716,'Facility Detail'!Q2769,'Facility Detail'!Q2957,'Facility Detail'!Q3010,'Facility Detail'!Q3063,'Facility Detail'!Q3115,'Facility Detail'!Q3243,'Facility Detail'!Q218,'Facility Detail'!Q1461)</f>
        <v>0</v>
      </c>
      <c r="L50" s="80">
        <f>SUM('Facility Detail'!R121,'Facility Detail'!R174,'Facility Detail'!R271,'Facility Detail'!R324,'Facility Detail'!R377,'Facility Detail'!R430,'Facility Detail'!R483,'Facility Detail'!R536,'Facility Detail'!R588,'Facility Detail'!R640,'Facility Detail'!R777,'Facility Detail'!R831,'Facility Detail'!R884,'Facility Detail'!R978,'Facility Detail'!R1072,'Facility Detail'!R1125,'Facility Detail'!R1178,'Facility Detail'!R1231,'Facility Detail'!R1278,'Facility Detail'!R1324,'Facility Detail'!R1418,'Facility Detail'!R1516,'Facility Detail'!R1611,'Facility Detail'!R1664,'Facility Detail'!R1718,'Facility Detail'!R1770,'Facility Detail'!R1866,'Facility Detail'!R1920,'Facility Detail'!R1973,'Facility Detail'!R2109,'Facility Detail'!R2161,'Facility Detail'!R2296,'Facility Detail'!R2348,'Facility Detail'!R2400,'Facility Detail'!R2453,'Facility Detail'!R2506,'Facility Detail'!R2559,'Facility Detail'!R2612,'Facility Detail'!R2664,'Facility Detail'!R2716,'Facility Detail'!R2769,'Facility Detail'!R2957,'Facility Detail'!R3010,'Facility Detail'!R3063,'Facility Detail'!R3115,'Facility Detail'!R3243,'Facility Detail'!R218,'Facility Detail'!R1461)</f>
        <v>0</v>
      </c>
      <c r="M50" s="285">
        <f>SUM('Facility Detail'!S121,'Facility Detail'!S174,'Facility Detail'!S271,'Facility Detail'!S324,'Facility Detail'!S377,'Facility Detail'!S430,'Facility Detail'!S483,'Facility Detail'!S536,'Facility Detail'!S588,'Facility Detail'!S640,'Facility Detail'!S777,'Facility Detail'!S831,'Facility Detail'!S884,'Facility Detail'!S978,'Facility Detail'!S1072,'Facility Detail'!S1125,'Facility Detail'!S1178,'Facility Detail'!S1231,'Facility Detail'!S1278,'Facility Detail'!S1324,'Facility Detail'!S1418,'Facility Detail'!S1516,'Facility Detail'!S1611,'Facility Detail'!S1664,'Facility Detail'!S1718,'Facility Detail'!S1770,'Facility Detail'!S1866,'Facility Detail'!S1920,'Facility Detail'!S1973,'Facility Detail'!S2109,'Facility Detail'!S2161,'Facility Detail'!S2296,'Facility Detail'!S2348,'Facility Detail'!S2400,'Facility Detail'!S2453,'Facility Detail'!S2506,'Facility Detail'!S2559,'Facility Detail'!S2612,'Facility Detail'!S2664,'Facility Detail'!S2716,'Facility Detail'!S2769,'Facility Detail'!S2957,'Facility Detail'!S3010,'Facility Detail'!S3063,'Facility Detail'!S3115,'Facility Detail'!S3243,'Facility Detail'!S218,'Facility Detail'!S1461)</f>
        <v>0</v>
      </c>
      <c r="N50" s="285">
        <f>SUM('Facility Detail'!T121,'Facility Detail'!T174,'Facility Detail'!T271,'Facility Detail'!T324,'Facility Detail'!T377,'Facility Detail'!T430,'Facility Detail'!T483,'Facility Detail'!T536,'Facility Detail'!T588,'Facility Detail'!T640,'Facility Detail'!T777,'Facility Detail'!T831,'Facility Detail'!T884,'Facility Detail'!T978,'Facility Detail'!T1072,'Facility Detail'!T1125,'Facility Detail'!T1178,'Facility Detail'!T1231,'Facility Detail'!T1278,'Facility Detail'!T1324,'Facility Detail'!T1418,'Facility Detail'!T1516,'Facility Detail'!T1611,'Facility Detail'!T1664,'Facility Detail'!T1718,'Facility Detail'!T1770,'Facility Detail'!T1866,'Facility Detail'!T1920,'Facility Detail'!T1973,'Facility Detail'!T2109,'Facility Detail'!T2161,'Facility Detail'!T2296,'Facility Detail'!T2348,'Facility Detail'!T2400,'Facility Detail'!T2453,'Facility Detail'!T2506,'Facility Detail'!T2559,'Facility Detail'!T2612,'Facility Detail'!T2664,'Facility Detail'!T2716,'Facility Detail'!T2769,'Facility Detail'!T2957,'Facility Detail'!T3010,'Facility Detail'!T3063,'Facility Detail'!T3115,'Facility Detail'!T3243,'Facility Detail'!T218,'Facility Detail'!T1461)</f>
        <v>0</v>
      </c>
      <c r="O50" s="80">
        <f>SUM('Facility Detail'!U121,'Facility Detail'!U174,'Facility Detail'!U271,'Facility Detail'!U324,'Facility Detail'!U377,'Facility Detail'!U430,'Facility Detail'!U483,'Facility Detail'!U536,'Facility Detail'!U588,'Facility Detail'!U640,'Facility Detail'!U777,'Facility Detail'!U831,'Facility Detail'!U884,'Facility Detail'!U978,'Facility Detail'!U1072,'Facility Detail'!U1125,'Facility Detail'!U1178,'Facility Detail'!U1231,'Facility Detail'!U1278,'Facility Detail'!U1324,'Facility Detail'!U1418,'Facility Detail'!U1516,'Facility Detail'!U1611,'Facility Detail'!U1664,'Facility Detail'!U1718,'Facility Detail'!U1770,'Facility Detail'!U1866,'Facility Detail'!U1920,'Facility Detail'!U1973,'Facility Detail'!U2109,'Facility Detail'!U2161,'Facility Detail'!U2296,'Facility Detail'!U2348,'Facility Detail'!U2400,'Facility Detail'!U2453,'Facility Detail'!U2506,'Facility Detail'!U2559,'Facility Detail'!U2612,'Facility Detail'!U2664,'Facility Detail'!U2716,'Facility Detail'!U2769,'Facility Detail'!U2957,'Facility Detail'!U3010,'Facility Detail'!U3063,'Facility Detail'!U3115,'Facility Detail'!U3243,'Facility Detail'!U218,'Facility Detail'!U1461)</f>
        <v>0</v>
      </c>
    </row>
    <row r="51" spans="1:15">
      <c r="B51" s="34"/>
      <c r="C51" s="34"/>
      <c r="D51" s="34"/>
      <c r="E51" s="34"/>
      <c r="F51" s="109"/>
      <c r="G51" s="109"/>
      <c r="H51" s="109"/>
      <c r="I51" s="109"/>
      <c r="J51" s="109"/>
      <c r="K51" s="109"/>
      <c r="L51" s="109"/>
      <c r="M51" s="286"/>
      <c r="N51" s="286"/>
      <c r="O51" s="286"/>
    </row>
    <row r="52" spans="1:15">
      <c r="B52" s="2">
        <f t="shared" ref="B52:O52" si="23">B6</f>
        <v>2010</v>
      </c>
      <c r="C52" s="2">
        <f t="shared" si="23"/>
        <v>2011</v>
      </c>
      <c r="D52" s="2">
        <f t="shared" si="23"/>
        <v>2012</v>
      </c>
      <c r="E52" s="2">
        <f t="shared" si="23"/>
        <v>2013</v>
      </c>
      <c r="F52" s="2">
        <f t="shared" si="23"/>
        <v>2014</v>
      </c>
      <c r="G52" s="2">
        <f t="shared" si="23"/>
        <v>2015</v>
      </c>
      <c r="H52" s="2">
        <f t="shared" si="23"/>
        <v>2016</v>
      </c>
      <c r="I52" s="2">
        <f t="shared" si="23"/>
        <v>2017</v>
      </c>
      <c r="J52" s="2">
        <f t="shared" si="23"/>
        <v>2018</v>
      </c>
      <c r="K52" s="2">
        <f t="shared" si="23"/>
        <v>2019</v>
      </c>
      <c r="L52" s="2">
        <f t="shared" si="23"/>
        <v>2020</v>
      </c>
      <c r="M52" s="2">
        <f t="shared" si="23"/>
        <v>2021</v>
      </c>
      <c r="N52" s="2">
        <f t="shared" si="23"/>
        <v>2022</v>
      </c>
      <c r="O52" s="2">
        <f t="shared" si="23"/>
        <v>2023</v>
      </c>
    </row>
    <row r="53" spans="1:15" ht="32.25" customHeight="1">
      <c r="A53" s="54" t="s">
        <v>27</v>
      </c>
      <c r="B53" s="53"/>
      <c r="C53" s="253">
        <f t="shared" ref="C53:O53" ca="1" si="24">C14 + C20 - C9 + C48 + C50</f>
        <v>0</v>
      </c>
      <c r="D53" s="253">
        <f t="shared" ca="1" si="24"/>
        <v>0.59487500000977889</v>
      </c>
      <c r="E53" s="253">
        <f t="shared" ca="1" si="24"/>
        <v>-0.40794999997888226</v>
      </c>
      <c r="F53" s="253">
        <f t="shared" ca="1" si="24"/>
        <v>0.21259500000451226</v>
      </c>
      <c r="G53" s="253">
        <f t="shared" ca="1" si="24"/>
        <v>-1.1425000004237518E-2</v>
      </c>
      <c r="H53" s="253">
        <f t="shared" ca="1" si="24"/>
        <v>-0.22553499997593462</v>
      </c>
      <c r="I53" s="253">
        <f t="shared" ca="1" si="24"/>
        <v>0.82993669918505475</v>
      </c>
      <c r="J53" s="253">
        <f t="shared" ca="1" si="24"/>
        <v>0.16540000005625188</v>
      </c>
      <c r="K53" s="253">
        <f t="shared" ca="1" si="24"/>
        <v>-0.7925043688446749</v>
      </c>
      <c r="L53" s="253">
        <f t="shared" ca="1" si="24"/>
        <v>-0.84765291307121515</v>
      </c>
      <c r="M53" s="287">
        <f t="shared" ca="1" si="24"/>
        <v>0.84879753855057061</v>
      </c>
      <c r="N53" s="287">
        <f t="shared" ca="1" si="24"/>
        <v>190960.57472500007</v>
      </c>
      <c r="O53" s="287">
        <f t="shared" si="24"/>
        <v>174855.89832046756</v>
      </c>
    </row>
    <row r="55" spans="1:15" ht="21.75" hidden="1" customHeight="1">
      <c r="A55" s="503"/>
      <c r="B55" s="503"/>
      <c r="C55" s="503"/>
      <c r="D55" s="503"/>
      <c r="E55" s="503"/>
      <c r="F55" s="503"/>
      <c r="G55" s="503"/>
      <c r="H55" s="503"/>
      <c r="I55" s="503"/>
    </row>
    <row r="56" spans="1:15" hidden="1">
      <c r="A56" s="136"/>
      <c r="B56" s="136"/>
      <c r="C56" s="136"/>
    </row>
    <row r="57" spans="1:15" ht="18.75" customHeight="1">
      <c r="A57" s="508" t="s">
        <v>126</v>
      </c>
      <c r="B57" s="508"/>
      <c r="C57" s="508"/>
      <c r="D57" s="508"/>
      <c r="E57" s="508"/>
      <c r="F57" s="508"/>
      <c r="G57" s="508"/>
      <c r="H57" s="508"/>
      <c r="I57" s="508"/>
    </row>
    <row r="58" spans="1:15" s="145" customFormat="1" ht="18" customHeight="1">
      <c r="M58" s="225"/>
      <c r="N58" s="225"/>
    </row>
    <row r="59" spans="1:15" ht="14.25" customHeight="1">
      <c r="A59" s="509" t="s">
        <v>317</v>
      </c>
      <c r="B59" s="509"/>
      <c r="C59" s="509"/>
      <c r="D59" s="509"/>
      <c r="E59" s="509"/>
      <c r="F59" s="509"/>
      <c r="G59" s="509"/>
      <c r="H59" s="509"/>
      <c r="I59" s="509"/>
      <c r="J59" s="509"/>
    </row>
    <row r="61" spans="1:15">
      <c r="A61" s="505" t="s">
        <v>144</v>
      </c>
      <c r="B61" s="505"/>
      <c r="C61" s="505"/>
      <c r="D61" s="505"/>
      <c r="E61" s="505"/>
      <c r="F61" s="505"/>
      <c r="G61" s="145"/>
      <c r="H61" s="145"/>
      <c r="I61" s="145"/>
      <c r="J61" s="145"/>
    </row>
    <row r="62" spans="1:15">
      <c r="A62" s="506" t="s">
        <v>152</v>
      </c>
      <c r="B62" s="506"/>
      <c r="C62" s="506"/>
      <c r="D62" s="506"/>
      <c r="E62" s="506"/>
      <c r="F62" s="506"/>
      <c r="G62" s="145"/>
      <c r="H62" s="145"/>
      <c r="I62" s="145"/>
      <c r="J62" s="145"/>
    </row>
    <row r="63" spans="1:15" ht="15" customHeight="1">
      <c r="A63" s="506" t="s">
        <v>320</v>
      </c>
      <c r="B63" s="506"/>
      <c r="C63" s="506"/>
      <c r="D63" s="506"/>
      <c r="E63" s="506"/>
      <c r="F63" s="506"/>
      <c r="G63" s="254"/>
      <c r="H63" s="145"/>
      <c r="I63" s="145"/>
      <c r="J63" s="145"/>
    </row>
    <row r="64" spans="1:15">
      <c r="A64" s="507" t="s">
        <v>153</v>
      </c>
      <c r="B64" s="507"/>
      <c r="C64" s="506"/>
      <c r="D64" s="506"/>
      <c r="E64" s="506"/>
      <c r="F64" s="506"/>
      <c r="G64" s="145"/>
      <c r="H64" s="145"/>
      <c r="I64" s="145"/>
      <c r="J64" s="145"/>
    </row>
    <row r="65" spans="1:10" ht="81" customHeight="1">
      <c r="A65" s="506" t="s">
        <v>321</v>
      </c>
      <c r="B65" s="506"/>
      <c r="C65" s="506"/>
      <c r="D65" s="506"/>
      <c r="E65" s="506"/>
      <c r="F65" s="506"/>
      <c r="G65" s="506"/>
      <c r="H65" s="506"/>
      <c r="I65" s="506"/>
      <c r="J65" s="169"/>
    </row>
    <row r="66" spans="1:10" ht="15" customHeight="1">
      <c r="A66" s="6" t="s">
        <v>191</v>
      </c>
      <c r="B66" s="145"/>
      <c r="C66" s="145"/>
      <c r="D66" s="145"/>
      <c r="E66" s="145"/>
      <c r="F66" s="145"/>
      <c r="G66" s="145"/>
      <c r="H66" s="145"/>
      <c r="I66" s="145"/>
      <c r="J66" s="145"/>
    </row>
    <row r="67" spans="1:10" ht="17.25" customHeight="1">
      <c r="A67" s="1" t="s">
        <v>322</v>
      </c>
      <c r="B67" s="145"/>
      <c r="C67" s="145"/>
      <c r="D67" s="145"/>
      <c r="E67" s="145"/>
      <c r="F67" s="145"/>
      <c r="G67" s="145"/>
      <c r="H67" s="145"/>
      <c r="I67" s="145"/>
      <c r="J67" s="145"/>
    </row>
    <row r="68" spans="1:10">
      <c r="A68" s="507" t="s">
        <v>145</v>
      </c>
      <c r="B68" s="507"/>
      <c r="C68" s="506"/>
      <c r="D68" s="506"/>
      <c r="E68" s="506"/>
      <c r="F68" s="506"/>
      <c r="G68" s="145"/>
      <c r="H68" s="145"/>
      <c r="I68" s="145"/>
      <c r="J68" s="145"/>
    </row>
    <row r="69" spans="1:10">
      <c r="A69" s="506" t="s">
        <v>146</v>
      </c>
      <c r="B69" s="506"/>
      <c r="C69" s="506"/>
      <c r="D69" s="506"/>
      <c r="E69" s="506"/>
      <c r="F69" s="506"/>
      <c r="G69" s="145"/>
      <c r="H69" s="145"/>
      <c r="I69" s="145"/>
      <c r="J69" s="145"/>
    </row>
    <row r="70" spans="1:10">
      <c r="A70" s="145"/>
      <c r="B70" s="145"/>
      <c r="C70" s="145"/>
      <c r="D70" s="145"/>
      <c r="E70" s="145"/>
      <c r="F70" s="145"/>
      <c r="G70" s="145"/>
      <c r="H70" s="145"/>
      <c r="I70" s="145"/>
      <c r="J70" s="145"/>
    </row>
    <row r="71" spans="1:10" ht="32.25" customHeight="1">
      <c r="A71" s="145"/>
      <c r="B71" s="145"/>
      <c r="C71" s="145"/>
      <c r="D71" s="145"/>
      <c r="E71" s="145"/>
      <c r="F71" s="145"/>
      <c r="G71" s="145"/>
      <c r="H71" s="145"/>
      <c r="I71" s="145"/>
      <c r="J71" s="145"/>
    </row>
    <row r="72" spans="1:10">
      <c r="G72" s="145"/>
      <c r="H72" s="145"/>
      <c r="I72" s="145"/>
      <c r="J72" s="145"/>
    </row>
    <row r="73" spans="1:10" ht="15" customHeight="1">
      <c r="G73" s="145"/>
      <c r="H73" s="145"/>
      <c r="I73" s="145"/>
      <c r="J73" s="145"/>
    </row>
    <row r="74" spans="1:10">
      <c r="A74" s="504"/>
      <c r="B74" s="504"/>
      <c r="C74" s="504"/>
      <c r="D74" s="504"/>
      <c r="E74" s="504"/>
      <c r="F74" s="504"/>
      <c r="G74" s="145"/>
      <c r="H74" s="145"/>
      <c r="I74" s="145"/>
      <c r="J74" s="145"/>
    </row>
  </sheetData>
  <mergeCells count="12">
    <mergeCell ref="B4:C4"/>
    <mergeCell ref="A55:I55"/>
    <mergeCell ref="A74:F74"/>
    <mergeCell ref="A61:F61"/>
    <mergeCell ref="A62:F62"/>
    <mergeCell ref="A63:F63"/>
    <mergeCell ref="A64:F64"/>
    <mergeCell ref="A68:F68"/>
    <mergeCell ref="A69:F69"/>
    <mergeCell ref="A57:I57"/>
    <mergeCell ref="A59:J59"/>
    <mergeCell ref="A65:I65"/>
  </mergeCells>
  <phoneticPr fontId="5" type="noConversion"/>
  <conditionalFormatting sqref="C53:O53">
    <cfRule type="cellIs" dxfId="1" priority="4" stopIfTrue="1" operator="lessThan">
      <formula>0</formula>
    </cfRule>
  </conditionalFormatting>
  <conditionalFormatting sqref="B53">
    <cfRule type="cellIs" dxfId="0" priority="1" stopIfTrue="1" operator="lessThan">
      <formula>0</formula>
    </cfRule>
  </conditionalFormatting>
  <printOptions horizontalCentered="1"/>
  <pageMargins left="0" right="0" top="0" bottom="0.25" header="0.3" footer="0.3"/>
  <pageSetup scale="52" fitToHeight="0" orientation="landscape" r:id="rId1"/>
  <headerFooter alignWithMargins="0">
    <oddFooter>&amp;CCONFIDENTIAL PER WAC 480-07-160</oddFooter>
  </headerFooter>
  <ignoredErrors>
    <ignoredError sqref="E9:K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sheetPr>
  <dimension ref="A1:Y3273"/>
  <sheetViews>
    <sheetView showGridLines="0" view="pageBreakPreview" zoomScale="70" zoomScaleNormal="70" zoomScaleSheetLayoutView="70" workbookViewId="0"/>
  </sheetViews>
  <sheetFormatPr defaultColWidth="9.140625" defaultRowHeight="15" outlineLevelRow="1"/>
  <cols>
    <col min="1" max="1" width="20.7109375" style="1" customWidth="1"/>
    <col min="2" max="3" width="12.140625" style="1" customWidth="1"/>
    <col min="4" max="5" width="9.140625" style="1" customWidth="1"/>
    <col min="6" max="6" width="9" style="1" customWidth="1"/>
    <col min="7" max="7" width="38.5703125" style="1" customWidth="1"/>
    <col min="8" max="8" width="18.42578125" style="1" customWidth="1"/>
    <col min="9" max="13" width="19.42578125" style="1" customWidth="1"/>
    <col min="14" max="14" width="19.85546875" style="1" customWidth="1"/>
    <col min="15" max="17" width="19.42578125" style="1" customWidth="1"/>
    <col min="18" max="18" width="17.85546875" style="1" customWidth="1"/>
    <col min="19" max="19" width="24.7109375" style="216" customWidth="1"/>
    <col min="20" max="20" width="17.85546875" style="1" customWidth="1"/>
    <col min="21" max="21" width="16" style="1" customWidth="1"/>
    <col min="22" max="22" width="12.140625" style="1" customWidth="1"/>
    <col min="23" max="24" width="12.140625" style="347" customWidth="1"/>
    <col min="25" max="25" width="15.7109375" style="348" customWidth="1"/>
    <col min="26" max="31" width="12.140625" style="1" customWidth="1"/>
    <col min="32" max="16384" width="9.140625" style="1"/>
  </cols>
  <sheetData>
    <row r="1" spans="1:25" ht="60.75">
      <c r="A1" s="145" t="s">
        <v>22</v>
      </c>
      <c r="B1" s="145" t="s">
        <v>26</v>
      </c>
      <c r="C1" s="145" t="s">
        <v>26</v>
      </c>
      <c r="F1" s="9"/>
      <c r="G1" s="9"/>
      <c r="I1" s="2">
        <v>2011</v>
      </c>
      <c r="J1" s="2">
        <f>I1+1</f>
        <v>2012</v>
      </c>
      <c r="K1" s="2">
        <f t="shared" ref="K1" si="0">J1+1</f>
        <v>2013</v>
      </c>
      <c r="L1" s="2">
        <f t="shared" ref="L1" si="1">K1+1</f>
        <v>2014</v>
      </c>
      <c r="M1" s="2">
        <f t="shared" ref="M1" si="2">L1+1</f>
        <v>2015</v>
      </c>
      <c r="N1" s="2">
        <f t="shared" ref="N1" si="3">M1+1</f>
        <v>2016</v>
      </c>
      <c r="O1" s="2">
        <f t="shared" ref="O1" si="4">N1+1</f>
        <v>2017</v>
      </c>
      <c r="P1" s="2">
        <f t="shared" ref="P1" si="5">O1+1</f>
        <v>2018</v>
      </c>
      <c r="Q1" s="2">
        <f t="shared" ref="Q1" si="6">P1+1</f>
        <v>2019</v>
      </c>
      <c r="R1" s="2">
        <f t="shared" ref="R1" si="7">Q1+1</f>
        <v>2020</v>
      </c>
      <c r="S1" s="304">
        <f>R1+1</f>
        <v>2021</v>
      </c>
      <c r="T1" s="2">
        <f>S1+1</f>
        <v>2022</v>
      </c>
      <c r="U1" s="2">
        <f t="shared" ref="U1" si="8">T1+1</f>
        <v>2023</v>
      </c>
      <c r="V1" s="2"/>
      <c r="W1" s="1"/>
      <c r="X1" s="1"/>
      <c r="Y1" s="1"/>
    </row>
    <row r="2" spans="1:25">
      <c r="G2" s="62"/>
      <c r="H2" s="219" t="s">
        <v>309</v>
      </c>
      <c r="I2" s="220"/>
      <c r="J2" s="220"/>
      <c r="K2" s="220"/>
      <c r="L2" s="220"/>
      <c r="M2" s="220"/>
      <c r="N2" s="220"/>
      <c r="O2" s="220"/>
      <c r="P2" s="220"/>
      <c r="Q2" s="220"/>
      <c r="R2" s="220"/>
      <c r="S2" s="305">
        <v>7.9696892166366717E-2</v>
      </c>
      <c r="T2" s="221">
        <v>7.8737918965874246E-2</v>
      </c>
      <c r="U2" s="221">
        <v>7.8407467372863096E-2</v>
      </c>
      <c r="V2" s="346"/>
      <c r="W2" s="1"/>
      <c r="X2" s="1"/>
      <c r="Y2" s="1"/>
    </row>
    <row r="3" spans="1:25">
      <c r="G3" s="62"/>
      <c r="H3" s="219" t="s">
        <v>310</v>
      </c>
      <c r="I3" s="222"/>
      <c r="J3" s="221"/>
      <c r="K3" s="221"/>
      <c r="L3" s="221"/>
      <c r="M3" s="221"/>
      <c r="N3" s="221"/>
      <c r="O3" s="221"/>
      <c r="P3" s="221"/>
      <c r="Q3" s="221"/>
      <c r="R3" s="221"/>
      <c r="S3" s="305">
        <v>0.22350374113192695</v>
      </c>
      <c r="T3" s="221">
        <v>0.2182158613775059</v>
      </c>
      <c r="U3" s="221">
        <v>0.21529999999999999</v>
      </c>
      <c r="V3" s="346"/>
      <c r="W3" s="1"/>
      <c r="X3" s="1"/>
      <c r="Y3" s="1"/>
    </row>
    <row r="4" spans="1:25" customFormat="1" ht="12.75">
      <c r="A4" s="134"/>
      <c r="B4" s="134"/>
      <c r="C4" s="134"/>
      <c r="D4" s="134"/>
      <c r="E4" s="134"/>
      <c r="F4" s="134"/>
      <c r="G4" s="134"/>
      <c r="H4" s="134"/>
      <c r="I4" s="134"/>
      <c r="J4" s="134"/>
      <c r="K4" s="134"/>
      <c r="L4" s="134"/>
      <c r="M4" s="134"/>
      <c r="N4" s="134"/>
      <c r="O4" s="134"/>
      <c r="P4" s="134"/>
      <c r="Q4" s="134"/>
      <c r="R4" s="134"/>
      <c r="S4" s="288"/>
      <c r="T4" s="134"/>
      <c r="U4" s="134"/>
    </row>
    <row r="5" spans="1:25" ht="47.25">
      <c r="G5" s="25" t="s">
        <v>4</v>
      </c>
      <c r="H5" s="25" t="s">
        <v>13</v>
      </c>
      <c r="I5" s="25" t="s">
        <v>115</v>
      </c>
      <c r="J5" s="25" t="s">
        <v>14</v>
      </c>
      <c r="K5" s="25" t="s">
        <v>15</v>
      </c>
      <c r="L5" s="25" t="s">
        <v>125</v>
      </c>
      <c r="M5"/>
      <c r="N5"/>
      <c r="O5"/>
      <c r="P5"/>
      <c r="Q5"/>
      <c r="W5" s="1"/>
      <c r="X5" s="1"/>
      <c r="Y5" s="1"/>
    </row>
    <row r="6" spans="1:25">
      <c r="G6" s="257" t="s">
        <v>177</v>
      </c>
      <c r="H6" s="258" t="s">
        <v>192</v>
      </c>
      <c r="I6" s="259" t="s">
        <v>108</v>
      </c>
      <c r="J6" s="259" t="s">
        <v>1</v>
      </c>
      <c r="K6" s="260" t="s">
        <v>1</v>
      </c>
      <c r="L6" s="261">
        <v>43308</v>
      </c>
      <c r="M6"/>
      <c r="N6"/>
      <c r="O6"/>
      <c r="P6"/>
      <c r="Q6"/>
      <c r="W6" s="1"/>
      <c r="X6" s="1"/>
      <c r="Y6" s="1"/>
    </row>
    <row r="7" spans="1:25">
      <c r="G7" s="152" t="s">
        <v>178</v>
      </c>
      <c r="H7" s="27" t="s">
        <v>255</v>
      </c>
      <c r="I7" s="21" t="s">
        <v>108</v>
      </c>
      <c r="J7" s="21" t="s">
        <v>1</v>
      </c>
      <c r="K7" s="96" t="s">
        <v>1</v>
      </c>
      <c r="L7" s="256">
        <v>43371</v>
      </c>
      <c r="M7"/>
      <c r="N7"/>
      <c r="O7"/>
      <c r="P7"/>
      <c r="Q7"/>
      <c r="W7" s="1"/>
      <c r="X7" s="1"/>
      <c r="Y7" s="1"/>
    </row>
    <row r="8" spans="1:25">
      <c r="G8" s="177" t="s">
        <v>134</v>
      </c>
      <c r="H8" s="178" t="s">
        <v>135</v>
      </c>
      <c r="I8" s="179" t="s">
        <v>107</v>
      </c>
      <c r="J8" s="179" t="s">
        <v>1</v>
      </c>
      <c r="K8" s="180" t="s">
        <v>1</v>
      </c>
      <c r="L8" s="181">
        <v>39721</v>
      </c>
      <c r="M8"/>
      <c r="N8"/>
      <c r="O8"/>
      <c r="P8"/>
      <c r="Q8"/>
      <c r="W8" s="1"/>
      <c r="X8" s="1"/>
      <c r="Y8" s="1"/>
    </row>
    <row r="9" spans="1:25">
      <c r="G9" s="153" t="s">
        <v>206</v>
      </c>
      <c r="H9" s="28" t="s">
        <v>236</v>
      </c>
      <c r="I9" s="22" t="s">
        <v>114</v>
      </c>
      <c r="J9" s="22" t="s">
        <v>1</v>
      </c>
      <c r="K9" s="97" t="s">
        <v>1</v>
      </c>
      <c r="L9" s="98">
        <v>10594</v>
      </c>
      <c r="M9"/>
      <c r="N9"/>
      <c r="O9"/>
      <c r="P9"/>
      <c r="Q9"/>
      <c r="W9" s="1"/>
      <c r="X9" s="1"/>
      <c r="Y9" s="1"/>
    </row>
    <row r="10" spans="1:25">
      <c r="G10" s="153" t="s">
        <v>207</v>
      </c>
      <c r="H10" s="28" t="s">
        <v>237</v>
      </c>
      <c r="I10" s="22" t="s">
        <v>109</v>
      </c>
      <c r="J10" s="22" t="s">
        <v>1</v>
      </c>
      <c r="K10" s="97" t="s">
        <v>1</v>
      </c>
      <c r="L10" s="98">
        <v>30864</v>
      </c>
      <c r="M10"/>
      <c r="N10"/>
      <c r="O10"/>
      <c r="P10"/>
      <c r="Q10"/>
      <c r="W10" s="1"/>
      <c r="X10" s="1"/>
      <c r="Y10" s="1"/>
    </row>
    <row r="11" spans="1:25">
      <c r="G11" s="153" t="s">
        <v>208</v>
      </c>
      <c r="H11" s="28" t="s">
        <v>238</v>
      </c>
      <c r="I11" s="22" t="s">
        <v>109</v>
      </c>
      <c r="J11" s="22" t="s">
        <v>1</v>
      </c>
      <c r="K11" s="97" t="s">
        <v>1</v>
      </c>
      <c r="L11" s="98">
        <v>39387</v>
      </c>
      <c r="M11"/>
      <c r="N11"/>
      <c r="O11"/>
      <c r="P11"/>
      <c r="Q11"/>
      <c r="W11" s="1"/>
      <c r="X11" s="1"/>
      <c r="Y11" s="1"/>
    </row>
    <row r="12" spans="1:25">
      <c r="G12" s="153" t="s">
        <v>179</v>
      </c>
      <c r="H12" s="28" t="s">
        <v>193</v>
      </c>
      <c r="I12" s="22" t="s">
        <v>108</v>
      </c>
      <c r="J12" s="22" t="s">
        <v>1</v>
      </c>
      <c r="K12" s="97" t="s">
        <v>1</v>
      </c>
      <c r="L12" s="98">
        <v>43455</v>
      </c>
      <c r="M12"/>
      <c r="N12"/>
      <c r="O12"/>
      <c r="P12"/>
      <c r="Q12"/>
      <c r="W12" s="1"/>
      <c r="X12" s="1"/>
      <c r="Y12" s="1"/>
    </row>
    <row r="13" spans="1:25">
      <c r="F13" s="255"/>
      <c r="G13" s="153" t="s">
        <v>209</v>
      </c>
      <c r="H13" s="28" t="s">
        <v>159</v>
      </c>
      <c r="I13" s="22" t="s">
        <v>107</v>
      </c>
      <c r="J13" s="22" t="s">
        <v>1</v>
      </c>
      <c r="K13" s="97" t="s">
        <v>1</v>
      </c>
      <c r="L13" s="98">
        <v>40148</v>
      </c>
      <c r="M13"/>
      <c r="N13"/>
      <c r="O13"/>
      <c r="P13"/>
      <c r="Q13"/>
      <c r="W13" s="1"/>
      <c r="X13" s="1"/>
      <c r="Y13" s="1"/>
    </row>
    <row r="14" spans="1:25">
      <c r="G14" s="153" t="s">
        <v>210</v>
      </c>
      <c r="H14" s="28" t="s">
        <v>239</v>
      </c>
      <c r="I14" s="22" t="s">
        <v>107</v>
      </c>
      <c r="J14" s="22" t="s">
        <v>1</v>
      </c>
      <c r="K14" s="97" t="s">
        <v>1</v>
      </c>
      <c r="L14" s="98">
        <v>44180</v>
      </c>
      <c r="M14"/>
      <c r="N14"/>
      <c r="O14"/>
      <c r="P14"/>
      <c r="Q14"/>
      <c r="W14" s="1"/>
      <c r="X14" s="1"/>
      <c r="Y14" s="1"/>
    </row>
    <row r="15" spans="1:25">
      <c r="G15" s="153" t="s">
        <v>211</v>
      </c>
      <c r="H15" s="28" t="s">
        <v>304</v>
      </c>
      <c r="I15" s="22" t="s">
        <v>107</v>
      </c>
      <c r="J15" s="22" t="s">
        <v>1</v>
      </c>
      <c r="K15" s="97" t="s">
        <v>1</v>
      </c>
      <c r="L15" s="98">
        <v>44173</v>
      </c>
      <c r="M15"/>
      <c r="N15"/>
      <c r="O15"/>
      <c r="P15"/>
      <c r="Q15"/>
      <c r="W15" s="1"/>
      <c r="X15" s="1"/>
      <c r="Y15" s="1"/>
    </row>
    <row r="16" spans="1:25">
      <c r="G16" s="153" t="s">
        <v>212</v>
      </c>
      <c r="H16" s="28" t="s">
        <v>240</v>
      </c>
      <c r="I16" s="22" t="s">
        <v>107</v>
      </c>
      <c r="J16" s="22" t="s">
        <v>1</v>
      </c>
      <c r="K16" s="97" t="s">
        <v>1</v>
      </c>
      <c r="L16" s="98">
        <v>44176</v>
      </c>
      <c r="M16"/>
      <c r="N16"/>
      <c r="O16"/>
      <c r="P16"/>
      <c r="Q16"/>
      <c r="W16" s="1"/>
      <c r="X16" s="1"/>
      <c r="Y16" s="1"/>
    </row>
    <row r="17" spans="7:25">
      <c r="G17" s="153" t="s">
        <v>288</v>
      </c>
      <c r="H17" s="28" t="s">
        <v>289</v>
      </c>
      <c r="I17" s="22" t="s">
        <v>107</v>
      </c>
      <c r="J17" s="22" t="s">
        <v>1</v>
      </c>
      <c r="K17" s="97" t="s">
        <v>1</v>
      </c>
      <c r="L17" s="98">
        <v>37256</v>
      </c>
      <c r="M17"/>
      <c r="N17"/>
      <c r="O17"/>
      <c r="P17"/>
      <c r="Q17"/>
      <c r="W17" s="1"/>
      <c r="X17" s="1"/>
      <c r="Y17" s="1"/>
    </row>
    <row r="18" spans="7:25">
      <c r="G18" s="153" t="s">
        <v>290</v>
      </c>
      <c r="H18" s="28" t="s">
        <v>291</v>
      </c>
      <c r="I18" s="22" t="s">
        <v>107</v>
      </c>
      <c r="J18" s="22" t="s">
        <v>1</v>
      </c>
      <c r="K18" s="97" t="s">
        <v>1</v>
      </c>
      <c r="L18" s="98">
        <v>37408</v>
      </c>
      <c r="M18"/>
      <c r="N18"/>
      <c r="O18"/>
      <c r="P18"/>
      <c r="Q18"/>
      <c r="W18" s="1"/>
      <c r="X18" s="1"/>
      <c r="Y18" s="1"/>
    </row>
    <row r="19" spans="7:25">
      <c r="G19" s="153" t="s">
        <v>156</v>
      </c>
      <c r="H19" s="28" t="s">
        <v>157</v>
      </c>
      <c r="I19" s="22" t="s">
        <v>107</v>
      </c>
      <c r="J19" s="22" t="s">
        <v>1</v>
      </c>
      <c r="K19" s="97" t="s">
        <v>1</v>
      </c>
      <c r="L19" s="98">
        <v>40452</v>
      </c>
      <c r="M19"/>
      <c r="N19"/>
      <c r="O19"/>
      <c r="P19"/>
      <c r="Q19"/>
      <c r="W19" s="1"/>
      <c r="X19" s="1"/>
      <c r="Y19" s="1"/>
    </row>
    <row r="20" spans="7:25">
      <c r="G20" s="153" t="s">
        <v>213</v>
      </c>
      <c r="H20" s="28" t="s">
        <v>305</v>
      </c>
      <c r="I20" s="22" t="s">
        <v>107</v>
      </c>
      <c r="J20" s="22" t="s">
        <v>1</v>
      </c>
      <c r="K20" s="97" t="s">
        <v>1</v>
      </c>
      <c r="L20" s="98">
        <v>44195</v>
      </c>
      <c r="M20"/>
      <c r="N20"/>
      <c r="O20"/>
      <c r="P20"/>
      <c r="Q20"/>
      <c r="W20" s="1"/>
      <c r="X20" s="1"/>
      <c r="Y20" s="1"/>
    </row>
    <row r="21" spans="7:25">
      <c r="G21" s="153" t="s">
        <v>180</v>
      </c>
      <c r="H21" s="28" t="s">
        <v>194</v>
      </c>
      <c r="I21" s="22" t="s">
        <v>108</v>
      </c>
      <c r="J21" s="22" t="s">
        <v>1</v>
      </c>
      <c r="K21" s="97" t="s">
        <v>1</v>
      </c>
      <c r="L21" s="98">
        <v>43455</v>
      </c>
      <c r="M21"/>
      <c r="N21"/>
      <c r="O21"/>
      <c r="P21"/>
      <c r="Q21"/>
      <c r="W21" s="1"/>
      <c r="X21" s="1"/>
      <c r="Y21" s="1"/>
    </row>
    <row r="22" spans="7:25">
      <c r="G22" s="153" t="s">
        <v>284</v>
      </c>
      <c r="H22" s="28" t="s">
        <v>285</v>
      </c>
      <c r="I22" s="22" t="s">
        <v>107</v>
      </c>
      <c r="J22" s="22" t="s">
        <v>1</v>
      </c>
      <c r="K22" s="97" t="s">
        <v>1</v>
      </c>
      <c r="L22" s="98">
        <v>39406</v>
      </c>
      <c r="M22"/>
      <c r="N22"/>
      <c r="O22"/>
      <c r="P22"/>
      <c r="Q22"/>
      <c r="W22" s="1"/>
      <c r="X22" s="1"/>
      <c r="Y22" s="1"/>
    </row>
    <row r="23" spans="7:25">
      <c r="G23" s="153" t="s">
        <v>214</v>
      </c>
      <c r="H23" s="28" t="s">
        <v>184</v>
      </c>
      <c r="I23" s="22" t="s">
        <v>108</v>
      </c>
      <c r="J23" s="22" t="s">
        <v>1</v>
      </c>
      <c r="K23" s="97" t="s">
        <v>1</v>
      </c>
      <c r="L23" s="98">
        <v>43322</v>
      </c>
      <c r="M23"/>
      <c r="N23"/>
      <c r="O23"/>
      <c r="P23"/>
      <c r="Q23"/>
      <c r="W23" s="1"/>
      <c r="X23" s="1"/>
      <c r="Y23" s="1"/>
    </row>
    <row r="24" spans="7:25">
      <c r="G24" s="153" t="s">
        <v>280</v>
      </c>
      <c r="H24" s="28" t="s">
        <v>281</v>
      </c>
      <c r="I24" s="22" t="s">
        <v>110</v>
      </c>
      <c r="J24" s="22" t="s">
        <v>1</v>
      </c>
      <c r="K24" s="97" t="s">
        <v>1</v>
      </c>
      <c r="L24" s="98">
        <v>40973</v>
      </c>
      <c r="M24"/>
      <c r="N24"/>
      <c r="O24"/>
      <c r="P24"/>
      <c r="Q24"/>
      <c r="W24" s="1"/>
      <c r="X24" s="1"/>
      <c r="Y24" s="1"/>
    </row>
    <row r="25" spans="7:25">
      <c r="G25" s="153" t="s">
        <v>215</v>
      </c>
      <c r="H25" s="28" t="s">
        <v>241</v>
      </c>
      <c r="I25" s="22" t="s">
        <v>107</v>
      </c>
      <c r="J25" s="22" t="s">
        <v>1</v>
      </c>
      <c r="K25" s="97" t="s">
        <v>1</v>
      </c>
      <c r="L25" s="98">
        <v>36272</v>
      </c>
      <c r="M25"/>
      <c r="N25"/>
      <c r="O25"/>
      <c r="P25"/>
      <c r="Q25"/>
      <c r="W25" s="1"/>
      <c r="X25" s="1"/>
      <c r="Y25" s="1"/>
    </row>
    <row r="26" spans="7:25">
      <c r="G26" s="153" t="s">
        <v>216</v>
      </c>
      <c r="H26" s="28" t="s">
        <v>161</v>
      </c>
      <c r="I26" s="22" t="s">
        <v>107</v>
      </c>
      <c r="J26" s="22" t="s">
        <v>1</v>
      </c>
      <c r="K26" s="97" t="s">
        <v>1</v>
      </c>
      <c r="L26" s="98">
        <v>39813</v>
      </c>
      <c r="M26"/>
      <c r="N26"/>
      <c r="O26"/>
      <c r="P26"/>
      <c r="Q26"/>
      <c r="W26" s="1"/>
      <c r="X26" s="1"/>
      <c r="Y26" s="1"/>
    </row>
    <row r="27" spans="7:25">
      <c r="G27" s="153" t="s">
        <v>217</v>
      </c>
      <c r="H27" s="28" t="s">
        <v>242</v>
      </c>
      <c r="I27" s="22" t="s">
        <v>107</v>
      </c>
      <c r="J27" s="22" t="s">
        <v>1</v>
      </c>
      <c r="K27" s="97" t="s">
        <v>1</v>
      </c>
      <c r="L27" s="98">
        <v>39830</v>
      </c>
      <c r="M27"/>
      <c r="N27"/>
      <c r="O27"/>
      <c r="P27"/>
      <c r="Q27"/>
      <c r="W27" s="1"/>
      <c r="X27" s="1"/>
      <c r="Y27" s="1"/>
    </row>
    <row r="28" spans="7:25">
      <c r="G28" s="153" t="s">
        <v>127</v>
      </c>
      <c r="H28" s="28" t="s">
        <v>128</v>
      </c>
      <c r="I28" s="22" t="s">
        <v>107</v>
      </c>
      <c r="J28" s="22" t="s">
        <v>1</v>
      </c>
      <c r="K28" s="97" t="s">
        <v>1</v>
      </c>
      <c r="L28" s="98">
        <v>39599</v>
      </c>
      <c r="M28"/>
      <c r="N28"/>
      <c r="O28"/>
      <c r="P28"/>
      <c r="Q28"/>
      <c r="W28" s="1"/>
      <c r="X28" s="1"/>
      <c r="Y28" s="1"/>
    </row>
    <row r="29" spans="7:25">
      <c r="G29" s="153" t="s">
        <v>197</v>
      </c>
      <c r="H29" s="28" t="s">
        <v>195</v>
      </c>
      <c r="I29" s="22" t="s">
        <v>108</v>
      </c>
      <c r="J29" s="22" t="s">
        <v>1</v>
      </c>
      <c r="K29" s="97" t="s">
        <v>1</v>
      </c>
      <c r="L29" s="98">
        <v>42668</v>
      </c>
      <c r="M29"/>
      <c r="N29"/>
      <c r="O29"/>
      <c r="P29"/>
      <c r="Q29"/>
      <c r="W29" s="1"/>
      <c r="X29" s="1"/>
      <c r="Y29" s="1"/>
    </row>
    <row r="30" spans="7:25">
      <c r="G30" s="153" t="s">
        <v>198</v>
      </c>
      <c r="H30" s="28" t="s">
        <v>196</v>
      </c>
      <c r="I30" s="22" t="s">
        <v>108</v>
      </c>
      <c r="J30" s="22" t="s">
        <v>1</v>
      </c>
      <c r="K30" s="97" t="s">
        <v>1</v>
      </c>
      <c r="L30" s="98">
        <v>42668</v>
      </c>
      <c r="M30"/>
      <c r="N30"/>
      <c r="O30"/>
      <c r="P30"/>
      <c r="Q30"/>
      <c r="W30" s="1"/>
      <c r="X30" s="1"/>
      <c r="Y30" s="1"/>
    </row>
    <row r="31" spans="7:25">
      <c r="G31" s="153" t="s">
        <v>282</v>
      </c>
      <c r="H31" s="28" t="s">
        <v>283</v>
      </c>
      <c r="I31" s="22" t="s">
        <v>110</v>
      </c>
      <c r="J31" s="22" t="s">
        <v>1</v>
      </c>
      <c r="K31" s="97" t="s">
        <v>1</v>
      </c>
      <c r="L31" s="98">
        <v>38636</v>
      </c>
      <c r="M31"/>
      <c r="N31"/>
      <c r="O31"/>
      <c r="P31"/>
      <c r="Q31"/>
      <c r="W31" s="1"/>
      <c r="X31" s="1"/>
      <c r="Y31" s="1"/>
    </row>
    <row r="32" spans="7:25">
      <c r="G32" s="153" t="s">
        <v>218</v>
      </c>
      <c r="H32" s="28" t="s">
        <v>243</v>
      </c>
      <c r="I32" s="22" t="s">
        <v>107</v>
      </c>
      <c r="J32" s="22" t="s">
        <v>1</v>
      </c>
      <c r="K32" s="97" t="s">
        <v>1</v>
      </c>
      <c r="L32" s="98">
        <v>40025</v>
      </c>
      <c r="M32"/>
      <c r="N32"/>
      <c r="O32"/>
      <c r="P32"/>
      <c r="Q32"/>
      <c r="W32" s="1"/>
      <c r="X32" s="1"/>
      <c r="Y32" s="1"/>
    </row>
    <row r="33" spans="7:25">
      <c r="G33" s="153" t="s">
        <v>136</v>
      </c>
      <c r="H33" s="28" t="s">
        <v>137</v>
      </c>
      <c r="I33" s="22" t="s">
        <v>107</v>
      </c>
      <c r="J33" s="22" t="s">
        <v>1</v>
      </c>
      <c r="K33" s="97" t="s">
        <v>1</v>
      </c>
      <c r="L33" s="98">
        <v>39721</v>
      </c>
      <c r="M33"/>
      <c r="N33"/>
      <c r="O33"/>
      <c r="P33"/>
      <c r="Q33"/>
      <c r="W33" s="1"/>
      <c r="X33" s="1"/>
      <c r="Y33" s="1"/>
    </row>
    <row r="34" spans="7:25">
      <c r="G34" s="153" t="s">
        <v>219</v>
      </c>
      <c r="H34" s="28" t="s">
        <v>142</v>
      </c>
      <c r="I34" s="22" t="s">
        <v>114</v>
      </c>
      <c r="J34" s="22" t="s">
        <v>1</v>
      </c>
      <c r="K34" s="97" t="s">
        <v>1</v>
      </c>
      <c r="L34" s="98">
        <v>10228</v>
      </c>
      <c r="M34"/>
      <c r="N34"/>
      <c r="O34"/>
      <c r="P34"/>
      <c r="Q34"/>
      <c r="W34" s="1"/>
      <c r="X34" s="1"/>
      <c r="Y34" s="1"/>
    </row>
    <row r="35" spans="7:25">
      <c r="G35" s="153" t="s">
        <v>292</v>
      </c>
      <c r="H35" s="28" t="s">
        <v>293</v>
      </c>
      <c r="I35" s="22" t="s">
        <v>107</v>
      </c>
      <c r="J35" s="22" t="s">
        <v>1</v>
      </c>
      <c r="K35" s="97" t="s">
        <v>1</v>
      </c>
      <c r="L35" s="98">
        <v>37257</v>
      </c>
      <c r="M35"/>
      <c r="N35"/>
      <c r="O35"/>
      <c r="P35"/>
      <c r="Q35"/>
      <c r="W35" s="1"/>
      <c r="X35" s="1"/>
      <c r="Y35" s="1"/>
    </row>
    <row r="36" spans="7:25">
      <c r="G36" s="484" t="s">
        <v>220</v>
      </c>
      <c r="H36" s="485" t="s">
        <v>306</v>
      </c>
      <c r="I36" s="486" t="s">
        <v>107</v>
      </c>
      <c r="J36" s="486" t="s">
        <v>1</v>
      </c>
      <c r="K36" s="487" t="s">
        <v>1</v>
      </c>
      <c r="L36" s="488">
        <v>42433</v>
      </c>
      <c r="M36"/>
      <c r="N36"/>
      <c r="O36"/>
      <c r="P36"/>
      <c r="Q36"/>
      <c r="W36" s="1"/>
      <c r="X36" s="1"/>
      <c r="Y36" s="1"/>
    </row>
    <row r="37" spans="7:25">
      <c r="G37" s="153" t="s">
        <v>129</v>
      </c>
      <c r="H37" s="28" t="s">
        <v>256</v>
      </c>
      <c r="I37" s="22" t="s">
        <v>107</v>
      </c>
      <c r="J37" s="22" t="s">
        <v>1</v>
      </c>
      <c r="K37" s="97" t="s">
        <v>1</v>
      </c>
      <c r="L37" s="98">
        <v>38974</v>
      </c>
      <c r="M37"/>
      <c r="N37"/>
      <c r="O37"/>
      <c r="P37"/>
      <c r="Q37"/>
      <c r="W37" s="1"/>
      <c r="X37" s="1"/>
      <c r="Y37" s="1"/>
    </row>
    <row r="38" spans="7:25">
      <c r="G38" s="153" t="s">
        <v>221</v>
      </c>
      <c r="H38" s="28" t="s">
        <v>141</v>
      </c>
      <c r="I38" s="22" t="s">
        <v>114</v>
      </c>
      <c r="J38" s="22" t="s">
        <v>1</v>
      </c>
      <c r="K38" s="97" t="s">
        <v>1</v>
      </c>
      <c r="L38" s="98">
        <v>20271</v>
      </c>
      <c r="M38"/>
      <c r="N38"/>
      <c r="O38"/>
      <c r="P38"/>
      <c r="Q38"/>
      <c r="W38" s="1"/>
      <c r="X38" s="1"/>
      <c r="Y38" s="1"/>
    </row>
    <row r="39" spans="7:25">
      <c r="G39" s="153" t="s">
        <v>222</v>
      </c>
      <c r="H39" s="28" t="s">
        <v>143</v>
      </c>
      <c r="I39" s="22" t="s">
        <v>114</v>
      </c>
      <c r="J39" s="22" t="s">
        <v>1</v>
      </c>
      <c r="K39" s="97" t="s">
        <v>1</v>
      </c>
      <c r="L39" s="98">
        <v>20760</v>
      </c>
      <c r="M39"/>
      <c r="N39"/>
      <c r="O39"/>
      <c r="P39"/>
      <c r="Q39"/>
      <c r="W39" s="1"/>
      <c r="X39" s="1"/>
      <c r="Y39" s="1"/>
    </row>
    <row r="40" spans="7:25">
      <c r="G40" s="153" t="s">
        <v>286</v>
      </c>
      <c r="H40" s="28" t="s">
        <v>287</v>
      </c>
      <c r="I40" s="22" t="s">
        <v>107</v>
      </c>
      <c r="J40" s="22" t="s">
        <v>1</v>
      </c>
      <c r="K40" s="97" t="s">
        <v>1</v>
      </c>
      <c r="L40" s="98">
        <v>40968</v>
      </c>
      <c r="M40"/>
      <c r="N40"/>
      <c r="O40"/>
      <c r="P40"/>
      <c r="Q40"/>
      <c r="W40" s="1"/>
      <c r="X40" s="1"/>
      <c r="Y40" s="1"/>
    </row>
    <row r="41" spans="7:25">
      <c r="G41" s="153" t="s">
        <v>130</v>
      </c>
      <c r="H41" s="28" t="s">
        <v>131</v>
      </c>
      <c r="I41" s="22" t="s">
        <v>107</v>
      </c>
      <c r="J41" s="22" t="s">
        <v>1</v>
      </c>
      <c r="K41" s="97" t="s">
        <v>1</v>
      </c>
      <c r="L41" s="98">
        <v>39295</v>
      </c>
      <c r="M41"/>
      <c r="N41"/>
      <c r="O41"/>
      <c r="P41"/>
      <c r="Q41"/>
      <c r="W41" s="1"/>
      <c r="X41" s="1"/>
      <c r="Y41" s="1"/>
    </row>
    <row r="42" spans="7:25">
      <c r="G42" s="153" t="s">
        <v>132</v>
      </c>
      <c r="H42" s="28" t="s">
        <v>133</v>
      </c>
      <c r="I42" s="22" t="s">
        <v>107</v>
      </c>
      <c r="J42" s="22" t="s">
        <v>1</v>
      </c>
      <c r="K42" s="97" t="s">
        <v>1</v>
      </c>
      <c r="L42" s="98">
        <v>39627</v>
      </c>
      <c r="M42"/>
      <c r="N42"/>
      <c r="O42"/>
      <c r="P42"/>
      <c r="Q42"/>
      <c r="W42" s="1"/>
      <c r="X42" s="1"/>
      <c r="Y42" s="1"/>
    </row>
    <row r="43" spans="7:25">
      <c r="G43" s="153" t="s">
        <v>223</v>
      </c>
      <c r="H43" s="28" t="s">
        <v>244</v>
      </c>
      <c r="I43" s="22" t="s">
        <v>107</v>
      </c>
      <c r="J43" s="22" t="s">
        <v>1</v>
      </c>
      <c r="K43" s="97" t="s">
        <v>1</v>
      </c>
      <c r="L43" s="98">
        <v>40085</v>
      </c>
      <c r="M43"/>
      <c r="N43"/>
      <c r="O43"/>
      <c r="P43"/>
      <c r="Q43"/>
      <c r="W43" s="1"/>
      <c r="X43" s="1"/>
      <c r="Y43" s="1"/>
    </row>
    <row r="44" spans="7:25" ht="15" customHeight="1">
      <c r="G44" s="153" t="s">
        <v>294</v>
      </c>
      <c r="H44" s="28" t="s">
        <v>295</v>
      </c>
      <c r="I44" s="22" t="s">
        <v>107</v>
      </c>
      <c r="J44" s="22" t="s">
        <v>1</v>
      </c>
      <c r="K44" s="97" t="s">
        <v>1</v>
      </c>
      <c r="L44" s="98">
        <v>41265</v>
      </c>
      <c r="M44"/>
      <c r="N44"/>
      <c r="O44"/>
      <c r="P44"/>
      <c r="Q44"/>
      <c r="W44" s="1"/>
      <c r="X44" s="1"/>
      <c r="Y44" s="1"/>
    </row>
    <row r="45" spans="7:25" ht="15" customHeight="1">
      <c r="G45" s="153" t="s">
        <v>296</v>
      </c>
      <c r="H45" s="28" t="s">
        <v>297</v>
      </c>
      <c r="I45" s="22" t="s">
        <v>107</v>
      </c>
      <c r="J45" s="22" t="s">
        <v>1</v>
      </c>
      <c r="K45" s="97" t="s">
        <v>1</v>
      </c>
      <c r="L45" s="98">
        <v>41254</v>
      </c>
      <c r="M45"/>
      <c r="N45"/>
      <c r="O45"/>
      <c r="P45"/>
      <c r="Q45"/>
      <c r="W45" s="1"/>
      <c r="X45" s="1"/>
      <c r="Y45" s="1"/>
    </row>
    <row r="46" spans="7:25" ht="15" customHeight="1">
      <c r="G46" s="484" t="s">
        <v>224</v>
      </c>
      <c r="H46" s="485" t="s">
        <v>245</v>
      </c>
      <c r="I46" s="486" t="s">
        <v>107</v>
      </c>
      <c r="J46" s="486" t="s">
        <v>1</v>
      </c>
      <c r="K46" s="487" t="s">
        <v>1</v>
      </c>
      <c r="L46" s="488">
        <v>39630</v>
      </c>
      <c r="M46"/>
      <c r="N46"/>
      <c r="O46"/>
      <c r="P46"/>
      <c r="Q46"/>
      <c r="W46" s="1"/>
      <c r="X46" s="1"/>
      <c r="Y46" s="1"/>
    </row>
    <row r="47" spans="7:25" ht="15" customHeight="1">
      <c r="G47" s="484" t="s">
        <v>225</v>
      </c>
      <c r="H47" s="485" t="s">
        <v>246</v>
      </c>
      <c r="I47" s="486" t="s">
        <v>107</v>
      </c>
      <c r="J47" s="486" t="s">
        <v>1</v>
      </c>
      <c r="K47" s="487" t="s">
        <v>1</v>
      </c>
      <c r="L47" s="488">
        <v>39720</v>
      </c>
      <c r="M47"/>
      <c r="N47"/>
      <c r="O47"/>
      <c r="P47"/>
      <c r="Q47"/>
      <c r="W47" s="1"/>
      <c r="X47" s="1"/>
      <c r="Y47" s="1"/>
    </row>
    <row r="48" spans="7:25" ht="15" customHeight="1">
      <c r="G48" s="153" t="s">
        <v>276</v>
      </c>
      <c r="H48" s="28" t="s">
        <v>277</v>
      </c>
      <c r="I48" s="22" t="s">
        <v>107</v>
      </c>
      <c r="J48" s="22" t="s">
        <v>1</v>
      </c>
      <c r="K48" s="97" t="s">
        <v>1</v>
      </c>
      <c r="L48" s="98">
        <v>37500</v>
      </c>
      <c r="M48"/>
      <c r="N48"/>
      <c r="O48"/>
      <c r="P48"/>
      <c r="Q48"/>
      <c r="W48" s="1"/>
      <c r="X48" s="1"/>
      <c r="Y48" s="1"/>
    </row>
    <row r="49" spans="7:25" ht="15" customHeight="1">
      <c r="G49" s="153" t="s">
        <v>298</v>
      </c>
      <c r="H49" s="28" t="s">
        <v>299</v>
      </c>
      <c r="I49" s="22" t="s">
        <v>107</v>
      </c>
      <c r="J49" s="22" t="s">
        <v>1</v>
      </c>
      <c r="K49" s="97" t="s">
        <v>1</v>
      </c>
      <c r="L49" s="98">
        <v>39569</v>
      </c>
      <c r="M49"/>
      <c r="N49"/>
      <c r="O49"/>
      <c r="P49"/>
      <c r="Q49"/>
      <c r="W49" s="1"/>
      <c r="X49" s="1"/>
      <c r="Y49" s="1"/>
    </row>
    <row r="50" spans="7:25" ht="15" customHeight="1">
      <c r="G50" s="153" t="s">
        <v>226</v>
      </c>
      <c r="H50" s="28" t="s">
        <v>183</v>
      </c>
      <c r="I50" s="22" t="s">
        <v>108</v>
      </c>
      <c r="J50" s="22" t="s">
        <v>1</v>
      </c>
      <c r="K50" s="97" t="s">
        <v>1</v>
      </c>
      <c r="L50" s="98">
        <v>42368</v>
      </c>
      <c r="M50"/>
      <c r="N50"/>
      <c r="O50"/>
      <c r="P50"/>
      <c r="Q50"/>
      <c r="W50" s="1"/>
      <c r="X50" s="1"/>
      <c r="Y50" s="1"/>
    </row>
    <row r="51" spans="7:25" ht="15" customHeight="1">
      <c r="G51" s="484" t="s">
        <v>227</v>
      </c>
      <c r="H51" s="485" t="s">
        <v>247</v>
      </c>
      <c r="I51" s="486" t="s">
        <v>108</v>
      </c>
      <c r="J51" s="486" t="s">
        <v>1</v>
      </c>
      <c r="K51" s="487" t="s">
        <v>1</v>
      </c>
      <c r="L51" s="488">
        <v>42696</v>
      </c>
      <c r="M51"/>
      <c r="N51"/>
      <c r="O51"/>
      <c r="P51"/>
      <c r="Q51"/>
      <c r="W51" s="1"/>
      <c r="X51" s="1"/>
      <c r="Y51" s="1"/>
    </row>
    <row r="52" spans="7:25" ht="15" customHeight="1">
      <c r="G52" s="484" t="s">
        <v>228</v>
      </c>
      <c r="H52" s="485" t="s">
        <v>248</v>
      </c>
      <c r="I52" s="486" t="s">
        <v>107</v>
      </c>
      <c r="J52" s="486" t="s">
        <v>1</v>
      </c>
      <c r="K52" s="487" t="s">
        <v>1</v>
      </c>
      <c r="L52" s="488">
        <v>42670</v>
      </c>
      <c r="M52"/>
      <c r="N52"/>
      <c r="O52"/>
      <c r="P52"/>
      <c r="Q52"/>
      <c r="W52" s="1"/>
      <c r="X52" s="1"/>
      <c r="Y52" s="1"/>
    </row>
    <row r="53" spans="7:25" ht="15" customHeight="1">
      <c r="G53" s="153" t="s">
        <v>229</v>
      </c>
      <c r="H53" s="28" t="s">
        <v>139</v>
      </c>
      <c r="I53" s="22" t="s">
        <v>114</v>
      </c>
      <c r="J53" s="22" t="s">
        <v>1</v>
      </c>
      <c r="K53" s="97" t="s">
        <v>1</v>
      </c>
      <c r="L53" s="98">
        <v>10228</v>
      </c>
      <c r="M53"/>
      <c r="N53"/>
      <c r="O53"/>
      <c r="P53"/>
      <c r="Q53"/>
      <c r="W53" s="1"/>
      <c r="X53" s="1"/>
      <c r="Y53" s="1"/>
    </row>
    <row r="54" spans="7:25" ht="15" customHeight="1">
      <c r="G54" s="153" t="s">
        <v>230</v>
      </c>
      <c r="H54" s="28" t="s">
        <v>249</v>
      </c>
      <c r="I54" s="22" t="s">
        <v>107</v>
      </c>
      <c r="J54" s="22" t="s">
        <v>1</v>
      </c>
      <c r="K54" s="97" t="s">
        <v>1</v>
      </c>
      <c r="L54" s="98">
        <v>37203</v>
      </c>
      <c r="M54"/>
      <c r="N54"/>
      <c r="O54"/>
      <c r="P54"/>
      <c r="Q54"/>
      <c r="W54" s="1"/>
      <c r="X54" s="1"/>
      <c r="Y54" s="1"/>
    </row>
    <row r="55" spans="7:25" ht="15" customHeight="1">
      <c r="G55" s="153" t="s">
        <v>162</v>
      </c>
      <c r="H55" s="28" t="s">
        <v>163</v>
      </c>
      <c r="I55" s="22" t="s">
        <v>107</v>
      </c>
      <c r="J55" s="22" t="s">
        <v>1</v>
      </c>
      <c r="K55" s="97" t="s">
        <v>1</v>
      </c>
      <c r="L55" s="98">
        <v>39830</v>
      </c>
      <c r="M55"/>
      <c r="N55"/>
      <c r="O55"/>
      <c r="P55"/>
      <c r="Q55"/>
      <c r="W55" s="1"/>
      <c r="X55" s="1"/>
      <c r="Y55" s="1"/>
    </row>
    <row r="56" spans="7:25" ht="15" customHeight="1">
      <c r="G56" s="484" t="s">
        <v>231</v>
      </c>
      <c r="H56" s="485" t="s">
        <v>250</v>
      </c>
      <c r="I56" s="486" t="s">
        <v>108</v>
      </c>
      <c r="J56" s="486" t="s">
        <v>1</v>
      </c>
      <c r="K56" s="487" t="s">
        <v>1</v>
      </c>
      <c r="L56" s="488">
        <v>43738</v>
      </c>
      <c r="M56"/>
      <c r="N56"/>
      <c r="O56"/>
      <c r="P56"/>
      <c r="Q56"/>
      <c r="W56" s="1"/>
      <c r="X56" s="1"/>
      <c r="Y56" s="1"/>
    </row>
    <row r="57" spans="7:25" ht="15" customHeight="1">
      <c r="G57" s="484" t="s">
        <v>232</v>
      </c>
      <c r="H57" s="485" t="s">
        <v>251</v>
      </c>
      <c r="I57" s="486" t="s">
        <v>108</v>
      </c>
      <c r="J57" s="486" t="s">
        <v>1</v>
      </c>
      <c r="K57" s="487" t="s">
        <v>1</v>
      </c>
      <c r="L57" s="488">
        <v>43721</v>
      </c>
      <c r="M57"/>
      <c r="N57"/>
      <c r="O57"/>
      <c r="P57"/>
      <c r="Q57"/>
      <c r="W57" s="1"/>
      <c r="X57" s="1"/>
      <c r="Y57" s="1"/>
    </row>
    <row r="58" spans="7:25" ht="15" customHeight="1">
      <c r="G58" s="484" t="s">
        <v>233</v>
      </c>
      <c r="H58" s="485" t="s">
        <v>252</v>
      </c>
      <c r="I58" s="486" t="s">
        <v>108</v>
      </c>
      <c r="J58" s="486" t="s">
        <v>1</v>
      </c>
      <c r="K58" s="487" t="s">
        <v>1</v>
      </c>
      <c r="L58" s="488">
        <v>43721</v>
      </c>
      <c r="M58"/>
      <c r="N58"/>
      <c r="O58"/>
      <c r="P58"/>
      <c r="Q58"/>
      <c r="W58" s="1"/>
      <c r="X58" s="1"/>
      <c r="Y58" s="1"/>
    </row>
    <row r="59" spans="7:25" ht="15" customHeight="1">
      <c r="G59" s="153" t="s">
        <v>165</v>
      </c>
      <c r="H59" s="28" t="s">
        <v>166</v>
      </c>
      <c r="I59" s="22" t="s">
        <v>107</v>
      </c>
      <c r="J59" s="22" t="s">
        <v>1</v>
      </c>
      <c r="K59" s="97" t="s">
        <v>1</v>
      </c>
      <c r="L59" s="98">
        <v>39813</v>
      </c>
      <c r="M59"/>
      <c r="N59"/>
      <c r="O59"/>
      <c r="P59"/>
      <c r="Q59"/>
      <c r="W59" s="1"/>
      <c r="X59" s="1"/>
      <c r="Y59" s="1"/>
    </row>
    <row r="60" spans="7:25" ht="15" customHeight="1">
      <c r="G60" s="153" t="s">
        <v>302</v>
      </c>
      <c r="H60" s="28" t="s">
        <v>303</v>
      </c>
      <c r="I60" s="22" t="s">
        <v>107</v>
      </c>
      <c r="J60" s="22" t="s">
        <v>1</v>
      </c>
      <c r="K60" s="97" t="s">
        <v>1</v>
      </c>
      <c r="L60" s="98">
        <v>39813</v>
      </c>
      <c r="M60"/>
      <c r="N60"/>
      <c r="O60"/>
      <c r="P60"/>
      <c r="Q60"/>
      <c r="W60" s="1"/>
      <c r="X60" s="1"/>
      <c r="Y60" s="1"/>
    </row>
    <row r="61" spans="7:25" ht="15" customHeight="1">
      <c r="G61" s="153" t="s">
        <v>278</v>
      </c>
      <c r="H61" s="28" t="s">
        <v>279</v>
      </c>
      <c r="I61" s="22" t="s">
        <v>112</v>
      </c>
      <c r="J61" s="22" t="s">
        <v>1</v>
      </c>
      <c r="K61" s="97" t="s">
        <v>1</v>
      </c>
      <c r="L61" s="98">
        <v>37695</v>
      </c>
      <c r="M61"/>
      <c r="N61"/>
      <c r="O61"/>
      <c r="P61"/>
      <c r="Q61"/>
      <c r="W61" s="1"/>
      <c r="X61" s="1"/>
      <c r="Y61" s="1"/>
    </row>
    <row r="62" spans="7:25" ht="15" customHeight="1">
      <c r="G62" s="153" t="s">
        <v>300</v>
      </c>
      <c r="H62" s="28" t="s">
        <v>301</v>
      </c>
      <c r="I62" s="22" t="s">
        <v>107</v>
      </c>
      <c r="J62" s="22" t="s">
        <v>1</v>
      </c>
      <c r="K62" s="97" t="s">
        <v>1</v>
      </c>
      <c r="L62" s="98">
        <v>37239</v>
      </c>
      <c r="M62"/>
      <c r="N62"/>
      <c r="O62"/>
      <c r="P62"/>
      <c r="Q62"/>
      <c r="W62" s="1"/>
      <c r="X62" s="1"/>
      <c r="Y62" s="1"/>
    </row>
    <row r="63" spans="7:25" ht="15" customHeight="1">
      <c r="G63" s="484" t="s">
        <v>234</v>
      </c>
      <c r="H63" s="485" t="s">
        <v>253</v>
      </c>
      <c r="I63" s="486" t="s">
        <v>108</v>
      </c>
      <c r="J63" s="486" t="s">
        <v>1</v>
      </c>
      <c r="K63" s="487" t="s">
        <v>1</v>
      </c>
      <c r="L63" s="488">
        <v>43462</v>
      </c>
      <c r="M63"/>
      <c r="N63"/>
      <c r="O63"/>
      <c r="P63"/>
      <c r="Q63"/>
      <c r="W63" s="1"/>
      <c r="X63" s="1"/>
      <c r="Y63" s="1"/>
    </row>
    <row r="64" spans="7:25" ht="15" customHeight="1">
      <c r="G64" s="153" t="s">
        <v>154</v>
      </c>
      <c r="H64" s="28" t="s">
        <v>155</v>
      </c>
      <c r="I64" s="22" t="s">
        <v>107</v>
      </c>
      <c r="J64" s="22" t="s">
        <v>1</v>
      </c>
      <c r="K64" s="97" t="s">
        <v>1</v>
      </c>
      <c r="L64" s="98">
        <v>40452</v>
      </c>
      <c r="M64"/>
      <c r="N64"/>
      <c r="O64"/>
      <c r="P64"/>
      <c r="Q64"/>
      <c r="W64" s="1"/>
      <c r="X64" s="1"/>
      <c r="Y64" s="1"/>
    </row>
    <row r="65" spans="1:25" ht="15" customHeight="1">
      <c r="G65" s="153" t="s">
        <v>268</v>
      </c>
      <c r="H65" s="28" t="s">
        <v>315</v>
      </c>
      <c r="I65" s="22" t="s">
        <v>107</v>
      </c>
      <c r="J65" s="22" t="s">
        <v>1</v>
      </c>
      <c r="K65" s="97" t="s">
        <v>1</v>
      </c>
      <c r="L65" s="98">
        <v>44196</v>
      </c>
      <c r="M65"/>
      <c r="N65"/>
      <c r="O65"/>
      <c r="P65"/>
      <c r="Q65"/>
      <c r="W65" s="1"/>
      <c r="X65" s="1"/>
      <c r="Y65" s="1"/>
    </row>
    <row r="66" spans="1:25" ht="15" customHeight="1">
      <c r="G66" s="153" t="s">
        <v>269</v>
      </c>
      <c r="H66" s="28" t="s">
        <v>316</v>
      </c>
      <c r="I66" s="22" t="s">
        <v>107</v>
      </c>
      <c r="J66" s="22" t="s">
        <v>1</v>
      </c>
      <c r="K66" s="97" t="s">
        <v>1</v>
      </c>
      <c r="L66" s="98">
        <v>44227</v>
      </c>
      <c r="M66"/>
      <c r="N66"/>
      <c r="O66"/>
      <c r="P66"/>
      <c r="Q66"/>
      <c r="W66" s="1"/>
      <c r="X66" s="1"/>
      <c r="Y66" s="1"/>
    </row>
    <row r="67" spans="1:25" ht="15" customHeight="1">
      <c r="G67" s="153" t="s">
        <v>271</v>
      </c>
      <c r="H67" s="28" t="s">
        <v>272</v>
      </c>
      <c r="I67" s="22" t="s">
        <v>107</v>
      </c>
      <c r="J67" s="22" t="s">
        <v>1</v>
      </c>
      <c r="K67" s="97" t="s">
        <v>1</v>
      </c>
      <c r="L67" s="98">
        <v>40312</v>
      </c>
      <c r="M67"/>
      <c r="N67"/>
      <c r="O67"/>
      <c r="P67"/>
      <c r="Q67"/>
      <c r="W67" s="1"/>
      <c r="X67" s="1"/>
      <c r="Y67" s="1"/>
    </row>
    <row r="68" spans="1:25" ht="15" customHeight="1">
      <c r="G68" s="153" t="s">
        <v>274</v>
      </c>
      <c r="H68" s="28" t="s">
        <v>275</v>
      </c>
      <c r="I68" s="22" t="s">
        <v>114</v>
      </c>
      <c r="J68" s="22" t="s">
        <v>1</v>
      </c>
      <c r="K68" s="97" t="s">
        <v>1</v>
      </c>
      <c r="L68" s="98">
        <v>23193</v>
      </c>
      <c r="M68"/>
      <c r="N68"/>
      <c r="O68"/>
      <c r="P68"/>
      <c r="Q68"/>
      <c r="W68" s="1"/>
      <c r="X68" s="1"/>
      <c r="Y68" s="1"/>
    </row>
    <row r="69" spans="1:25" ht="15" customHeight="1">
      <c r="G69" s="153" t="s">
        <v>235</v>
      </c>
      <c r="H69" s="28" t="s">
        <v>254</v>
      </c>
      <c r="I69" s="22" t="s">
        <v>107</v>
      </c>
      <c r="J69" s="22" t="s">
        <v>1</v>
      </c>
      <c r="K69" s="97" t="s">
        <v>1</v>
      </c>
      <c r="L69" s="98">
        <v>38760</v>
      </c>
      <c r="M69"/>
      <c r="N69"/>
      <c r="O69"/>
      <c r="P69"/>
      <c r="Q69"/>
      <c r="W69" s="1"/>
      <c r="X69" s="1"/>
      <c r="Y69" s="1"/>
    </row>
    <row r="70" spans="1:25" ht="15" customHeight="1">
      <c r="G70" s="262"/>
      <c r="H70" s="263"/>
      <c r="I70" s="264"/>
      <c r="J70" s="264"/>
      <c r="K70" s="265"/>
      <c r="L70" s="266"/>
      <c r="M70"/>
      <c r="N70"/>
      <c r="O70"/>
      <c r="P70"/>
      <c r="Q70"/>
      <c r="W70" s="1"/>
      <c r="X70" s="1"/>
      <c r="Y70" s="1"/>
    </row>
    <row r="71" spans="1:25" ht="16.5" customHeight="1">
      <c r="G71" s="506"/>
      <c r="H71" s="506"/>
      <c r="I71" s="506"/>
      <c r="J71" s="506"/>
      <c r="K71" s="506"/>
      <c r="L71" s="506"/>
      <c r="M71"/>
      <c r="N71"/>
      <c r="O71"/>
      <c r="P71"/>
      <c r="Q71"/>
      <c r="W71" s="1"/>
      <c r="X71" s="1"/>
      <c r="Y71" s="1"/>
    </row>
    <row r="72" spans="1:25" ht="31.5" customHeight="1" thickBot="1">
      <c r="G72" s="510" t="s">
        <v>126</v>
      </c>
      <c r="H72" s="510"/>
      <c r="I72" s="510"/>
      <c r="J72" s="510"/>
      <c r="K72" s="510"/>
      <c r="L72" s="510"/>
      <c r="O72" s="139"/>
      <c r="P72" s="139"/>
      <c r="Q72" s="139"/>
      <c r="R72" s="139"/>
      <c r="S72" s="289"/>
      <c r="W72" s="1"/>
      <c r="X72" s="1"/>
      <c r="Y72" s="1"/>
    </row>
    <row r="73" spans="1:25" ht="15.75" thickBot="1">
      <c r="F73" s="8"/>
      <c r="G73" s="8"/>
      <c r="H73" s="8"/>
      <c r="I73" s="8"/>
      <c r="J73" s="8"/>
      <c r="K73" s="8"/>
      <c r="L73" s="8"/>
      <c r="M73" s="8"/>
      <c r="N73" s="8"/>
      <c r="O73" s="8"/>
      <c r="P73" s="8"/>
      <c r="Q73" s="8"/>
      <c r="R73" s="8"/>
      <c r="S73" s="290"/>
      <c r="W73" s="1"/>
      <c r="X73" s="1"/>
      <c r="Y73" s="1"/>
    </row>
    <row r="74" spans="1:25" ht="21.75" thickBot="1">
      <c r="F74" s="13" t="s">
        <v>4</v>
      </c>
      <c r="G74" s="13"/>
      <c r="H74" s="185" t="s">
        <v>177</v>
      </c>
      <c r="I74" s="183"/>
      <c r="W74" s="1"/>
      <c r="X74" s="1"/>
      <c r="Y74" s="1"/>
    </row>
    <row r="75" spans="1:25">
      <c r="W75" s="1"/>
      <c r="X75" s="1"/>
      <c r="Y75" s="1"/>
    </row>
    <row r="76" spans="1:25" ht="18.75">
      <c r="F76" s="9" t="s">
        <v>21</v>
      </c>
      <c r="G76" s="9"/>
      <c r="I76" s="2">
        <v>2011</v>
      </c>
      <c r="J76" s="2">
        <f>I76+1</f>
        <v>2012</v>
      </c>
      <c r="K76" s="2">
        <f t="shared" ref="K76:R76" si="9">J76+1</f>
        <v>2013</v>
      </c>
      <c r="L76" s="2">
        <f t="shared" si="9"/>
        <v>2014</v>
      </c>
      <c r="M76" s="2">
        <f t="shared" si="9"/>
        <v>2015</v>
      </c>
      <c r="N76" s="2">
        <f t="shared" si="9"/>
        <v>2016</v>
      </c>
      <c r="O76" s="2">
        <f t="shared" si="9"/>
        <v>2017</v>
      </c>
      <c r="P76" s="2">
        <f t="shared" si="9"/>
        <v>2018</v>
      </c>
      <c r="Q76" s="2">
        <f t="shared" si="9"/>
        <v>2019</v>
      </c>
      <c r="R76" s="2">
        <f t="shared" si="9"/>
        <v>2020</v>
      </c>
      <c r="S76" s="2">
        <f>R76+1</f>
        <v>2021</v>
      </c>
      <c r="T76" s="2">
        <f>S76+1</f>
        <v>2022</v>
      </c>
      <c r="U76" s="2">
        <f>T76+1</f>
        <v>2023</v>
      </c>
      <c r="W76" s="1"/>
      <c r="X76" s="1"/>
      <c r="Y76" s="1"/>
    </row>
    <row r="77" spans="1:25">
      <c r="G77" s="62" t="str">
        <f>"Total MWh Produced / Purchased from " &amp; H74</f>
        <v>Total MWh Produced / Purchased from Adams Solar</v>
      </c>
      <c r="H77" s="57"/>
      <c r="I77" s="3"/>
      <c r="J77" s="4"/>
      <c r="K77" s="4"/>
      <c r="L77" s="4"/>
      <c r="M77" s="4"/>
      <c r="N77" s="4"/>
      <c r="O77" s="4"/>
      <c r="P77" s="4">
        <v>12016.505000000001</v>
      </c>
      <c r="Q77" s="4">
        <v>20764</v>
      </c>
      <c r="R77" s="4">
        <v>22810</v>
      </c>
      <c r="S77" s="4">
        <v>21889</v>
      </c>
      <c r="T77" s="4">
        <v>22069</v>
      </c>
      <c r="U77" s="5">
        <v>20222</v>
      </c>
      <c r="W77" s="1"/>
      <c r="X77" s="1"/>
      <c r="Y77" s="1"/>
    </row>
    <row r="78" spans="1:25">
      <c r="G78" s="62" t="s">
        <v>25</v>
      </c>
      <c r="H78" s="57"/>
      <c r="I78" s="269"/>
      <c r="J78" s="41"/>
      <c r="K78" s="41"/>
      <c r="L78" s="41"/>
      <c r="M78" s="41"/>
      <c r="N78" s="41"/>
      <c r="O78" s="41"/>
      <c r="P78" s="41">
        <v>1</v>
      </c>
      <c r="Q78" s="41">
        <v>1</v>
      </c>
      <c r="R78" s="41">
        <v>1</v>
      </c>
      <c r="S78" s="41">
        <v>1</v>
      </c>
      <c r="T78" s="41">
        <v>1</v>
      </c>
      <c r="U78" s="41">
        <v>1</v>
      </c>
      <c r="W78" s="1"/>
      <c r="X78" s="1"/>
      <c r="Y78" s="1"/>
    </row>
    <row r="79" spans="1:25">
      <c r="G79" s="62" t="s">
        <v>20</v>
      </c>
      <c r="H79" s="57"/>
      <c r="I79" s="270"/>
      <c r="J79" s="36"/>
      <c r="K79" s="36"/>
      <c r="L79" s="36"/>
      <c r="M79" s="36"/>
      <c r="N79" s="36"/>
      <c r="O79" s="36"/>
      <c r="P79" s="36">
        <v>0.22007817037432531</v>
      </c>
      <c r="Q79" s="36">
        <v>0.2223660721260575</v>
      </c>
      <c r="R79" s="36">
        <v>0.22351563443464154</v>
      </c>
      <c r="S79" s="36">
        <f>S3</f>
        <v>0.22350374113192695</v>
      </c>
      <c r="T79" s="36">
        <f>T3</f>
        <v>0.2182158613775059</v>
      </c>
      <c r="U79" s="36">
        <f>U3</f>
        <v>0.21529999999999999</v>
      </c>
      <c r="W79" s="1"/>
      <c r="X79" s="1"/>
      <c r="Y79" s="1"/>
    </row>
    <row r="80" spans="1:25">
      <c r="A80" s="1" t="s">
        <v>177</v>
      </c>
      <c r="G80" s="26" t="s">
        <v>22</v>
      </c>
      <c r="H80" s="6"/>
      <c r="I80" s="30">
        <v>0</v>
      </c>
      <c r="J80" s="30">
        <v>0</v>
      </c>
      <c r="K80" s="30">
        <v>0</v>
      </c>
      <c r="L80" s="30">
        <v>0</v>
      </c>
      <c r="M80" s="30">
        <v>0</v>
      </c>
      <c r="N80" s="161">
        <v>0</v>
      </c>
      <c r="O80" s="161">
        <f>O77*O79</f>
        <v>0</v>
      </c>
      <c r="P80" s="161">
        <v>588</v>
      </c>
      <c r="Q80" s="161">
        <f>Q77*Q79</f>
        <v>4617.2091216254576</v>
      </c>
      <c r="R80" s="161">
        <f>R77*R79</f>
        <v>5098.3916214541732</v>
      </c>
      <c r="S80" s="161">
        <v>4891</v>
      </c>
      <c r="T80" s="161">
        <f>T77*T79</f>
        <v>4815.8058447401772</v>
      </c>
      <c r="U80" s="161">
        <f>ROUNDUP(U77*U79,0)</f>
        <v>4354</v>
      </c>
      <c r="W80" s="1"/>
      <c r="X80" s="1"/>
      <c r="Y80" s="1"/>
    </row>
    <row r="81" spans="6:25">
      <c r="I81" s="29"/>
      <c r="J81" s="29"/>
      <c r="K81" s="29"/>
      <c r="L81" s="29"/>
      <c r="M81" s="29"/>
      <c r="N81" s="20"/>
      <c r="O81" s="20"/>
      <c r="P81" s="20"/>
      <c r="Q81" s="20"/>
      <c r="R81" s="20"/>
      <c r="S81" s="292"/>
      <c r="T81" s="20"/>
      <c r="U81" s="20"/>
      <c r="W81" s="1"/>
      <c r="X81" s="1"/>
      <c r="Y81" s="1"/>
    </row>
    <row r="82" spans="6:25" ht="18.75">
      <c r="F82" s="9" t="s">
        <v>118</v>
      </c>
      <c r="I82" s="2">
        <v>2011</v>
      </c>
      <c r="J82" s="2">
        <f>I82+1</f>
        <v>2012</v>
      </c>
      <c r="K82" s="2">
        <f t="shared" ref="K82:R82" si="10">J82+1</f>
        <v>2013</v>
      </c>
      <c r="L82" s="2">
        <f t="shared" si="10"/>
        <v>2014</v>
      </c>
      <c r="M82" s="2">
        <f t="shared" si="10"/>
        <v>2015</v>
      </c>
      <c r="N82" s="2">
        <f t="shared" si="10"/>
        <v>2016</v>
      </c>
      <c r="O82" s="2">
        <f t="shared" si="10"/>
        <v>2017</v>
      </c>
      <c r="P82" s="2">
        <f t="shared" si="10"/>
        <v>2018</v>
      </c>
      <c r="Q82" s="2">
        <f t="shared" si="10"/>
        <v>2019</v>
      </c>
      <c r="R82" s="2">
        <f t="shared" si="10"/>
        <v>2020</v>
      </c>
      <c r="S82" s="304">
        <f>R82+1</f>
        <v>2021</v>
      </c>
      <c r="T82" s="2">
        <f>S82+1</f>
        <v>2022</v>
      </c>
      <c r="U82" s="2">
        <f>T82+1</f>
        <v>2023</v>
      </c>
      <c r="W82" s="1"/>
      <c r="X82" s="1"/>
      <c r="Y82" s="1"/>
    </row>
    <row r="83" spans="6:25">
      <c r="G83" s="62" t="s">
        <v>10</v>
      </c>
      <c r="H83" s="57"/>
      <c r="I83" s="38">
        <f>IF($J6 = "Eligible", I80 * 'Facility Detail'!$G$3257, 0 )</f>
        <v>0</v>
      </c>
      <c r="J83" s="11">
        <f>IF($J6 = "Eligible", J80 * 'Facility Detail'!$G$3257, 0 )</f>
        <v>0</v>
      </c>
      <c r="K83" s="11">
        <f>IF($J6 = "Eligible", K80 * 'Facility Detail'!$G$3257, 0 )</f>
        <v>0</v>
      </c>
      <c r="L83" s="11">
        <f>IF($J6 = "Eligible", L80 * 'Facility Detail'!$G$3257, 0 )</f>
        <v>0</v>
      </c>
      <c r="M83" s="11">
        <f>IF($J6 = "Eligible", M80 * 'Facility Detail'!$G$3257, 0 )</f>
        <v>0</v>
      </c>
      <c r="N83" s="11">
        <f>IF($J6 = "Eligible", N80 * 'Facility Detail'!$G$3257, 0 )</f>
        <v>0</v>
      </c>
      <c r="O83" s="11">
        <f>IF($J6 = "Eligible", O80 * 'Facility Detail'!$G$3257, 0 )</f>
        <v>0</v>
      </c>
      <c r="P83" s="11">
        <f>IF($J6 = "Eligible", P80 * 'Facility Detail'!$G$3257, 0 )</f>
        <v>0</v>
      </c>
      <c r="Q83" s="11">
        <f>IF($J6 = "Eligible", Q80 * 'Facility Detail'!$G$3257, 0 )</f>
        <v>0</v>
      </c>
      <c r="R83" s="11">
        <f>IF($J6 = "Eligible", R80 * 'Facility Detail'!$G$3257, 0 )</f>
        <v>0</v>
      </c>
      <c r="S83" s="313">
        <f>IF($J6 = "Eligible", S80 * 'Facility Detail'!$G$3257, 0 )</f>
        <v>0</v>
      </c>
      <c r="T83" s="11">
        <f>IF($J6 = "Eligible", T80 * 'Facility Detail'!$G$3257, 0 )</f>
        <v>0</v>
      </c>
      <c r="U83" s="223">
        <f>IF($J6 = "Eligible", U80 * 'Facility Detail'!$G$3257, 0 )</f>
        <v>0</v>
      </c>
      <c r="W83" s="1"/>
      <c r="X83" s="1"/>
      <c r="Y83" s="1"/>
    </row>
    <row r="84" spans="6:25">
      <c r="G84" s="62" t="s">
        <v>6</v>
      </c>
      <c r="H84" s="57"/>
      <c r="I84" s="39">
        <f t="shared" ref="I84:S84" si="11">IF($K6 = "Eligible", I80, 0 )</f>
        <v>0</v>
      </c>
      <c r="J84" s="193">
        <f t="shared" si="11"/>
        <v>0</v>
      </c>
      <c r="K84" s="193">
        <f t="shared" si="11"/>
        <v>0</v>
      </c>
      <c r="L84" s="193">
        <f t="shared" si="11"/>
        <v>0</v>
      </c>
      <c r="M84" s="193">
        <f t="shared" si="11"/>
        <v>0</v>
      </c>
      <c r="N84" s="193">
        <f t="shared" si="11"/>
        <v>0</v>
      </c>
      <c r="O84" s="193">
        <f t="shared" si="11"/>
        <v>0</v>
      </c>
      <c r="P84" s="193">
        <f t="shared" si="11"/>
        <v>0</v>
      </c>
      <c r="Q84" s="193">
        <f t="shared" si="11"/>
        <v>0</v>
      </c>
      <c r="R84" s="193">
        <f t="shared" si="11"/>
        <v>0</v>
      </c>
      <c r="S84" s="314">
        <f t="shared" si="11"/>
        <v>0</v>
      </c>
      <c r="T84" s="193">
        <f t="shared" ref="T84:U84" si="12">IF($K6 = "Eligible", T80, 0 )</f>
        <v>0</v>
      </c>
      <c r="U84" s="224">
        <f t="shared" si="12"/>
        <v>0</v>
      </c>
      <c r="W84" s="1"/>
      <c r="X84" s="1"/>
      <c r="Y84" s="1"/>
    </row>
    <row r="85" spans="6:25">
      <c r="G85" s="26" t="s">
        <v>120</v>
      </c>
      <c r="H85" s="6"/>
      <c r="I85" s="32">
        <f>SUM(I83:I84)</f>
        <v>0</v>
      </c>
      <c r="J85" s="33">
        <f t="shared" ref="J85:S85" si="13">SUM(J83:J84)</f>
        <v>0</v>
      </c>
      <c r="K85" s="33">
        <f t="shared" si="13"/>
        <v>0</v>
      </c>
      <c r="L85" s="33">
        <f t="shared" si="13"/>
        <v>0</v>
      </c>
      <c r="M85" s="33">
        <f t="shared" si="13"/>
        <v>0</v>
      </c>
      <c r="N85" s="33">
        <f t="shared" si="13"/>
        <v>0</v>
      </c>
      <c r="O85" s="33">
        <f t="shared" si="13"/>
        <v>0</v>
      </c>
      <c r="P85" s="33">
        <f t="shared" si="13"/>
        <v>0</v>
      </c>
      <c r="Q85" s="33">
        <f t="shared" si="13"/>
        <v>0</v>
      </c>
      <c r="R85" s="33">
        <f t="shared" si="13"/>
        <v>0</v>
      </c>
      <c r="S85" s="315">
        <f t="shared" si="13"/>
        <v>0</v>
      </c>
      <c r="T85" s="33">
        <f t="shared" ref="T85:U85" si="14">SUM(T83:T84)</f>
        <v>0</v>
      </c>
      <c r="U85" s="33">
        <f t="shared" si="14"/>
        <v>0</v>
      </c>
      <c r="W85" s="1"/>
      <c r="X85" s="1"/>
      <c r="Y85" s="1"/>
    </row>
    <row r="86" spans="6:25">
      <c r="I86" s="31"/>
      <c r="J86" s="24"/>
      <c r="K86" s="24"/>
      <c r="L86" s="24"/>
      <c r="M86" s="24"/>
      <c r="N86" s="24"/>
      <c r="O86" s="24"/>
      <c r="P86" s="24"/>
      <c r="Q86" s="24"/>
      <c r="R86" s="24"/>
      <c r="S86" s="316"/>
      <c r="T86" s="24"/>
      <c r="U86" s="24"/>
      <c r="W86" s="1"/>
      <c r="X86" s="1"/>
      <c r="Y86" s="1"/>
    </row>
    <row r="87" spans="6:25" ht="18.75">
      <c r="F87" s="9" t="s">
        <v>30</v>
      </c>
      <c r="I87" s="2">
        <v>2011</v>
      </c>
      <c r="J87" s="2">
        <f>I87+1</f>
        <v>2012</v>
      </c>
      <c r="K87" s="2">
        <f t="shared" ref="K87:R87" si="15">J87+1</f>
        <v>2013</v>
      </c>
      <c r="L87" s="2">
        <f t="shared" si="15"/>
        <v>2014</v>
      </c>
      <c r="M87" s="2">
        <f t="shared" si="15"/>
        <v>2015</v>
      </c>
      <c r="N87" s="2">
        <f t="shared" si="15"/>
        <v>2016</v>
      </c>
      <c r="O87" s="2">
        <f t="shared" si="15"/>
        <v>2017</v>
      </c>
      <c r="P87" s="2">
        <f t="shared" si="15"/>
        <v>2018</v>
      </c>
      <c r="Q87" s="2">
        <f t="shared" si="15"/>
        <v>2019</v>
      </c>
      <c r="R87" s="2">
        <f t="shared" si="15"/>
        <v>2020</v>
      </c>
      <c r="S87" s="304">
        <f>R87+1</f>
        <v>2021</v>
      </c>
      <c r="T87" s="2">
        <f>S87+1</f>
        <v>2022</v>
      </c>
      <c r="U87" s="2">
        <f>T87+1</f>
        <v>2023</v>
      </c>
      <c r="W87" s="1"/>
      <c r="X87" s="1"/>
      <c r="Y87" s="1"/>
    </row>
    <row r="88" spans="6:25">
      <c r="G88" s="62" t="s">
        <v>47</v>
      </c>
      <c r="H88" s="57"/>
      <c r="I88" s="71">
        <v>0</v>
      </c>
      <c r="J88" s="72">
        <v>0</v>
      </c>
      <c r="K88" s="72">
        <v>0</v>
      </c>
      <c r="L88" s="72">
        <v>0</v>
      </c>
      <c r="M88" s="72">
        <v>0</v>
      </c>
      <c r="N88" s="72">
        <v>0</v>
      </c>
      <c r="O88" s="72">
        <v>0</v>
      </c>
      <c r="P88" s="72">
        <v>0</v>
      </c>
      <c r="Q88" s="72">
        <v>0</v>
      </c>
      <c r="R88" s="72">
        <v>0</v>
      </c>
      <c r="S88" s="317">
        <v>0</v>
      </c>
      <c r="T88" s="72">
        <v>0</v>
      </c>
      <c r="U88" s="73">
        <v>0</v>
      </c>
      <c r="W88" s="1"/>
      <c r="X88" s="1"/>
      <c r="Y88" s="1"/>
    </row>
    <row r="89" spans="6:25">
      <c r="G89" s="63" t="s">
        <v>23</v>
      </c>
      <c r="H89" s="135"/>
      <c r="I89" s="74">
        <v>0</v>
      </c>
      <c r="J89" s="75">
        <v>0</v>
      </c>
      <c r="K89" s="75">
        <v>0</v>
      </c>
      <c r="L89" s="75">
        <v>0</v>
      </c>
      <c r="M89" s="75">
        <v>0</v>
      </c>
      <c r="N89" s="75">
        <v>0</v>
      </c>
      <c r="O89" s="75">
        <v>0</v>
      </c>
      <c r="P89" s="75">
        <v>0</v>
      </c>
      <c r="Q89" s="75">
        <v>0</v>
      </c>
      <c r="R89" s="75">
        <v>0</v>
      </c>
      <c r="S89" s="318">
        <v>0</v>
      </c>
      <c r="T89" s="75">
        <v>0</v>
      </c>
      <c r="U89" s="76">
        <v>0</v>
      </c>
      <c r="W89" s="1"/>
      <c r="X89" s="1"/>
      <c r="Y89" s="1"/>
    </row>
    <row r="90" spans="6:25">
      <c r="G90" s="63" t="s">
        <v>89</v>
      </c>
      <c r="H90" s="134"/>
      <c r="I90" s="43">
        <v>0</v>
      </c>
      <c r="J90" s="44">
        <v>0</v>
      </c>
      <c r="K90" s="44">
        <v>0</v>
      </c>
      <c r="L90" s="44">
        <v>0</v>
      </c>
      <c r="M90" s="44">
        <v>0</v>
      </c>
      <c r="N90" s="44">
        <v>0</v>
      </c>
      <c r="O90" s="44">
        <v>0</v>
      </c>
      <c r="P90" s="44">
        <v>0</v>
      </c>
      <c r="Q90" s="44">
        <v>0</v>
      </c>
      <c r="R90" s="44">
        <v>0</v>
      </c>
      <c r="S90" s="319">
        <v>0</v>
      </c>
      <c r="T90" s="44">
        <v>0</v>
      </c>
      <c r="U90" s="45">
        <v>0</v>
      </c>
      <c r="W90" s="1"/>
      <c r="X90" s="1"/>
      <c r="Y90" s="1"/>
    </row>
    <row r="91" spans="6:25">
      <c r="G91" s="26" t="s">
        <v>90</v>
      </c>
      <c r="I91" s="7">
        <v>0</v>
      </c>
      <c r="J91" s="7">
        <v>0</v>
      </c>
      <c r="K91" s="7">
        <v>0</v>
      </c>
      <c r="L91" s="7">
        <v>0</v>
      </c>
      <c r="M91" s="7">
        <v>0</v>
      </c>
      <c r="N91" s="7">
        <v>0</v>
      </c>
      <c r="O91" s="7">
        <v>0</v>
      </c>
      <c r="P91" s="7">
        <v>0</v>
      </c>
      <c r="Q91" s="7">
        <v>0</v>
      </c>
      <c r="R91" s="7">
        <v>0</v>
      </c>
      <c r="S91" s="320">
        <v>0</v>
      </c>
      <c r="T91" s="7">
        <v>0</v>
      </c>
      <c r="U91" s="7">
        <v>0</v>
      </c>
      <c r="W91" s="1"/>
      <c r="X91" s="1"/>
      <c r="Y91" s="1"/>
    </row>
    <row r="92" spans="6:25">
      <c r="G92" s="6"/>
      <c r="I92" s="7"/>
      <c r="J92" s="7"/>
      <c r="K92" s="7"/>
      <c r="L92" s="23"/>
      <c r="M92" s="23"/>
      <c r="N92" s="23"/>
      <c r="O92" s="23"/>
      <c r="P92" s="23"/>
      <c r="Q92" s="23"/>
      <c r="R92" s="23"/>
      <c r="S92" s="321"/>
      <c r="T92" s="23"/>
      <c r="U92" s="23"/>
      <c r="W92" s="1"/>
      <c r="X92" s="1"/>
      <c r="Y92" s="1"/>
    </row>
    <row r="93" spans="6:25" ht="18.75">
      <c r="F93" s="9" t="s">
        <v>100</v>
      </c>
      <c r="I93" s="2">
        <f>'Facility Detail'!$G$3260</f>
        <v>2011</v>
      </c>
      <c r="J93" s="2">
        <f>I93+1</f>
        <v>2012</v>
      </c>
      <c r="K93" s="2">
        <f t="shared" ref="K93:R93" si="16">J93+1</f>
        <v>2013</v>
      </c>
      <c r="L93" s="2">
        <f t="shared" si="16"/>
        <v>2014</v>
      </c>
      <c r="M93" s="2">
        <f t="shared" si="16"/>
        <v>2015</v>
      </c>
      <c r="N93" s="2">
        <f t="shared" si="16"/>
        <v>2016</v>
      </c>
      <c r="O93" s="2">
        <f t="shared" si="16"/>
        <v>2017</v>
      </c>
      <c r="P93" s="2">
        <f t="shared" si="16"/>
        <v>2018</v>
      </c>
      <c r="Q93" s="2">
        <f t="shared" si="16"/>
        <v>2019</v>
      </c>
      <c r="R93" s="2">
        <f t="shared" si="16"/>
        <v>2020</v>
      </c>
      <c r="S93" s="304">
        <f>R93+1</f>
        <v>2021</v>
      </c>
      <c r="T93" s="2">
        <f>S93+1</f>
        <v>2022</v>
      </c>
      <c r="U93" s="2">
        <f>T93+1</f>
        <v>2023</v>
      </c>
      <c r="W93" s="1"/>
      <c r="X93" s="1"/>
      <c r="Y93" s="1"/>
    </row>
    <row r="94" spans="6:25">
      <c r="G94" s="62" t="s">
        <v>68</v>
      </c>
      <c r="H94" s="57"/>
      <c r="I94" s="230">
        <v>0</v>
      </c>
      <c r="J94" s="231">
        <f>I94</f>
        <v>0</v>
      </c>
      <c r="K94" s="232"/>
      <c r="L94" s="232"/>
      <c r="M94" s="232"/>
      <c r="N94" s="232"/>
      <c r="O94" s="232"/>
      <c r="P94" s="232"/>
      <c r="Q94" s="232"/>
      <c r="R94" s="232"/>
      <c r="S94" s="295"/>
      <c r="T94" s="217"/>
      <c r="U94" s="47"/>
      <c r="W94" s="1"/>
      <c r="X94" s="1"/>
      <c r="Y94" s="1"/>
    </row>
    <row r="95" spans="6:25">
      <c r="G95" s="62" t="s">
        <v>69</v>
      </c>
      <c r="H95" s="57"/>
      <c r="I95" s="229">
        <f>J95</f>
        <v>0</v>
      </c>
      <c r="J95" s="233">
        <v>0</v>
      </c>
      <c r="K95" s="234"/>
      <c r="L95" s="234"/>
      <c r="M95" s="234"/>
      <c r="N95" s="234"/>
      <c r="O95" s="234"/>
      <c r="P95" s="234"/>
      <c r="Q95" s="234"/>
      <c r="R95" s="234"/>
      <c r="S95" s="296"/>
      <c r="T95" s="218"/>
      <c r="U95" s="128"/>
      <c r="W95" s="1"/>
      <c r="X95" s="1"/>
      <c r="Y95" s="1"/>
    </row>
    <row r="96" spans="6:25">
      <c r="G96" s="62" t="s">
        <v>70</v>
      </c>
      <c r="H96" s="57"/>
      <c r="I96" s="235"/>
      <c r="J96" s="233">
        <f>J80</f>
        <v>0</v>
      </c>
      <c r="K96" s="236">
        <f>J96</f>
        <v>0</v>
      </c>
      <c r="L96" s="234"/>
      <c r="M96" s="234"/>
      <c r="N96" s="234"/>
      <c r="O96" s="234"/>
      <c r="P96" s="234"/>
      <c r="Q96" s="234"/>
      <c r="R96" s="234"/>
      <c r="S96" s="296"/>
      <c r="T96" s="218"/>
      <c r="U96" s="128"/>
      <c r="W96" s="1"/>
      <c r="X96" s="1"/>
      <c r="Y96" s="1"/>
    </row>
    <row r="97" spans="7:25">
      <c r="G97" s="62" t="s">
        <v>71</v>
      </c>
      <c r="H97" s="57"/>
      <c r="I97" s="235"/>
      <c r="J97" s="236">
        <f>K97</f>
        <v>0</v>
      </c>
      <c r="K97" s="237">
        <v>0</v>
      </c>
      <c r="L97" s="234"/>
      <c r="M97" s="234"/>
      <c r="N97" s="234"/>
      <c r="O97" s="234"/>
      <c r="P97" s="234"/>
      <c r="Q97" s="234"/>
      <c r="R97" s="234"/>
      <c r="S97" s="296"/>
      <c r="T97" s="218"/>
      <c r="U97" s="128"/>
      <c r="W97" s="1"/>
      <c r="X97" s="1"/>
      <c r="Y97" s="1"/>
    </row>
    <row r="98" spans="7:25">
      <c r="G98" s="62" t="s">
        <v>170</v>
      </c>
      <c r="I98" s="235"/>
      <c r="J98" s="238"/>
      <c r="K98" s="233">
        <f>K80</f>
        <v>0</v>
      </c>
      <c r="L98" s="239">
        <f>K98</f>
        <v>0</v>
      </c>
      <c r="M98" s="234"/>
      <c r="N98" s="234"/>
      <c r="O98" s="234"/>
      <c r="P98" s="234"/>
      <c r="Q98" s="234"/>
      <c r="R98" s="234"/>
      <c r="S98" s="296"/>
      <c r="T98" s="146"/>
      <c r="U98" s="122"/>
      <c r="W98" s="1"/>
      <c r="X98" s="1"/>
      <c r="Y98" s="1"/>
    </row>
    <row r="99" spans="7:25">
      <c r="G99" s="62" t="s">
        <v>171</v>
      </c>
      <c r="I99" s="235"/>
      <c r="J99" s="238"/>
      <c r="K99" s="236">
        <f>L99</f>
        <v>0</v>
      </c>
      <c r="L99" s="233">
        <v>0</v>
      </c>
      <c r="M99" s="234"/>
      <c r="N99" s="234"/>
      <c r="O99" s="234"/>
      <c r="P99" s="234"/>
      <c r="Q99" s="234"/>
      <c r="R99" s="234"/>
      <c r="S99" s="296"/>
      <c r="T99" s="146"/>
      <c r="U99" s="122"/>
      <c r="W99" s="1"/>
      <c r="X99" s="1"/>
      <c r="Y99" s="1"/>
    </row>
    <row r="100" spans="7:25">
      <c r="G100" s="62" t="s">
        <v>172</v>
      </c>
      <c r="I100" s="235"/>
      <c r="J100" s="238"/>
      <c r="K100" s="238"/>
      <c r="L100" s="233">
        <v>0</v>
      </c>
      <c r="M100" s="239">
        <f>L100</f>
        <v>0</v>
      </c>
      <c r="N100" s="238">
        <f>M100</f>
        <v>0</v>
      </c>
      <c r="O100" s="234"/>
      <c r="P100" s="234"/>
      <c r="Q100" s="234"/>
      <c r="R100" s="234"/>
      <c r="S100" s="296"/>
      <c r="T100" s="146"/>
      <c r="U100" s="122"/>
      <c r="W100" s="1"/>
      <c r="X100" s="1"/>
      <c r="Y100" s="1"/>
    </row>
    <row r="101" spans="7:25">
      <c r="G101" s="62" t="s">
        <v>173</v>
      </c>
      <c r="I101" s="235"/>
      <c r="J101" s="238"/>
      <c r="K101" s="238"/>
      <c r="L101" s="236">
        <f>M101</f>
        <v>0</v>
      </c>
      <c r="M101" s="233">
        <v>0</v>
      </c>
      <c r="N101" s="238"/>
      <c r="O101" s="234"/>
      <c r="P101" s="234"/>
      <c r="Q101" s="234"/>
      <c r="R101" s="234"/>
      <c r="S101" s="296"/>
      <c r="T101" s="146"/>
      <c r="U101" s="122"/>
      <c r="W101" s="1"/>
      <c r="X101" s="1"/>
      <c r="Y101" s="1"/>
    </row>
    <row r="102" spans="7:25">
      <c r="G102" s="62" t="s">
        <v>174</v>
      </c>
      <c r="I102" s="235"/>
      <c r="J102" s="238"/>
      <c r="K102" s="238"/>
      <c r="L102" s="238"/>
      <c r="M102" s="233">
        <v>0</v>
      </c>
      <c r="N102" s="239">
        <f>M102</f>
        <v>0</v>
      </c>
      <c r="O102" s="234"/>
      <c r="P102" s="234"/>
      <c r="Q102" s="234"/>
      <c r="R102" s="234"/>
      <c r="S102" s="296"/>
      <c r="T102" s="146"/>
      <c r="U102" s="122"/>
      <c r="W102" s="1"/>
      <c r="X102" s="1"/>
      <c r="Y102" s="1"/>
    </row>
    <row r="103" spans="7:25">
      <c r="G103" s="62" t="s">
        <v>175</v>
      </c>
      <c r="I103" s="235"/>
      <c r="J103" s="238"/>
      <c r="K103" s="238"/>
      <c r="L103" s="238"/>
      <c r="M103" s="236">
        <f>N103</f>
        <v>0</v>
      </c>
      <c r="N103" s="233">
        <v>0</v>
      </c>
      <c r="O103" s="234"/>
      <c r="P103" s="234"/>
      <c r="Q103" s="234"/>
      <c r="R103" s="234"/>
      <c r="S103" s="296"/>
      <c r="T103" s="146"/>
      <c r="U103" s="122"/>
      <c r="W103" s="1"/>
      <c r="X103" s="1"/>
      <c r="Y103" s="1"/>
    </row>
    <row r="104" spans="7:25">
      <c r="G104" s="62" t="s">
        <v>176</v>
      </c>
      <c r="I104" s="235"/>
      <c r="J104" s="238"/>
      <c r="K104" s="238"/>
      <c r="L104" s="238"/>
      <c r="M104" s="238"/>
      <c r="N104" s="240">
        <v>0</v>
      </c>
      <c r="O104" s="241">
        <f>N104</f>
        <v>0</v>
      </c>
      <c r="P104" s="234"/>
      <c r="Q104" s="234"/>
      <c r="R104" s="234"/>
      <c r="S104" s="296"/>
      <c r="T104" s="146"/>
      <c r="U104" s="122"/>
      <c r="W104" s="1"/>
      <c r="X104" s="1"/>
      <c r="Y104" s="1"/>
    </row>
    <row r="105" spans="7:25">
      <c r="G105" s="62" t="s">
        <v>167</v>
      </c>
      <c r="I105" s="235"/>
      <c r="J105" s="238"/>
      <c r="K105" s="238"/>
      <c r="L105" s="238"/>
      <c r="M105" s="238"/>
      <c r="N105" s="242">
        <f>O105</f>
        <v>0</v>
      </c>
      <c r="O105" s="243">
        <v>0</v>
      </c>
      <c r="P105" s="234"/>
      <c r="Q105" s="234"/>
      <c r="R105" s="234"/>
      <c r="S105" s="296"/>
      <c r="T105" s="146"/>
      <c r="U105" s="122"/>
      <c r="W105" s="1"/>
      <c r="X105" s="1"/>
      <c r="Y105" s="1"/>
    </row>
    <row r="106" spans="7:25">
      <c r="G106" s="62" t="s">
        <v>168</v>
      </c>
      <c r="I106" s="235"/>
      <c r="J106" s="238"/>
      <c r="K106" s="238"/>
      <c r="L106" s="238"/>
      <c r="M106" s="238"/>
      <c r="N106" s="238"/>
      <c r="O106" s="243">
        <f>O80</f>
        <v>0</v>
      </c>
      <c r="P106" s="241">
        <f>O106</f>
        <v>0</v>
      </c>
      <c r="Q106" s="234"/>
      <c r="R106" s="234"/>
      <c r="S106" s="296"/>
      <c r="T106" s="146"/>
      <c r="U106" s="122"/>
      <c r="W106" s="1"/>
      <c r="X106" s="1"/>
      <c r="Y106" s="1"/>
    </row>
    <row r="107" spans="7:25">
      <c r="G107" s="62" t="s">
        <v>185</v>
      </c>
      <c r="I107" s="235"/>
      <c r="J107" s="238"/>
      <c r="K107" s="238"/>
      <c r="L107" s="238"/>
      <c r="M107" s="238"/>
      <c r="N107" s="238"/>
      <c r="O107" s="241">
        <f>P107</f>
        <v>0</v>
      </c>
      <c r="P107" s="243">
        <v>0</v>
      </c>
      <c r="Q107" s="234"/>
      <c r="R107" s="234"/>
      <c r="S107" s="296"/>
      <c r="T107" s="146"/>
      <c r="U107" s="122"/>
      <c r="W107" s="1"/>
      <c r="X107" s="1"/>
      <c r="Y107" s="1"/>
    </row>
    <row r="108" spans="7:25">
      <c r="G108" s="62" t="s">
        <v>186</v>
      </c>
      <c r="I108" s="235"/>
      <c r="J108" s="238"/>
      <c r="K108" s="238"/>
      <c r="L108" s="238"/>
      <c r="M108" s="238"/>
      <c r="N108" s="238"/>
      <c r="O108" s="238"/>
      <c r="P108" s="243">
        <f>P80</f>
        <v>588</v>
      </c>
      <c r="Q108" s="236">
        <f>P108</f>
        <v>588</v>
      </c>
      <c r="R108" s="234"/>
      <c r="S108" s="296"/>
      <c r="T108" s="146"/>
      <c r="U108" s="122"/>
      <c r="W108" s="1"/>
      <c r="X108" s="1"/>
      <c r="Y108" s="1"/>
    </row>
    <row r="109" spans="7:25">
      <c r="G109" s="62" t="s">
        <v>187</v>
      </c>
      <c r="I109" s="235"/>
      <c r="J109" s="238"/>
      <c r="K109" s="238"/>
      <c r="L109" s="238"/>
      <c r="M109" s="238"/>
      <c r="N109" s="238"/>
      <c r="O109" s="238"/>
      <c r="P109" s="241">
        <f>Q109</f>
        <v>0</v>
      </c>
      <c r="Q109" s="244">
        <v>0</v>
      </c>
      <c r="R109" s="234"/>
      <c r="S109" s="296"/>
      <c r="T109" s="146"/>
      <c r="U109" s="122"/>
      <c r="W109" s="1"/>
      <c r="X109" s="1"/>
      <c r="Y109" s="1"/>
    </row>
    <row r="110" spans="7:25">
      <c r="G110" s="62" t="s">
        <v>188</v>
      </c>
      <c r="I110" s="235"/>
      <c r="J110" s="238"/>
      <c r="K110" s="238"/>
      <c r="L110" s="238"/>
      <c r="M110" s="238"/>
      <c r="N110" s="238"/>
      <c r="O110" s="238"/>
      <c r="P110" s="238"/>
      <c r="Q110" s="243">
        <v>0</v>
      </c>
      <c r="R110" s="245"/>
      <c r="S110" s="296"/>
      <c r="T110" s="146"/>
      <c r="U110" s="122"/>
      <c r="W110" s="1"/>
      <c r="X110" s="1"/>
      <c r="Y110" s="1"/>
    </row>
    <row r="111" spans="7:25">
      <c r="G111" s="62" t="s">
        <v>189</v>
      </c>
      <c r="I111" s="235"/>
      <c r="J111" s="238"/>
      <c r="K111" s="238"/>
      <c r="L111" s="238"/>
      <c r="M111" s="238"/>
      <c r="N111" s="238"/>
      <c r="O111" s="238"/>
      <c r="P111" s="238"/>
      <c r="Q111" s="245">
        <f>R111</f>
        <v>3387</v>
      </c>
      <c r="R111" s="246">
        <v>3387</v>
      </c>
      <c r="S111" s="296"/>
      <c r="T111" s="146"/>
      <c r="U111" s="122"/>
      <c r="W111" s="1"/>
      <c r="X111" s="1"/>
      <c r="Y111" s="1"/>
    </row>
    <row r="112" spans="7:25">
      <c r="G112" s="62" t="s">
        <v>190</v>
      </c>
      <c r="I112" s="235"/>
      <c r="J112" s="238"/>
      <c r="K112" s="238"/>
      <c r="L112" s="238"/>
      <c r="M112" s="238"/>
      <c r="N112" s="238"/>
      <c r="O112" s="238"/>
      <c r="P112" s="238"/>
      <c r="Q112" s="238"/>
      <c r="R112" s="246">
        <v>0</v>
      </c>
      <c r="S112" s="245">
        <f>R112</f>
        <v>0</v>
      </c>
      <c r="T112" s="146"/>
      <c r="U112" s="122"/>
      <c r="W112" s="1"/>
      <c r="X112" s="1"/>
      <c r="Y112" s="1"/>
    </row>
    <row r="113" spans="2:25">
      <c r="G113" s="62" t="s">
        <v>199</v>
      </c>
      <c r="I113" s="235"/>
      <c r="J113" s="238"/>
      <c r="K113" s="238"/>
      <c r="L113" s="238"/>
      <c r="M113" s="238"/>
      <c r="N113" s="238"/>
      <c r="O113" s="238"/>
      <c r="P113" s="238"/>
      <c r="Q113" s="238"/>
      <c r="R113" s="241">
        <f>S113</f>
        <v>0</v>
      </c>
      <c r="S113" s="246">
        <v>0</v>
      </c>
      <c r="T113" s="146"/>
      <c r="U113" s="122"/>
      <c r="W113" s="1"/>
      <c r="X113" s="1"/>
      <c r="Y113" s="1"/>
    </row>
    <row r="114" spans="2:25">
      <c r="G114" s="62" t="s">
        <v>200</v>
      </c>
      <c r="I114" s="235"/>
      <c r="J114" s="238"/>
      <c r="K114" s="238"/>
      <c r="L114" s="238"/>
      <c r="M114" s="238"/>
      <c r="N114" s="238"/>
      <c r="O114" s="238"/>
      <c r="P114" s="238"/>
      <c r="Q114" s="238"/>
      <c r="R114" s="238"/>
      <c r="S114" s="246">
        <v>0</v>
      </c>
      <c r="T114" s="245">
        <f>S114</f>
        <v>0</v>
      </c>
      <c r="U114" s="122"/>
      <c r="W114" s="1"/>
      <c r="X114" s="1"/>
      <c r="Y114" s="1"/>
    </row>
    <row r="115" spans="2:25">
      <c r="G115" s="62" t="s">
        <v>308</v>
      </c>
      <c r="I115" s="235"/>
      <c r="J115" s="238"/>
      <c r="K115" s="238"/>
      <c r="L115" s="238"/>
      <c r="M115" s="238"/>
      <c r="N115" s="238"/>
      <c r="O115" s="238"/>
      <c r="P115" s="238"/>
      <c r="Q115" s="238"/>
      <c r="R115" s="238"/>
      <c r="S115" s="241">
        <f>T115</f>
        <v>0</v>
      </c>
      <c r="T115" s="246">
        <v>0</v>
      </c>
      <c r="U115" s="122"/>
      <c r="W115" s="1"/>
      <c r="X115" s="1"/>
      <c r="Y115" s="1"/>
    </row>
    <row r="116" spans="2:25">
      <c r="G116" s="62" t="s">
        <v>307</v>
      </c>
      <c r="I116" s="114"/>
      <c r="J116" s="107"/>
      <c r="K116" s="107"/>
      <c r="L116" s="107"/>
      <c r="M116" s="107"/>
      <c r="N116" s="107"/>
      <c r="O116" s="107"/>
      <c r="P116" s="107"/>
      <c r="Q116" s="107"/>
      <c r="R116" s="107"/>
      <c r="S116" s="107"/>
      <c r="T116" s="246">
        <v>0</v>
      </c>
      <c r="U116" s="453">
        <f>T116</f>
        <v>0</v>
      </c>
      <c r="W116" s="1"/>
      <c r="X116" s="1"/>
      <c r="Y116" s="1"/>
    </row>
    <row r="117" spans="2:25">
      <c r="G117" s="62" t="s">
        <v>318</v>
      </c>
      <c r="I117" s="114"/>
      <c r="J117" s="107"/>
      <c r="K117" s="107"/>
      <c r="L117" s="107"/>
      <c r="M117" s="107"/>
      <c r="N117" s="107"/>
      <c r="O117" s="107"/>
      <c r="P117" s="107"/>
      <c r="Q117" s="107"/>
      <c r="R117" s="107"/>
      <c r="S117" s="107"/>
      <c r="T117" s="241">
        <f>U117</f>
        <v>0</v>
      </c>
      <c r="U117" s="454">
        <v>0</v>
      </c>
      <c r="W117" s="1"/>
      <c r="X117" s="1"/>
      <c r="Y117" s="1"/>
    </row>
    <row r="118" spans="2:25">
      <c r="G118" s="62" t="s">
        <v>319</v>
      </c>
      <c r="I118" s="49"/>
      <c r="J118" s="194"/>
      <c r="K118" s="194"/>
      <c r="L118" s="194"/>
      <c r="M118" s="194"/>
      <c r="N118" s="194"/>
      <c r="O118" s="194"/>
      <c r="P118" s="194"/>
      <c r="Q118" s="194"/>
      <c r="R118" s="194"/>
      <c r="S118" s="194"/>
      <c r="T118" s="194"/>
      <c r="U118" s="455">
        <v>0</v>
      </c>
      <c r="W118" s="1"/>
      <c r="X118" s="1"/>
      <c r="Y118" s="1"/>
    </row>
    <row r="119" spans="2:25">
      <c r="B119" s="1" t="s">
        <v>177</v>
      </c>
      <c r="G119" s="26" t="s">
        <v>17</v>
      </c>
      <c r="I119" s="7">
        <v>0</v>
      </c>
      <c r="J119" s="7">
        <f t="shared" ref="J119:O119" si="17">J106-J107-J108+J109</f>
        <v>0</v>
      </c>
      <c r="K119" s="7">
        <f t="shared" si="17"/>
        <v>0</v>
      </c>
      <c r="L119" s="7">
        <f t="shared" si="17"/>
        <v>0</v>
      </c>
      <c r="M119" s="7">
        <f t="shared" si="17"/>
        <v>0</v>
      </c>
      <c r="N119" s="7">
        <f t="shared" si="17"/>
        <v>0</v>
      </c>
      <c r="O119" s="7">
        <f t="shared" si="17"/>
        <v>0</v>
      </c>
      <c r="P119" s="247">
        <f>SUM(P109,P106)-SUM(P107:P108)</f>
        <v>-588</v>
      </c>
      <c r="Q119" s="247">
        <f>SUM(Q111,Q108)-SUM(Q109:Q110)</f>
        <v>3975</v>
      </c>
      <c r="R119" s="247">
        <f>SUM(R113,R110)-SUM(R111:R112)</f>
        <v>-3387</v>
      </c>
      <c r="S119" s="7">
        <f>S113*-1</f>
        <v>0</v>
      </c>
      <c r="T119" s="7">
        <f>T114-T115-T116+T117</f>
        <v>0</v>
      </c>
      <c r="U119" s="7">
        <f>U116-U117-U118</f>
        <v>0</v>
      </c>
      <c r="W119" s="1"/>
      <c r="X119" s="1"/>
      <c r="Y119" s="1"/>
    </row>
    <row r="120" spans="2:25">
      <c r="G120" s="6"/>
      <c r="I120" s="154"/>
      <c r="J120" s="154"/>
      <c r="K120" s="154"/>
      <c r="L120" s="154"/>
      <c r="M120" s="154"/>
      <c r="N120" s="154"/>
      <c r="O120" s="154"/>
      <c r="P120" s="154"/>
      <c r="Q120" s="154"/>
      <c r="R120" s="154"/>
      <c r="S120" s="154"/>
      <c r="T120" s="154"/>
      <c r="U120" s="154"/>
      <c r="W120" s="1"/>
      <c r="X120" s="1"/>
      <c r="Y120" s="1"/>
    </row>
    <row r="121" spans="2:25">
      <c r="G121" s="26" t="s">
        <v>12</v>
      </c>
      <c r="H121" s="57"/>
      <c r="I121" s="155"/>
      <c r="J121" s="156"/>
      <c r="K121" s="156"/>
      <c r="L121" s="156"/>
      <c r="M121" s="156"/>
      <c r="N121" s="156"/>
      <c r="O121" s="156"/>
      <c r="P121" s="156"/>
      <c r="Q121" s="156"/>
      <c r="R121" s="156"/>
      <c r="S121" s="156"/>
      <c r="T121" s="156"/>
      <c r="U121" s="267"/>
      <c r="W121" s="1"/>
      <c r="X121" s="1"/>
      <c r="Y121" s="1"/>
    </row>
    <row r="122" spans="2:25">
      <c r="G122" s="6"/>
      <c r="I122" s="154"/>
      <c r="J122" s="154"/>
      <c r="K122" s="154"/>
      <c r="L122" s="154"/>
      <c r="M122" s="154"/>
      <c r="N122" s="154"/>
      <c r="O122" s="154"/>
      <c r="P122" s="154"/>
      <c r="Q122" s="154"/>
      <c r="R122" s="154"/>
      <c r="S122" s="154"/>
      <c r="T122" s="154"/>
      <c r="U122" s="154"/>
      <c r="W122" s="1"/>
      <c r="X122" s="1"/>
      <c r="Y122" s="1"/>
    </row>
    <row r="123" spans="2:25" ht="18.75">
      <c r="C123" s="1" t="s">
        <v>177</v>
      </c>
      <c r="D123" s="1" t="s">
        <v>192</v>
      </c>
      <c r="E123" s="1" t="s">
        <v>108</v>
      </c>
      <c r="F123" s="9" t="s">
        <v>26</v>
      </c>
      <c r="H123" s="57"/>
      <c r="I123" s="157">
        <f xml:space="preserve"> I80 + I85 - I91 + I119 + I121</f>
        <v>0</v>
      </c>
      <c r="J123" s="158">
        <f t="shared" ref="J123:T123" si="18" xml:space="preserve"> J80 + J85 - J91 + J119 + J121</f>
        <v>0</v>
      </c>
      <c r="K123" s="158">
        <f t="shared" si="18"/>
        <v>0</v>
      </c>
      <c r="L123" s="158">
        <f t="shared" si="18"/>
        <v>0</v>
      </c>
      <c r="M123" s="158">
        <f t="shared" si="18"/>
        <v>0</v>
      </c>
      <c r="N123" s="158">
        <f t="shared" si="18"/>
        <v>0</v>
      </c>
      <c r="O123" s="158">
        <f t="shared" si="18"/>
        <v>0</v>
      </c>
      <c r="P123" s="158">
        <f t="shared" si="18"/>
        <v>0</v>
      </c>
      <c r="Q123" s="158">
        <f xml:space="preserve"> Q80 + Q85 - Q91 + Q119 + Q121</f>
        <v>8592.2091216254576</v>
      </c>
      <c r="R123" s="158">
        <f t="shared" si="18"/>
        <v>1711.3916214541732</v>
      </c>
      <c r="S123" s="158">
        <f t="shared" si="18"/>
        <v>4891</v>
      </c>
      <c r="T123" s="158">
        <f t="shared" si="18"/>
        <v>4815.8058447401772</v>
      </c>
      <c r="U123" s="268">
        <f t="shared" ref="U123" si="19" xml:space="preserve"> U80 + U85 - U91 + U119 + U121</f>
        <v>4354</v>
      </c>
      <c r="W123" s="1"/>
      <c r="X123" s="1"/>
      <c r="Y123" s="1"/>
    </row>
    <row r="124" spans="2:25">
      <c r="G124" s="6"/>
      <c r="I124" s="7"/>
      <c r="J124" s="7"/>
      <c r="K124" s="7"/>
      <c r="L124" s="23"/>
      <c r="M124" s="23"/>
      <c r="N124" s="23"/>
      <c r="O124" s="23"/>
      <c r="P124" s="23"/>
      <c r="Q124" s="23"/>
      <c r="R124" s="23"/>
      <c r="S124" s="282"/>
      <c r="T124" s="23"/>
      <c r="U124" s="23"/>
      <c r="W124" s="1"/>
      <c r="X124" s="1"/>
      <c r="Y124" s="1"/>
    </row>
    <row r="125" spans="2:25" ht="15.75" thickBot="1">
      <c r="W125" s="1"/>
      <c r="X125" s="1"/>
      <c r="Y125" s="1"/>
    </row>
    <row r="126" spans="2:25" ht="15.75" thickBot="1">
      <c r="F126" s="8"/>
      <c r="G126" s="8"/>
      <c r="H126" s="8"/>
      <c r="I126" s="8"/>
      <c r="J126" s="8"/>
      <c r="K126" s="8"/>
      <c r="L126" s="8"/>
      <c r="M126" s="8"/>
      <c r="N126" s="8"/>
      <c r="O126" s="8"/>
      <c r="P126" s="8"/>
      <c r="Q126" s="8"/>
      <c r="R126" s="8"/>
      <c r="S126" s="290"/>
      <c r="T126" s="8"/>
      <c r="U126" s="8"/>
      <c r="W126" s="1"/>
      <c r="X126" s="1"/>
      <c r="Y126" s="1"/>
    </row>
    <row r="127" spans="2:25" ht="21.75" thickBot="1">
      <c r="F127" s="13" t="s">
        <v>4</v>
      </c>
      <c r="G127" s="13"/>
      <c r="H127" s="185" t="s">
        <v>178</v>
      </c>
      <c r="I127" s="183"/>
      <c r="W127" s="1"/>
      <c r="X127" s="1"/>
      <c r="Y127" s="1"/>
    </row>
    <row r="128" spans="2:25">
      <c r="W128" s="1"/>
      <c r="X128" s="1"/>
      <c r="Y128" s="1"/>
    </row>
    <row r="129" spans="1:25" ht="18.75">
      <c r="F129" s="9" t="s">
        <v>21</v>
      </c>
      <c r="G129" s="9"/>
      <c r="I129" s="2">
        <v>2011</v>
      </c>
      <c r="J129" s="2">
        <f>I129+1</f>
        <v>2012</v>
      </c>
      <c r="K129" s="2">
        <f t="shared" ref="K129:R129" si="20">J129+1</f>
        <v>2013</v>
      </c>
      <c r="L129" s="2">
        <f t="shared" si="20"/>
        <v>2014</v>
      </c>
      <c r="M129" s="2">
        <f t="shared" si="20"/>
        <v>2015</v>
      </c>
      <c r="N129" s="2">
        <f t="shared" si="20"/>
        <v>2016</v>
      </c>
      <c r="O129" s="2">
        <f t="shared" si="20"/>
        <v>2017</v>
      </c>
      <c r="P129" s="2">
        <f t="shared" si="20"/>
        <v>2018</v>
      </c>
      <c r="Q129" s="2">
        <f t="shared" si="20"/>
        <v>2019</v>
      </c>
      <c r="R129" s="2">
        <f t="shared" si="20"/>
        <v>2020</v>
      </c>
      <c r="S129" s="2">
        <f>R129+1</f>
        <v>2021</v>
      </c>
      <c r="T129" s="2">
        <f>S129+1</f>
        <v>2022</v>
      </c>
      <c r="U129" s="2">
        <f>T129+1</f>
        <v>2023</v>
      </c>
      <c r="W129" s="1"/>
      <c r="X129" s="1"/>
      <c r="Y129" s="1"/>
    </row>
    <row r="130" spans="1:25">
      <c r="G130" s="62" t="str">
        <f>"Total MWh Produced / Purchased from " &amp; H127</f>
        <v>Total MWh Produced / Purchased from Bear Creek Solar</v>
      </c>
      <c r="H130" s="57"/>
      <c r="I130" s="3">
        <v>0</v>
      </c>
      <c r="J130" s="4">
        <v>0</v>
      </c>
      <c r="K130" s="4">
        <v>0</v>
      </c>
      <c r="L130" s="4">
        <v>0</v>
      </c>
      <c r="M130" s="4">
        <v>0</v>
      </c>
      <c r="N130" s="4">
        <v>0</v>
      </c>
      <c r="O130" s="4">
        <v>0</v>
      </c>
      <c r="P130" s="4">
        <v>5709.8010000000004</v>
      </c>
      <c r="Q130" s="4">
        <v>22676</v>
      </c>
      <c r="R130" s="4">
        <v>24050</v>
      </c>
      <c r="S130" s="4">
        <v>23903</v>
      </c>
      <c r="T130" s="4">
        <v>23024</v>
      </c>
      <c r="U130" s="5">
        <v>20177</v>
      </c>
      <c r="W130" s="1"/>
      <c r="X130" s="1"/>
      <c r="Y130" s="1"/>
    </row>
    <row r="131" spans="1:25">
      <c r="G131" s="62" t="s">
        <v>25</v>
      </c>
      <c r="H131" s="57"/>
      <c r="I131" s="269">
        <v>0</v>
      </c>
      <c r="J131" s="41">
        <v>0</v>
      </c>
      <c r="K131" s="41">
        <v>0</v>
      </c>
      <c r="L131" s="41">
        <v>0</v>
      </c>
      <c r="M131" s="41">
        <v>0</v>
      </c>
      <c r="N131" s="41">
        <v>0</v>
      </c>
      <c r="O131" s="41">
        <v>0</v>
      </c>
      <c r="P131" s="41">
        <v>1</v>
      </c>
      <c r="Q131" s="41">
        <v>1</v>
      </c>
      <c r="R131" s="41">
        <v>1</v>
      </c>
      <c r="S131" s="41">
        <v>1</v>
      </c>
      <c r="T131" s="41">
        <v>1</v>
      </c>
      <c r="U131" s="41">
        <v>1</v>
      </c>
      <c r="W131" s="1"/>
      <c r="X131" s="1"/>
      <c r="Y131" s="1"/>
    </row>
    <row r="132" spans="1:25">
      <c r="G132" s="62" t="s">
        <v>20</v>
      </c>
      <c r="H132" s="57"/>
      <c r="I132" s="270">
        <v>0</v>
      </c>
      <c r="J132" s="36">
        <v>0</v>
      </c>
      <c r="K132" s="36">
        <v>0</v>
      </c>
      <c r="L132" s="36">
        <v>0</v>
      </c>
      <c r="M132" s="36">
        <v>0</v>
      </c>
      <c r="N132" s="36">
        <v>0</v>
      </c>
      <c r="O132" s="36">
        <v>0</v>
      </c>
      <c r="P132" s="36">
        <f>P79</f>
        <v>0.22007817037432531</v>
      </c>
      <c r="Q132" s="36">
        <f>Q79</f>
        <v>0.2223660721260575</v>
      </c>
      <c r="R132" s="36">
        <v>0.22351563443464154</v>
      </c>
      <c r="S132" s="36">
        <f>S3</f>
        <v>0.22350374113192695</v>
      </c>
      <c r="T132" s="36">
        <f>T3</f>
        <v>0.2182158613775059</v>
      </c>
      <c r="U132" s="36">
        <f>U3</f>
        <v>0.21529999999999999</v>
      </c>
      <c r="W132" s="1"/>
      <c r="X132" s="1"/>
      <c r="Y132" s="1"/>
    </row>
    <row r="133" spans="1:25">
      <c r="A133" s="1" t="s">
        <v>178</v>
      </c>
      <c r="G133" s="26" t="s">
        <v>22</v>
      </c>
      <c r="H133" s="6"/>
      <c r="I133" s="30">
        <v>0</v>
      </c>
      <c r="J133" s="30">
        <v>0</v>
      </c>
      <c r="K133" s="30">
        <v>0</v>
      </c>
      <c r="L133" s="30">
        <v>0</v>
      </c>
      <c r="M133" s="30">
        <v>0</v>
      </c>
      <c r="N133" s="161">
        <v>0</v>
      </c>
      <c r="O133" s="161">
        <v>0</v>
      </c>
      <c r="P133" s="161">
        <v>677</v>
      </c>
      <c r="Q133" s="161">
        <f>Q130*Q132</f>
        <v>5042.3730515304796</v>
      </c>
      <c r="R133" s="161">
        <f>R130*R132</f>
        <v>5375.5510081531293</v>
      </c>
      <c r="S133" s="161">
        <f>ROUNDDOWN(S130*S132,0)</f>
        <v>5342</v>
      </c>
      <c r="T133" s="161">
        <f>ROUNDDOWN(T130*T132,0)</f>
        <v>5024</v>
      </c>
      <c r="U133" s="161">
        <f>ROUNDDOWN(U130*U132,0)</f>
        <v>4344</v>
      </c>
      <c r="W133" s="1"/>
      <c r="X133" s="1"/>
      <c r="Y133" s="1"/>
    </row>
    <row r="134" spans="1:25">
      <c r="I134" s="29"/>
      <c r="J134" s="29"/>
      <c r="K134" s="29"/>
      <c r="L134" s="29"/>
      <c r="M134" s="29"/>
      <c r="N134" s="20"/>
      <c r="O134" s="20"/>
      <c r="P134" s="20"/>
      <c r="Q134" s="20"/>
      <c r="R134" s="20"/>
      <c r="S134" s="292"/>
      <c r="T134" s="20"/>
      <c r="U134" s="20"/>
      <c r="W134" s="1"/>
      <c r="X134" s="1"/>
      <c r="Y134" s="1"/>
    </row>
    <row r="135" spans="1:25" ht="18.75">
      <c r="F135" s="9" t="s">
        <v>118</v>
      </c>
      <c r="I135" s="2">
        <v>2011</v>
      </c>
      <c r="J135" s="2">
        <f>I135+1</f>
        <v>2012</v>
      </c>
      <c r="K135" s="2">
        <f t="shared" ref="K135:R135" si="21">J135+1</f>
        <v>2013</v>
      </c>
      <c r="L135" s="2">
        <f t="shared" si="21"/>
        <v>2014</v>
      </c>
      <c r="M135" s="2">
        <f t="shared" si="21"/>
        <v>2015</v>
      </c>
      <c r="N135" s="2">
        <f t="shared" si="21"/>
        <v>2016</v>
      </c>
      <c r="O135" s="2">
        <f t="shared" si="21"/>
        <v>2017</v>
      </c>
      <c r="P135" s="2">
        <f t="shared" si="21"/>
        <v>2018</v>
      </c>
      <c r="Q135" s="2">
        <f t="shared" si="21"/>
        <v>2019</v>
      </c>
      <c r="R135" s="2">
        <f t="shared" si="21"/>
        <v>2020</v>
      </c>
      <c r="S135" s="2">
        <f>R135+1</f>
        <v>2021</v>
      </c>
      <c r="T135" s="2">
        <f>S135+1</f>
        <v>2022</v>
      </c>
      <c r="U135" s="2">
        <f>T135+1</f>
        <v>2023</v>
      </c>
      <c r="W135" s="1"/>
      <c r="X135" s="1"/>
      <c r="Y135" s="1"/>
    </row>
    <row r="136" spans="1:25">
      <c r="G136" s="62" t="s">
        <v>10</v>
      </c>
      <c r="H136" s="57"/>
      <c r="I136" s="38">
        <f>IF($J7 = "Eligible", I133 * 'Facility Detail'!$G$3257, 0 )</f>
        <v>0</v>
      </c>
      <c r="J136" s="11">
        <f>IF($J7 = "Eligible", J133 * 'Facility Detail'!$G$3257, 0 )</f>
        <v>0</v>
      </c>
      <c r="K136" s="11">
        <f>IF($J7 = "Eligible", K133 * 'Facility Detail'!$G$3257, 0 )</f>
        <v>0</v>
      </c>
      <c r="L136" s="11">
        <f>IF($J7 = "Eligible", L133 * 'Facility Detail'!$G$3257, 0 )</f>
        <v>0</v>
      </c>
      <c r="M136" s="11">
        <f>IF($J7 = "Eligible", M133 * 'Facility Detail'!$G$3257, 0 )</f>
        <v>0</v>
      </c>
      <c r="N136" s="11">
        <f>IF($J7 = "Eligible", N133 * 'Facility Detail'!$G$3257, 0 )</f>
        <v>0</v>
      </c>
      <c r="O136" s="11">
        <f>IF($J7 = "Eligible", O133 * 'Facility Detail'!$G$3257, 0 )</f>
        <v>0</v>
      </c>
      <c r="P136" s="11">
        <f>IF($J7 = "Eligible", P133 * 'Facility Detail'!$G$3257, 0 )</f>
        <v>0</v>
      </c>
      <c r="Q136" s="11">
        <f>IF($J7 = "Eligible", Q133 * 'Facility Detail'!$G$3257, 0 )</f>
        <v>0</v>
      </c>
      <c r="R136" s="11">
        <f>IF($J7 = "Eligible", R133 * 'Facility Detail'!$G$3257, 0 )</f>
        <v>0</v>
      </c>
      <c r="S136" s="11">
        <f>IF($J7 = "Eligible", S133 * 'Facility Detail'!$G$3257, 0 )</f>
        <v>0</v>
      </c>
      <c r="T136" s="11">
        <f>IF($J7 = "Eligible", T133 * 'Facility Detail'!$G$3257, 0 )</f>
        <v>0</v>
      </c>
      <c r="U136" s="223">
        <f>IF($J7 = "Eligible", U133 * 'Facility Detail'!$G$3257, 0 )</f>
        <v>0</v>
      </c>
      <c r="W136" s="1"/>
      <c r="X136" s="1"/>
      <c r="Y136" s="1"/>
    </row>
    <row r="137" spans="1:25">
      <c r="G137" s="62" t="s">
        <v>6</v>
      </c>
      <c r="H137" s="57"/>
      <c r="I137" s="39">
        <f t="shared" ref="I137:S137" si="22">IF($K7 = "Eligible", I133, 0 )</f>
        <v>0</v>
      </c>
      <c r="J137" s="193">
        <f t="shared" si="22"/>
        <v>0</v>
      </c>
      <c r="K137" s="193">
        <f t="shared" si="22"/>
        <v>0</v>
      </c>
      <c r="L137" s="193">
        <f t="shared" si="22"/>
        <v>0</v>
      </c>
      <c r="M137" s="193">
        <f t="shared" si="22"/>
        <v>0</v>
      </c>
      <c r="N137" s="193">
        <f t="shared" si="22"/>
        <v>0</v>
      </c>
      <c r="O137" s="193">
        <f t="shared" si="22"/>
        <v>0</v>
      </c>
      <c r="P137" s="193">
        <f t="shared" si="22"/>
        <v>0</v>
      </c>
      <c r="Q137" s="193">
        <f t="shared" si="22"/>
        <v>0</v>
      </c>
      <c r="R137" s="193">
        <f t="shared" si="22"/>
        <v>0</v>
      </c>
      <c r="S137" s="193">
        <f t="shared" si="22"/>
        <v>0</v>
      </c>
      <c r="T137" s="193">
        <f t="shared" ref="T137:U137" si="23">IF($K7 = "Eligible", T133, 0 )</f>
        <v>0</v>
      </c>
      <c r="U137" s="224">
        <f t="shared" si="23"/>
        <v>0</v>
      </c>
      <c r="W137" s="1"/>
      <c r="X137" s="1"/>
      <c r="Y137" s="1"/>
    </row>
    <row r="138" spans="1:25">
      <c r="G138" s="26" t="s">
        <v>120</v>
      </c>
      <c r="H138" s="6"/>
      <c r="I138" s="32">
        <f>SUM(I136:I137)</f>
        <v>0</v>
      </c>
      <c r="J138" s="33">
        <f t="shared" ref="J138:S138" si="24">SUM(J136:J137)</f>
        <v>0</v>
      </c>
      <c r="K138" s="33">
        <f t="shared" si="24"/>
        <v>0</v>
      </c>
      <c r="L138" s="33">
        <f t="shared" si="24"/>
        <v>0</v>
      </c>
      <c r="M138" s="33">
        <f t="shared" si="24"/>
        <v>0</v>
      </c>
      <c r="N138" s="33">
        <f t="shared" si="24"/>
        <v>0</v>
      </c>
      <c r="O138" s="33">
        <f t="shared" si="24"/>
        <v>0</v>
      </c>
      <c r="P138" s="33">
        <f t="shared" si="24"/>
        <v>0</v>
      </c>
      <c r="Q138" s="33">
        <f t="shared" si="24"/>
        <v>0</v>
      </c>
      <c r="R138" s="33">
        <f t="shared" si="24"/>
        <v>0</v>
      </c>
      <c r="S138" s="33">
        <f t="shared" si="24"/>
        <v>0</v>
      </c>
      <c r="T138" s="33">
        <f t="shared" ref="T138:U138" si="25">SUM(T136:T137)</f>
        <v>0</v>
      </c>
      <c r="U138" s="33">
        <f t="shared" si="25"/>
        <v>0</v>
      </c>
      <c r="W138" s="1"/>
      <c r="X138" s="1"/>
      <c r="Y138" s="1"/>
    </row>
    <row r="139" spans="1:25">
      <c r="I139" s="31"/>
      <c r="J139" s="24"/>
      <c r="K139" s="24"/>
      <c r="L139" s="24"/>
      <c r="M139" s="24"/>
      <c r="N139" s="24"/>
      <c r="O139" s="24"/>
      <c r="P139" s="24"/>
      <c r="Q139" s="24"/>
      <c r="R139" s="24"/>
      <c r="S139" s="24"/>
      <c r="T139" s="24"/>
      <c r="U139" s="24"/>
      <c r="W139" s="1"/>
      <c r="X139" s="1"/>
      <c r="Y139" s="1"/>
    </row>
    <row r="140" spans="1:25" ht="18.75">
      <c r="F140" s="9" t="s">
        <v>30</v>
      </c>
      <c r="I140" s="2">
        <v>2011</v>
      </c>
      <c r="J140" s="2">
        <f>I140+1</f>
        <v>2012</v>
      </c>
      <c r="K140" s="2">
        <f t="shared" ref="K140:R140" si="26">J140+1</f>
        <v>2013</v>
      </c>
      <c r="L140" s="2">
        <f t="shared" si="26"/>
        <v>2014</v>
      </c>
      <c r="M140" s="2">
        <f t="shared" si="26"/>
        <v>2015</v>
      </c>
      <c r="N140" s="2">
        <f t="shared" si="26"/>
        <v>2016</v>
      </c>
      <c r="O140" s="2">
        <f t="shared" si="26"/>
        <v>2017</v>
      </c>
      <c r="P140" s="2">
        <f t="shared" si="26"/>
        <v>2018</v>
      </c>
      <c r="Q140" s="2">
        <f t="shared" si="26"/>
        <v>2019</v>
      </c>
      <c r="R140" s="2">
        <f t="shared" si="26"/>
        <v>2020</v>
      </c>
      <c r="S140" s="2">
        <f>R140+1</f>
        <v>2021</v>
      </c>
      <c r="T140" s="2">
        <f>S140+1</f>
        <v>2022</v>
      </c>
      <c r="U140" s="2">
        <f>T140+1</f>
        <v>2023</v>
      </c>
      <c r="W140" s="1"/>
      <c r="X140" s="1"/>
      <c r="Y140" s="1"/>
    </row>
    <row r="141" spans="1:25">
      <c r="G141" s="62" t="s">
        <v>47</v>
      </c>
      <c r="H141" s="57"/>
      <c r="I141" s="71">
        <v>0</v>
      </c>
      <c r="J141" s="72">
        <v>0</v>
      </c>
      <c r="K141" s="72">
        <v>0</v>
      </c>
      <c r="L141" s="72">
        <v>0</v>
      </c>
      <c r="M141" s="72">
        <v>0</v>
      </c>
      <c r="N141" s="72">
        <v>0</v>
      </c>
      <c r="O141" s="72">
        <v>0</v>
      </c>
      <c r="P141" s="72">
        <v>0</v>
      </c>
      <c r="Q141" s="72">
        <v>0</v>
      </c>
      <c r="R141" s="72">
        <v>0</v>
      </c>
      <c r="S141" s="72">
        <v>0</v>
      </c>
      <c r="T141" s="72">
        <v>0</v>
      </c>
      <c r="U141" s="73">
        <v>0</v>
      </c>
      <c r="W141" s="1"/>
      <c r="X141" s="1"/>
      <c r="Y141" s="1"/>
    </row>
    <row r="142" spans="1:25">
      <c r="G142" s="63" t="s">
        <v>23</v>
      </c>
      <c r="H142" s="135"/>
      <c r="I142" s="74">
        <v>0</v>
      </c>
      <c r="J142" s="75">
        <v>0</v>
      </c>
      <c r="K142" s="75">
        <v>0</v>
      </c>
      <c r="L142" s="75">
        <v>0</v>
      </c>
      <c r="M142" s="75">
        <v>0</v>
      </c>
      <c r="N142" s="75">
        <v>0</v>
      </c>
      <c r="O142" s="75">
        <v>0</v>
      </c>
      <c r="P142" s="75">
        <v>0</v>
      </c>
      <c r="Q142" s="75">
        <v>0</v>
      </c>
      <c r="R142" s="75">
        <v>0</v>
      </c>
      <c r="S142" s="75">
        <v>0</v>
      </c>
      <c r="T142" s="75">
        <v>0</v>
      </c>
      <c r="U142" s="76">
        <v>0</v>
      </c>
      <c r="W142" s="1"/>
      <c r="X142" s="1"/>
      <c r="Y142" s="1"/>
    </row>
    <row r="143" spans="1:25">
      <c r="G143" s="63" t="s">
        <v>89</v>
      </c>
      <c r="H143" s="134"/>
      <c r="I143" s="43">
        <v>0</v>
      </c>
      <c r="J143" s="44">
        <v>0</v>
      </c>
      <c r="K143" s="44">
        <v>0</v>
      </c>
      <c r="L143" s="44">
        <v>0</v>
      </c>
      <c r="M143" s="44">
        <v>0</v>
      </c>
      <c r="N143" s="44">
        <v>0</v>
      </c>
      <c r="O143" s="44">
        <v>0</v>
      </c>
      <c r="P143" s="44">
        <v>0</v>
      </c>
      <c r="Q143" s="44">
        <v>0</v>
      </c>
      <c r="R143" s="44">
        <v>0</v>
      </c>
      <c r="S143" s="44">
        <v>0</v>
      </c>
      <c r="T143" s="44">
        <v>0</v>
      </c>
      <c r="U143" s="45">
        <v>0</v>
      </c>
      <c r="W143" s="1"/>
      <c r="X143" s="1"/>
      <c r="Y143" s="1"/>
    </row>
    <row r="144" spans="1:25">
      <c r="G144" s="26" t="s">
        <v>90</v>
      </c>
      <c r="I144" s="7">
        <v>0</v>
      </c>
      <c r="J144" s="7">
        <v>0</v>
      </c>
      <c r="K144" s="7">
        <v>0</v>
      </c>
      <c r="L144" s="7">
        <v>0</v>
      </c>
      <c r="M144" s="7">
        <v>0</v>
      </c>
      <c r="N144" s="7">
        <v>0</v>
      </c>
      <c r="O144" s="7">
        <v>0</v>
      </c>
      <c r="P144" s="7">
        <v>0</v>
      </c>
      <c r="Q144" s="7">
        <v>0</v>
      </c>
      <c r="R144" s="7">
        <v>0</v>
      </c>
      <c r="S144" s="7">
        <v>0</v>
      </c>
      <c r="T144" s="7">
        <v>0</v>
      </c>
      <c r="U144" s="7">
        <v>0</v>
      </c>
      <c r="W144" s="1"/>
      <c r="X144" s="1"/>
      <c r="Y144" s="1"/>
    </row>
    <row r="145" spans="6:25">
      <c r="G145" s="6"/>
      <c r="I145" s="7"/>
      <c r="J145" s="7"/>
      <c r="K145" s="7"/>
      <c r="L145" s="23"/>
      <c r="M145" s="23"/>
      <c r="N145" s="23"/>
      <c r="O145" s="23"/>
      <c r="P145" s="23"/>
      <c r="Q145" s="23"/>
      <c r="R145" s="23"/>
      <c r="S145" s="23"/>
      <c r="T145" s="23"/>
      <c r="U145" s="23"/>
      <c r="W145" s="1"/>
      <c r="X145" s="1"/>
      <c r="Y145" s="1"/>
    </row>
    <row r="146" spans="6:25" ht="18.75">
      <c r="F146" s="9" t="s">
        <v>100</v>
      </c>
      <c r="I146" s="2">
        <f>'Facility Detail'!$G$3260</f>
        <v>2011</v>
      </c>
      <c r="J146" s="2">
        <f>I146+1</f>
        <v>2012</v>
      </c>
      <c r="K146" s="2">
        <f t="shared" ref="K146:R146" si="27">J146+1</f>
        <v>2013</v>
      </c>
      <c r="L146" s="2">
        <f t="shared" si="27"/>
        <v>2014</v>
      </c>
      <c r="M146" s="2">
        <f t="shared" si="27"/>
        <v>2015</v>
      </c>
      <c r="N146" s="2">
        <f t="shared" si="27"/>
        <v>2016</v>
      </c>
      <c r="O146" s="2">
        <f t="shared" si="27"/>
        <v>2017</v>
      </c>
      <c r="P146" s="2">
        <f t="shared" si="27"/>
        <v>2018</v>
      </c>
      <c r="Q146" s="2">
        <f t="shared" si="27"/>
        <v>2019</v>
      </c>
      <c r="R146" s="2">
        <f t="shared" si="27"/>
        <v>2020</v>
      </c>
      <c r="S146" s="2">
        <f>R146+1</f>
        <v>2021</v>
      </c>
      <c r="T146" s="2">
        <f>S146+1</f>
        <v>2022</v>
      </c>
      <c r="U146" s="2">
        <f>T146+1</f>
        <v>2023</v>
      </c>
      <c r="W146" s="1"/>
      <c r="X146" s="1"/>
      <c r="Y146" s="1"/>
    </row>
    <row r="147" spans="6:25">
      <c r="G147" s="62" t="s">
        <v>68</v>
      </c>
      <c r="I147" s="230">
        <v>0</v>
      </c>
      <c r="J147" s="231">
        <v>0</v>
      </c>
      <c r="K147" s="232"/>
      <c r="L147" s="232"/>
      <c r="M147" s="232"/>
      <c r="N147" s="232"/>
      <c r="O147" s="232"/>
      <c r="P147" s="232"/>
      <c r="Q147" s="232"/>
      <c r="R147" s="232"/>
      <c r="S147" s="232"/>
      <c r="T147" s="217"/>
      <c r="U147" s="47"/>
      <c r="W147" s="1"/>
      <c r="X147" s="1"/>
      <c r="Y147" s="1"/>
    </row>
    <row r="148" spans="6:25">
      <c r="G148" s="62" t="s">
        <v>69</v>
      </c>
      <c r="I148" s="229">
        <v>0</v>
      </c>
      <c r="J148" s="233">
        <v>0</v>
      </c>
      <c r="K148" s="234"/>
      <c r="L148" s="234"/>
      <c r="M148" s="234"/>
      <c r="N148" s="234"/>
      <c r="O148" s="234"/>
      <c r="P148" s="234"/>
      <c r="Q148" s="234"/>
      <c r="R148" s="234"/>
      <c r="S148" s="234"/>
      <c r="T148" s="218"/>
      <c r="U148" s="128"/>
      <c r="W148" s="1"/>
      <c r="X148" s="1"/>
      <c r="Y148" s="1"/>
    </row>
    <row r="149" spans="6:25">
      <c r="G149" s="62" t="s">
        <v>70</v>
      </c>
      <c r="I149" s="235"/>
      <c r="J149" s="233">
        <v>0</v>
      </c>
      <c r="K149" s="236">
        <v>0</v>
      </c>
      <c r="L149" s="234"/>
      <c r="M149" s="234"/>
      <c r="N149" s="234"/>
      <c r="O149" s="234"/>
      <c r="P149" s="234"/>
      <c r="Q149" s="234"/>
      <c r="R149" s="234"/>
      <c r="S149" s="234"/>
      <c r="T149" s="218"/>
      <c r="U149" s="128"/>
      <c r="W149" s="1"/>
      <c r="X149" s="1"/>
      <c r="Y149" s="1"/>
    </row>
    <row r="150" spans="6:25">
      <c r="G150" s="62" t="s">
        <v>71</v>
      </c>
      <c r="I150" s="235"/>
      <c r="J150" s="236">
        <v>0</v>
      </c>
      <c r="K150" s="237">
        <v>0</v>
      </c>
      <c r="L150" s="234"/>
      <c r="M150" s="234"/>
      <c r="N150" s="234"/>
      <c r="O150" s="234"/>
      <c r="P150" s="234"/>
      <c r="Q150" s="234"/>
      <c r="R150" s="234"/>
      <c r="S150" s="234"/>
      <c r="T150" s="218"/>
      <c r="U150" s="128"/>
      <c r="W150" s="1"/>
      <c r="X150" s="1"/>
      <c r="Y150" s="1"/>
    </row>
    <row r="151" spans="6:25" ht="14.25" customHeight="1">
      <c r="G151" s="62" t="s">
        <v>170</v>
      </c>
      <c r="I151" s="235"/>
      <c r="J151" s="238"/>
      <c r="K151" s="233">
        <v>0</v>
      </c>
      <c r="L151" s="239">
        <v>0</v>
      </c>
      <c r="M151" s="234"/>
      <c r="N151" s="234"/>
      <c r="O151" s="234"/>
      <c r="P151" s="234"/>
      <c r="Q151" s="234"/>
      <c r="R151" s="234"/>
      <c r="S151" s="234"/>
      <c r="T151" s="146"/>
      <c r="U151" s="122"/>
      <c r="W151" s="1"/>
      <c r="X151" s="1"/>
      <c r="Y151" s="1"/>
    </row>
    <row r="152" spans="6:25" ht="17.25" customHeight="1">
      <c r="G152" s="62" t="s">
        <v>171</v>
      </c>
      <c r="I152" s="235"/>
      <c r="J152" s="238"/>
      <c r="K152" s="236">
        <v>0</v>
      </c>
      <c r="L152" s="233">
        <v>0</v>
      </c>
      <c r="M152" s="234"/>
      <c r="N152" s="234"/>
      <c r="O152" s="234"/>
      <c r="P152" s="234"/>
      <c r="Q152" s="234"/>
      <c r="R152" s="234"/>
      <c r="S152" s="234"/>
      <c r="T152" s="146"/>
      <c r="U152" s="122"/>
      <c r="W152" s="1"/>
      <c r="X152" s="1"/>
      <c r="Y152" s="1"/>
    </row>
    <row r="153" spans="6:25">
      <c r="G153" s="62" t="s">
        <v>172</v>
      </c>
      <c r="I153" s="235"/>
      <c r="J153" s="238"/>
      <c r="K153" s="238"/>
      <c r="L153" s="233">
        <v>0</v>
      </c>
      <c r="M153" s="239">
        <f>L153</f>
        <v>0</v>
      </c>
      <c r="N153" s="238"/>
      <c r="O153" s="234"/>
      <c r="P153" s="234"/>
      <c r="Q153" s="234"/>
      <c r="R153" s="234"/>
      <c r="S153" s="234"/>
      <c r="T153" s="146"/>
      <c r="U153" s="122"/>
      <c r="W153" s="1"/>
      <c r="X153" s="1"/>
      <c r="Y153" s="1"/>
    </row>
    <row r="154" spans="6:25">
      <c r="G154" s="62" t="s">
        <v>173</v>
      </c>
      <c r="I154" s="235"/>
      <c r="J154" s="238"/>
      <c r="K154" s="238"/>
      <c r="L154" s="236">
        <v>0</v>
      </c>
      <c r="M154" s="233">
        <v>0</v>
      </c>
      <c r="N154" s="238"/>
      <c r="O154" s="234"/>
      <c r="P154" s="234"/>
      <c r="Q154" s="234"/>
      <c r="R154" s="234"/>
      <c r="S154" s="234"/>
      <c r="T154" s="146"/>
      <c r="U154" s="122"/>
      <c r="W154" s="1"/>
      <c r="X154" s="1"/>
      <c r="Y154" s="1"/>
    </row>
    <row r="155" spans="6:25">
      <c r="G155" s="62" t="s">
        <v>174</v>
      </c>
      <c r="I155" s="235"/>
      <c r="J155" s="238"/>
      <c r="K155" s="238"/>
      <c r="L155" s="238"/>
      <c r="M155" s="233">
        <v>0</v>
      </c>
      <c r="N155" s="239">
        <v>0</v>
      </c>
      <c r="O155" s="234"/>
      <c r="P155" s="234"/>
      <c r="Q155" s="234"/>
      <c r="R155" s="234"/>
      <c r="S155" s="234"/>
      <c r="T155" s="146"/>
      <c r="U155" s="122"/>
      <c r="W155" s="1"/>
      <c r="X155" s="1"/>
      <c r="Y155" s="1"/>
    </row>
    <row r="156" spans="6:25">
      <c r="G156" s="62" t="s">
        <v>175</v>
      </c>
      <c r="I156" s="235"/>
      <c r="J156" s="238"/>
      <c r="K156" s="238"/>
      <c r="L156" s="238"/>
      <c r="M156" s="236">
        <v>0</v>
      </c>
      <c r="N156" s="233">
        <v>0</v>
      </c>
      <c r="O156" s="234"/>
      <c r="P156" s="234"/>
      <c r="Q156" s="234"/>
      <c r="R156" s="234"/>
      <c r="S156" s="234"/>
      <c r="T156" s="146"/>
      <c r="U156" s="122"/>
      <c r="W156" s="1"/>
      <c r="X156" s="1"/>
      <c r="Y156" s="1"/>
    </row>
    <row r="157" spans="6:25">
      <c r="G157" s="62" t="s">
        <v>176</v>
      </c>
      <c r="I157" s="235"/>
      <c r="J157" s="238"/>
      <c r="K157" s="238"/>
      <c r="L157" s="238"/>
      <c r="M157" s="238"/>
      <c r="N157" s="240">
        <v>0</v>
      </c>
      <c r="O157" s="241">
        <f>N157</f>
        <v>0</v>
      </c>
      <c r="P157" s="234"/>
      <c r="Q157" s="234"/>
      <c r="R157" s="234"/>
      <c r="S157" s="234"/>
      <c r="T157" s="146"/>
      <c r="U157" s="122"/>
      <c r="W157" s="1"/>
      <c r="X157" s="1"/>
      <c r="Y157" s="1"/>
    </row>
    <row r="158" spans="6:25">
      <c r="G158" s="62" t="s">
        <v>167</v>
      </c>
      <c r="I158" s="235"/>
      <c r="J158" s="238"/>
      <c r="K158" s="238"/>
      <c r="L158" s="238"/>
      <c r="M158" s="238"/>
      <c r="N158" s="242">
        <v>0</v>
      </c>
      <c r="O158" s="243">
        <v>0</v>
      </c>
      <c r="P158" s="234"/>
      <c r="Q158" s="234"/>
      <c r="R158" s="234"/>
      <c r="S158" s="234"/>
      <c r="T158" s="146"/>
      <c r="U158" s="122"/>
      <c r="W158" s="1"/>
      <c r="X158" s="1"/>
      <c r="Y158" s="1"/>
    </row>
    <row r="159" spans="6:25">
      <c r="G159" s="62" t="s">
        <v>168</v>
      </c>
      <c r="I159" s="235"/>
      <c r="J159" s="238"/>
      <c r="K159" s="238"/>
      <c r="L159" s="238"/>
      <c r="M159" s="238"/>
      <c r="N159" s="238"/>
      <c r="O159" s="243">
        <f>O133</f>
        <v>0</v>
      </c>
      <c r="P159" s="241">
        <v>0</v>
      </c>
      <c r="Q159" s="234"/>
      <c r="R159" s="234"/>
      <c r="S159" s="234"/>
      <c r="T159" s="146"/>
      <c r="U159" s="122"/>
      <c r="W159" s="1"/>
      <c r="X159" s="1"/>
      <c r="Y159" s="1"/>
    </row>
    <row r="160" spans="6:25">
      <c r="G160" s="62" t="s">
        <v>185</v>
      </c>
      <c r="I160" s="235"/>
      <c r="J160" s="238"/>
      <c r="K160" s="238"/>
      <c r="L160" s="238"/>
      <c r="M160" s="238"/>
      <c r="N160" s="238"/>
      <c r="O160" s="241">
        <v>0</v>
      </c>
      <c r="P160" s="243">
        <v>0</v>
      </c>
      <c r="Q160" s="234"/>
      <c r="R160" s="234"/>
      <c r="S160" s="234"/>
      <c r="T160" s="146"/>
      <c r="U160" s="122"/>
      <c r="W160" s="1"/>
      <c r="X160" s="1"/>
      <c r="Y160" s="1"/>
    </row>
    <row r="161" spans="2:25">
      <c r="G161" s="62" t="s">
        <v>186</v>
      </c>
      <c r="I161" s="235"/>
      <c r="J161" s="238"/>
      <c r="K161" s="238"/>
      <c r="L161" s="238"/>
      <c r="M161" s="238"/>
      <c r="N161" s="238"/>
      <c r="O161" s="238"/>
      <c r="P161" s="243">
        <f>P133</f>
        <v>677</v>
      </c>
      <c r="Q161" s="236">
        <f>P161</f>
        <v>677</v>
      </c>
      <c r="R161" s="234"/>
      <c r="S161" s="234"/>
      <c r="T161" s="146"/>
      <c r="U161" s="122"/>
      <c r="W161" s="1"/>
      <c r="X161" s="1"/>
      <c r="Y161" s="1"/>
    </row>
    <row r="162" spans="2:25">
      <c r="G162" s="62" t="s">
        <v>187</v>
      </c>
      <c r="I162" s="235"/>
      <c r="J162" s="238"/>
      <c r="K162" s="238"/>
      <c r="L162" s="238"/>
      <c r="M162" s="238"/>
      <c r="N162" s="238"/>
      <c r="O162" s="238"/>
      <c r="P162" s="241">
        <f>Q162</f>
        <v>0</v>
      </c>
      <c r="Q162" s="244">
        <v>0</v>
      </c>
      <c r="R162" s="234"/>
      <c r="S162" s="234"/>
      <c r="T162" s="146"/>
      <c r="U162" s="122"/>
      <c r="W162" s="1"/>
      <c r="X162" s="1"/>
      <c r="Y162" s="1"/>
    </row>
    <row r="163" spans="2:25">
      <c r="G163" s="62" t="s">
        <v>188</v>
      </c>
      <c r="I163" s="235"/>
      <c r="J163" s="238"/>
      <c r="K163" s="238"/>
      <c r="L163" s="238"/>
      <c r="M163" s="238"/>
      <c r="N163" s="238"/>
      <c r="O163" s="238"/>
      <c r="P163" s="238"/>
      <c r="Q163" s="243"/>
      <c r="R163" s="245">
        <f>Q163</f>
        <v>0</v>
      </c>
      <c r="S163" s="234"/>
      <c r="T163" s="146"/>
      <c r="U163" s="122"/>
      <c r="W163" s="1"/>
      <c r="X163" s="1"/>
      <c r="Y163" s="1"/>
    </row>
    <row r="164" spans="2:25">
      <c r="G164" s="62" t="s">
        <v>189</v>
      </c>
      <c r="I164" s="235"/>
      <c r="J164" s="238"/>
      <c r="K164" s="238"/>
      <c r="L164" s="238"/>
      <c r="M164" s="238"/>
      <c r="N164" s="238"/>
      <c r="O164" s="238"/>
      <c r="P164" s="238"/>
      <c r="Q164" s="245">
        <v>3514</v>
      </c>
      <c r="R164" s="246">
        <v>3514</v>
      </c>
      <c r="S164" s="234"/>
      <c r="T164" s="146"/>
      <c r="U164" s="122"/>
      <c r="W164" s="1"/>
      <c r="X164" s="1"/>
      <c r="Y164" s="1"/>
    </row>
    <row r="165" spans="2:25">
      <c r="G165" s="62" t="s">
        <v>190</v>
      </c>
      <c r="I165" s="235"/>
      <c r="J165" s="238"/>
      <c r="K165" s="238"/>
      <c r="L165" s="238"/>
      <c r="M165" s="238"/>
      <c r="N165" s="238"/>
      <c r="O165" s="238"/>
      <c r="P165" s="238"/>
      <c r="Q165" s="238"/>
      <c r="R165" s="246">
        <v>0</v>
      </c>
      <c r="S165" s="245">
        <f>R165</f>
        <v>0</v>
      </c>
      <c r="T165" s="146"/>
      <c r="U165" s="122"/>
      <c r="W165" s="1"/>
      <c r="X165" s="1"/>
      <c r="Y165" s="1"/>
    </row>
    <row r="166" spans="2:25">
      <c r="G166" s="62" t="s">
        <v>199</v>
      </c>
      <c r="I166" s="235"/>
      <c r="J166" s="238"/>
      <c r="K166" s="238"/>
      <c r="L166" s="238"/>
      <c r="M166" s="238"/>
      <c r="N166" s="238"/>
      <c r="O166" s="238"/>
      <c r="P166" s="238"/>
      <c r="Q166" s="238"/>
      <c r="R166" s="241">
        <v>0</v>
      </c>
      <c r="S166" s="246">
        <v>0</v>
      </c>
      <c r="T166" s="146"/>
      <c r="U166" s="122"/>
      <c r="W166" s="1"/>
      <c r="X166" s="1"/>
      <c r="Y166" s="1"/>
    </row>
    <row r="167" spans="2:25">
      <c r="G167" s="62" t="s">
        <v>200</v>
      </c>
      <c r="I167" s="235"/>
      <c r="J167" s="238"/>
      <c r="K167" s="238"/>
      <c r="L167" s="238"/>
      <c r="M167" s="238"/>
      <c r="N167" s="238"/>
      <c r="O167" s="238"/>
      <c r="P167" s="238"/>
      <c r="Q167" s="238"/>
      <c r="R167" s="238"/>
      <c r="S167" s="246">
        <v>0</v>
      </c>
      <c r="T167" s="245">
        <f>S167</f>
        <v>0</v>
      </c>
      <c r="U167" s="122"/>
      <c r="W167" s="1"/>
      <c r="X167" s="1"/>
      <c r="Y167" s="1"/>
    </row>
    <row r="168" spans="2:25">
      <c r="G168" s="62" t="s">
        <v>308</v>
      </c>
      <c r="I168" s="235"/>
      <c r="J168" s="238"/>
      <c r="K168" s="238"/>
      <c r="L168" s="238"/>
      <c r="M168" s="238"/>
      <c r="N168" s="238"/>
      <c r="O168" s="238"/>
      <c r="P168" s="238"/>
      <c r="Q168" s="238"/>
      <c r="R168" s="238"/>
      <c r="S168" s="241">
        <f>T168</f>
        <v>0</v>
      </c>
      <c r="T168" s="246">
        <v>0</v>
      </c>
      <c r="U168" s="122"/>
      <c r="W168" s="1"/>
      <c r="X168" s="1"/>
      <c r="Y168" s="1"/>
    </row>
    <row r="169" spans="2:25">
      <c r="G169" s="62" t="s">
        <v>307</v>
      </c>
      <c r="I169" s="114"/>
      <c r="J169" s="107"/>
      <c r="K169" s="107"/>
      <c r="L169" s="107"/>
      <c r="M169" s="107"/>
      <c r="N169" s="107"/>
      <c r="O169" s="107"/>
      <c r="P169" s="107"/>
      <c r="Q169" s="107"/>
      <c r="R169" s="107"/>
      <c r="S169" s="107"/>
      <c r="T169" s="246">
        <v>0</v>
      </c>
      <c r="U169" s="453">
        <f>T169</f>
        <v>0</v>
      </c>
      <c r="W169" s="1"/>
      <c r="X169" s="1"/>
      <c r="Y169" s="1"/>
    </row>
    <row r="170" spans="2:25">
      <c r="G170" s="62" t="s">
        <v>318</v>
      </c>
      <c r="I170" s="114"/>
      <c r="J170" s="107"/>
      <c r="K170" s="107"/>
      <c r="L170" s="107"/>
      <c r="M170" s="107"/>
      <c r="N170" s="107"/>
      <c r="O170" s="107"/>
      <c r="P170" s="107"/>
      <c r="Q170" s="107"/>
      <c r="R170" s="107"/>
      <c r="S170" s="107"/>
      <c r="T170" s="241">
        <f>U170</f>
        <v>0</v>
      </c>
      <c r="U170" s="454">
        <v>0</v>
      </c>
      <c r="W170" s="1"/>
      <c r="X170" s="1"/>
      <c r="Y170" s="1"/>
    </row>
    <row r="171" spans="2:25">
      <c r="G171" s="62" t="s">
        <v>319</v>
      </c>
      <c r="I171" s="49"/>
      <c r="J171" s="194"/>
      <c r="K171" s="194"/>
      <c r="L171" s="194"/>
      <c r="M171" s="194"/>
      <c r="N171" s="194"/>
      <c r="O171" s="194"/>
      <c r="P171" s="194"/>
      <c r="Q171" s="194"/>
      <c r="R171" s="194"/>
      <c r="S171" s="194"/>
      <c r="T171" s="194"/>
      <c r="U171" s="455">
        <v>0</v>
      </c>
      <c r="W171" s="1"/>
      <c r="X171" s="1"/>
      <c r="Y171" s="1"/>
    </row>
    <row r="172" spans="2:25">
      <c r="B172" s="1" t="s">
        <v>178</v>
      </c>
      <c r="G172" s="26" t="s">
        <v>17</v>
      </c>
      <c r="I172" s="7"/>
      <c r="J172" s="7"/>
      <c r="K172" s="7"/>
      <c r="L172" s="7"/>
      <c r="M172" s="7"/>
      <c r="N172" s="7"/>
      <c r="O172" s="7"/>
      <c r="P172" s="247">
        <f>P159-P160-P161+P162</f>
        <v>-677</v>
      </c>
      <c r="Q172" s="247">
        <f>Q161-Q162-Q163+Q164</f>
        <v>4191</v>
      </c>
      <c r="R172" s="247">
        <f>R163-R164-R165+R166</f>
        <v>-3514</v>
      </c>
      <c r="S172" s="7">
        <f>S165-S166+S167-S168</f>
        <v>0</v>
      </c>
      <c r="T172" s="7">
        <f>T167-T168-T169+T170</f>
        <v>0</v>
      </c>
      <c r="U172" s="7">
        <f>U169-U170-U171</f>
        <v>0</v>
      </c>
      <c r="W172" s="1"/>
      <c r="X172" s="1"/>
      <c r="Y172" s="1"/>
    </row>
    <row r="173" spans="2:25">
      <c r="G173" s="6"/>
      <c r="I173" s="154"/>
      <c r="J173" s="154"/>
      <c r="K173" s="154"/>
      <c r="L173" s="154"/>
      <c r="M173" s="154"/>
      <c r="N173" s="154"/>
      <c r="O173" s="154"/>
      <c r="P173" s="154"/>
      <c r="Q173" s="154"/>
      <c r="R173" s="154"/>
      <c r="S173" s="154"/>
      <c r="T173" s="154"/>
      <c r="U173" s="154"/>
      <c r="W173" s="1"/>
      <c r="X173" s="1"/>
      <c r="Y173" s="1"/>
    </row>
    <row r="174" spans="2:25">
      <c r="G174" s="26" t="s">
        <v>12</v>
      </c>
      <c r="H174" s="57"/>
      <c r="I174" s="155"/>
      <c r="J174" s="156"/>
      <c r="K174" s="156"/>
      <c r="L174" s="156"/>
      <c r="M174" s="156"/>
      <c r="N174" s="156"/>
      <c r="O174" s="156"/>
      <c r="P174" s="156"/>
      <c r="Q174" s="156"/>
      <c r="R174" s="156"/>
      <c r="S174" s="156"/>
      <c r="T174" s="156"/>
      <c r="U174" s="267"/>
      <c r="W174" s="1"/>
      <c r="X174" s="1"/>
      <c r="Y174" s="1"/>
    </row>
    <row r="175" spans="2:25">
      <c r="G175" s="6"/>
      <c r="I175" s="154"/>
      <c r="J175" s="154"/>
      <c r="K175" s="154"/>
      <c r="L175" s="154"/>
      <c r="M175" s="154"/>
      <c r="N175" s="154"/>
      <c r="O175" s="154"/>
      <c r="P175" s="154"/>
      <c r="Q175" s="154"/>
      <c r="R175" s="154"/>
      <c r="S175" s="154"/>
      <c r="T175" s="154"/>
      <c r="U175" s="154"/>
      <c r="W175" s="1"/>
      <c r="X175" s="1"/>
      <c r="Y175" s="1"/>
    </row>
    <row r="176" spans="2:25" ht="18.75">
      <c r="C176" s="1" t="s">
        <v>178</v>
      </c>
      <c r="D176" s="1" t="s">
        <v>255</v>
      </c>
      <c r="E176" s="1" t="s">
        <v>108</v>
      </c>
      <c r="F176" s="9" t="s">
        <v>26</v>
      </c>
      <c r="H176" s="57"/>
      <c r="I176" s="157">
        <f t="shared" ref="I176:S176" si="28" xml:space="preserve"> I133 + I138 - I144 + I172 + I174</f>
        <v>0</v>
      </c>
      <c r="J176" s="158">
        <f t="shared" si="28"/>
        <v>0</v>
      </c>
      <c r="K176" s="158">
        <f t="shared" si="28"/>
        <v>0</v>
      </c>
      <c r="L176" s="158">
        <f t="shared" si="28"/>
        <v>0</v>
      </c>
      <c r="M176" s="158">
        <f t="shared" si="28"/>
        <v>0</v>
      </c>
      <c r="N176" s="158">
        <f t="shared" si="28"/>
        <v>0</v>
      </c>
      <c r="O176" s="158">
        <f t="shared" si="28"/>
        <v>0</v>
      </c>
      <c r="P176" s="158">
        <f t="shared" si="28"/>
        <v>0</v>
      </c>
      <c r="Q176" s="158">
        <f t="shared" si="28"/>
        <v>9233.3730515304796</v>
      </c>
      <c r="R176" s="158">
        <f t="shared" si="28"/>
        <v>1861.5510081531293</v>
      </c>
      <c r="S176" s="158">
        <f t="shared" si="28"/>
        <v>5342</v>
      </c>
      <c r="T176" s="158">
        <f t="shared" ref="T176:U176" si="29" xml:space="preserve"> T133 + T138 - T144 + T172 + T174</f>
        <v>5024</v>
      </c>
      <c r="U176" s="268">
        <f t="shared" si="29"/>
        <v>4344</v>
      </c>
      <c r="W176" s="1"/>
      <c r="X176" s="1"/>
      <c r="Y176" s="1"/>
    </row>
    <row r="177" spans="1:25">
      <c r="G177" s="6"/>
      <c r="I177" s="7"/>
      <c r="J177" s="7"/>
      <c r="K177" s="7"/>
      <c r="L177" s="23"/>
      <c r="M177" s="23"/>
      <c r="N177" s="23"/>
      <c r="O177" s="23"/>
      <c r="P177" s="23"/>
      <c r="Q177" s="23"/>
      <c r="R177" s="23"/>
      <c r="S177" s="282"/>
      <c r="T177" s="23"/>
      <c r="U177" s="23"/>
      <c r="W177" s="1"/>
      <c r="X177" s="1"/>
      <c r="Y177" s="1"/>
    </row>
    <row r="178" spans="1:25" ht="15.75" thickBot="1">
      <c r="W178" s="1"/>
      <c r="X178" s="1"/>
      <c r="Y178" s="1"/>
    </row>
    <row r="179" spans="1:25" ht="15" customHeight="1">
      <c r="F179" s="8"/>
      <c r="G179" s="8"/>
      <c r="H179" s="8"/>
      <c r="I179" s="8"/>
      <c r="J179" s="8"/>
      <c r="K179" s="8"/>
      <c r="L179" s="8"/>
      <c r="M179" s="8"/>
      <c r="N179" s="8"/>
      <c r="O179" s="8"/>
      <c r="P179" s="8"/>
      <c r="Q179" s="8"/>
      <c r="R179" s="8"/>
      <c r="S179" s="290"/>
      <c r="T179" s="8"/>
      <c r="U179" s="8"/>
      <c r="W179" s="1"/>
      <c r="X179" s="1"/>
      <c r="Y179" s="1"/>
    </row>
    <row r="180" spans="1:25" ht="15" customHeight="1" thickBot="1">
      <c r="W180" s="1"/>
      <c r="X180" s="1"/>
      <c r="Y180" s="1"/>
    </row>
    <row r="181" spans="1:25" ht="21" customHeight="1" thickBot="1">
      <c r="F181" s="13" t="s">
        <v>4</v>
      </c>
      <c r="G181" s="13"/>
      <c r="H181" s="185" t="s">
        <v>202</v>
      </c>
      <c r="I181" s="186"/>
      <c r="J181" s="174"/>
      <c r="W181" s="1"/>
      <c r="X181" s="1"/>
      <c r="Y181" s="1"/>
    </row>
    <row r="182" spans="1:25" ht="15" customHeight="1">
      <c r="W182" s="1"/>
      <c r="X182" s="1"/>
      <c r="Y182" s="1"/>
    </row>
    <row r="183" spans="1:25" ht="18.75" customHeight="1">
      <c r="F183" s="9" t="s">
        <v>21</v>
      </c>
      <c r="G183" s="9"/>
      <c r="I183" s="2">
        <f>'Facility Detail'!$G$3260</f>
        <v>2011</v>
      </c>
      <c r="J183" s="2">
        <f t="shared" ref="J183:P183" si="30">I183+1</f>
        <v>2012</v>
      </c>
      <c r="K183" s="2">
        <f t="shared" si="30"/>
        <v>2013</v>
      </c>
      <c r="L183" s="2">
        <f t="shared" si="30"/>
        <v>2014</v>
      </c>
      <c r="M183" s="2">
        <f t="shared" si="30"/>
        <v>2015</v>
      </c>
      <c r="N183" s="2">
        <f t="shared" si="30"/>
        <v>2016</v>
      </c>
      <c r="O183" s="2">
        <f t="shared" si="30"/>
        <v>2017</v>
      </c>
      <c r="P183" s="2">
        <f t="shared" si="30"/>
        <v>2018</v>
      </c>
      <c r="Q183" s="2">
        <f t="shared" ref="Q183" si="31">P183+1</f>
        <v>2019</v>
      </c>
      <c r="R183" s="2">
        <f t="shared" ref="R183" si="32">Q183+1</f>
        <v>2020</v>
      </c>
      <c r="S183" s="304">
        <f>R183+1</f>
        <v>2021</v>
      </c>
      <c r="T183" s="2">
        <f>S183+1</f>
        <v>2022</v>
      </c>
      <c r="U183" s="2">
        <f>T183+1</f>
        <v>2023</v>
      </c>
      <c r="W183" s="1"/>
      <c r="X183" s="1"/>
      <c r="Y183" s="1"/>
    </row>
    <row r="184" spans="1:25" ht="15" customHeight="1">
      <c r="G184" s="62" t="str">
        <f>"Total MWh Produced / Purchased from " &amp; H181</f>
        <v>Total MWh Produced / Purchased from Bennett Creek Wind Farm - REC Only</v>
      </c>
      <c r="H184" s="57"/>
      <c r="I184" s="3">
        <v>12259</v>
      </c>
      <c r="J184" s="4"/>
      <c r="K184" s="4"/>
      <c r="L184" s="4"/>
      <c r="M184" s="4">
        <v>8656</v>
      </c>
      <c r="N184" s="4">
        <v>11174</v>
      </c>
      <c r="O184" s="4">
        <v>9667</v>
      </c>
      <c r="P184" s="4">
        <v>3216</v>
      </c>
      <c r="Q184" s="4"/>
      <c r="R184" s="4"/>
      <c r="S184" s="308"/>
      <c r="T184" s="4"/>
      <c r="U184" s="5"/>
      <c r="W184" s="1"/>
      <c r="X184" s="1"/>
      <c r="Y184" s="1"/>
    </row>
    <row r="185" spans="1:25" ht="15" customHeight="1">
      <c r="G185" s="62" t="s">
        <v>25</v>
      </c>
      <c r="H185" s="57"/>
      <c r="I185" s="269">
        <v>1</v>
      </c>
      <c r="J185" s="41"/>
      <c r="K185" s="41"/>
      <c r="L185" s="41"/>
      <c r="M185" s="41">
        <v>1</v>
      </c>
      <c r="N185" s="41">
        <v>1</v>
      </c>
      <c r="O185" s="41">
        <v>1</v>
      </c>
      <c r="P185" s="41">
        <v>1</v>
      </c>
      <c r="Q185" s="41"/>
      <c r="R185" s="41"/>
      <c r="S185" s="309"/>
      <c r="T185" s="41"/>
      <c r="U185" s="42"/>
      <c r="W185" s="1"/>
      <c r="X185" s="1"/>
      <c r="Y185" s="1"/>
    </row>
    <row r="186" spans="1:25" ht="15" customHeight="1">
      <c r="G186" s="62" t="s">
        <v>20</v>
      </c>
      <c r="H186" s="57"/>
      <c r="I186" s="270">
        <v>1</v>
      </c>
      <c r="J186" s="36"/>
      <c r="K186" s="36"/>
      <c r="L186" s="36"/>
      <c r="M186" s="36">
        <v>1</v>
      </c>
      <c r="N186" s="36">
        <v>1</v>
      </c>
      <c r="O186" s="36">
        <v>1</v>
      </c>
      <c r="P186" s="36">
        <v>1</v>
      </c>
      <c r="Q186" s="36"/>
      <c r="R186" s="36"/>
      <c r="S186" s="310"/>
      <c r="T186" s="36"/>
      <c r="U186" s="37"/>
      <c r="W186" s="1"/>
      <c r="X186" s="1"/>
      <c r="Y186" s="1"/>
    </row>
    <row r="187" spans="1:25" ht="15" customHeight="1">
      <c r="A187" s="1" t="s">
        <v>134</v>
      </c>
      <c r="G187" s="26" t="s">
        <v>22</v>
      </c>
      <c r="H187" s="6"/>
      <c r="I187" s="30">
        <v>12259</v>
      </c>
      <c r="J187" s="30">
        <v>0</v>
      </c>
      <c r="K187" s="30">
        <v>0</v>
      </c>
      <c r="L187" s="30">
        <v>0</v>
      </c>
      <c r="M187" s="30">
        <v>8656</v>
      </c>
      <c r="N187" s="161">
        <v>11174</v>
      </c>
      <c r="O187" s="161">
        <v>9667</v>
      </c>
      <c r="P187" s="161">
        <v>3216</v>
      </c>
      <c r="Q187" s="161">
        <f t="shared" ref="Q187" si="33">Q184 * Q185 * Q186</f>
        <v>0</v>
      </c>
      <c r="R187" s="161">
        <f t="shared" ref="R187:S187" si="34">R184 * R185 * R186</f>
        <v>0</v>
      </c>
      <c r="S187" s="311">
        <f t="shared" si="34"/>
        <v>0</v>
      </c>
      <c r="T187" s="161">
        <f t="shared" ref="T187:U187" si="35">T184 * T185 * T186</f>
        <v>0</v>
      </c>
      <c r="U187" s="161">
        <f t="shared" si="35"/>
        <v>0</v>
      </c>
      <c r="W187" s="1"/>
      <c r="X187" s="1"/>
      <c r="Y187" s="1"/>
    </row>
    <row r="188" spans="1:25" ht="15" customHeight="1">
      <c r="I188" s="29"/>
      <c r="J188" s="29"/>
      <c r="K188" s="29"/>
      <c r="L188" s="29"/>
      <c r="M188" s="29"/>
      <c r="N188" s="20"/>
      <c r="O188" s="20"/>
      <c r="P188" s="20"/>
      <c r="Q188" s="20"/>
      <c r="R188" s="20"/>
      <c r="S188" s="312"/>
      <c r="T188" s="20"/>
      <c r="U188" s="20"/>
      <c r="W188" s="1"/>
      <c r="X188" s="1"/>
      <c r="Y188" s="1"/>
    </row>
    <row r="189" spans="1:25" ht="18.75" customHeight="1">
      <c r="F189" s="9" t="s">
        <v>118</v>
      </c>
      <c r="I189" s="2">
        <f>'Facility Detail'!$G$3260</f>
        <v>2011</v>
      </c>
      <c r="J189" s="2">
        <f>I189+1</f>
        <v>2012</v>
      </c>
      <c r="K189" s="2">
        <f>J189+1</f>
        <v>2013</v>
      </c>
      <c r="L189" s="2">
        <f>L183</f>
        <v>2014</v>
      </c>
      <c r="M189" s="2">
        <f>M183</f>
        <v>2015</v>
      </c>
      <c r="N189" s="2">
        <f>N183</f>
        <v>2016</v>
      </c>
      <c r="O189" s="2">
        <f>O183</f>
        <v>2017</v>
      </c>
      <c r="P189" s="2">
        <f t="shared" ref="P189:Q189" si="36">P183</f>
        <v>2018</v>
      </c>
      <c r="Q189" s="2">
        <f t="shared" si="36"/>
        <v>2019</v>
      </c>
      <c r="R189" s="2">
        <f t="shared" ref="R189:S189" si="37">R183</f>
        <v>2020</v>
      </c>
      <c r="S189" s="304">
        <f t="shared" si="37"/>
        <v>2021</v>
      </c>
      <c r="T189" s="2">
        <f t="shared" ref="T189:U189" si="38">T183</f>
        <v>2022</v>
      </c>
      <c r="U189" s="2">
        <f t="shared" si="38"/>
        <v>2023</v>
      </c>
      <c r="W189" s="1"/>
      <c r="X189" s="1"/>
      <c r="Y189" s="1"/>
    </row>
    <row r="190" spans="1:25" ht="15" customHeight="1">
      <c r="G190" s="62" t="s">
        <v>10</v>
      </c>
      <c r="H190" s="57"/>
      <c r="I190" s="38">
        <f>IF( $J8 = "Eligible", I187 * 'Facility Detail'!$G$3257, 0 )</f>
        <v>0</v>
      </c>
      <c r="J190" s="11">
        <f>IF( $J8 = "Eligible", J187 * 'Facility Detail'!$G$3257, 0 )</f>
        <v>0</v>
      </c>
      <c r="K190" s="11">
        <f>IF( $J8 = "Eligible", K187 * 'Facility Detail'!$G$3257, 0 )</f>
        <v>0</v>
      </c>
      <c r="L190" s="11">
        <f>IF( $J8 = "Eligible", L187 * 'Facility Detail'!$G$3257, 0 )</f>
        <v>0</v>
      </c>
      <c r="M190" s="11">
        <f>IF( $J8 = "Eligible", M187 * 'Facility Detail'!$G$3257, 0 )</f>
        <v>0</v>
      </c>
      <c r="N190" s="11">
        <f>IF( $J8 = "Eligible", N187 * 'Facility Detail'!$G$3257, 0 )</f>
        <v>0</v>
      </c>
      <c r="O190" s="11">
        <f>IF( $J8 = "Eligible", O187 * 'Facility Detail'!$G$3257, 0 )</f>
        <v>0</v>
      </c>
      <c r="P190" s="11">
        <f>IF( $J8 = "Eligible", P187 * 'Facility Detail'!$G$3257, 0 )</f>
        <v>0</v>
      </c>
      <c r="Q190" s="11">
        <f>IF( $J8 = "Eligible", Q187 * 'Facility Detail'!$G$3257, 0 )</f>
        <v>0</v>
      </c>
      <c r="R190" s="11">
        <f>IF( $J8 = "Eligible", R187 * 'Facility Detail'!$G$3257, 0 )</f>
        <v>0</v>
      </c>
      <c r="S190" s="313">
        <f>IF( $J8 = "Eligible", S187 * 'Facility Detail'!$G$3257, 0 )</f>
        <v>0</v>
      </c>
      <c r="T190" s="11">
        <f>IF( $J8 = "Eligible", T187 * 'Facility Detail'!$G$3257, 0 )</f>
        <v>0</v>
      </c>
      <c r="U190" s="223">
        <f>IF( $J8 = "Eligible", U187 * 'Facility Detail'!$G$3257, 0 )</f>
        <v>0</v>
      </c>
      <c r="W190" s="1"/>
      <c r="X190" s="1"/>
      <c r="Y190" s="1"/>
    </row>
    <row r="191" spans="1:25" ht="15" customHeight="1">
      <c r="G191" s="62" t="s">
        <v>6</v>
      </c>
      <c r="H191" s="57"/>
      <c r="I191" s="39">
        <f t="shared" ref="I191:S191" si="39">IF( $K8 = "Eligible", I187, 0 )</f>
        <v>0</v>
      </c>
      <c r="J191" s="193">
        <f t="shared" si="39"/>
        <v>0</v>
      </c>
      <c r="K191" s="193">
        <f t="shared" si="39"/>
        <v>0</v>
      </c>
      <c r="L191" s="193">
        <f t="shared" si="39"/>
        <v>0</v>
      </c>
      <c r="M191" s="193">
        <f t="shared" si="39"/>
        <v>0</v>
      </c>
      <c r="N191" s="193">
        <f t="shared" si="39"/>
        <v>0</v>
      </c>
      <c r="O191" s="193">
        <f t="shared" si="39"/>
        <v>0</v>
      </c>
      <c r="P191" s="193">
        <f t="shared" si="39"/>
        <v>0</v>
      </c>
      <c r="Q191" s="193">
        <f t="shared" si="39"/>
        <v>0</v>
      </c>
      <c r="R191" s="193">
        <f t="shared" si="39"/>
        <v>0</v>
      </c>
      <c r="S191" s="314">
        <f t="shared" si="39"/>
        <v>0</v>
      </c>
      <c r="T191" s="193">
        <f t="shared" ref="T191:U191" si="40">IF( $K8 = "Eligible", T187, 0 )</f>
        <v>0</v>
      </c>
      <c r="U191" s="224">
        <f t="shared" si="40"/>
        <v>0</v>
      </c>
      <c r="W191" s="1"/>
      <c r="X191" s="1"/>
      <c r="Y191" s="1"/>
    </row>
    <row r="192" spans="1:25" ht="15" customHeight="1">
      <c r="G192" s="26" t="s">
        <v>120</v>
      </c>
      <c r="H192" s="6"/>
      <c r="I192" s="32">
        <f t="shared" ref="I192" si="41">SUM(I190:I191)</f>
        <v>0</v>
      </c>
      <c r="J192" s="33">
        <f t="shared" ref="J192:S192" si="42">SUM(J190:J191)</f>
        <v>0</v>
      </c>
      <c r="K192" s="33">
        <f t="shared" si="42"/>
        <v>0</v>
      </c>
      <c r="L192" s="33">
        <f t="shared" si="42"/>
        <v>0</v>
      </c>
      <c r="M192" s="33">
        <f t="shared" si="42"/>
        <v>0</v>
      </c>
      <c r="N192" s="33">
        <f t="shared" si="42"/>
        <v>0</v>
      </c>
      <c r="O192" s="33">
        <f t="shared" si="42"/>
        <v>0</v>
      </c>
      <c r="P192" s="33">
        <f t="shared" si="42"/>
        <v>0</v>
      </c>
      <c r="Q192" s="33">
        <f t="shared" si="42"/>
        <v>0</v>
      </c>
      <c r="R192" s="33">
        <f t="shared" si="42"/>
        <v>0</v>
      </c>
      <c r="S192" s="315">
        <f t="shared" si="42"/>
        <v>0</v>
      </c>
      <c r="T192" s="33">
        <f t="shared" ref="T192:U192" si="43">SUM(T190:T191)</f>
        <v>0</v>
      </c>
      <c r="U192" s="33">
        <f t="shared" si="43"/>
        <v>0</v>
      </c>
      <c r="W192" s="1"/>
      <c r="X192" s="1"/>
      <c r="Y192" s="1"/>
    </row>
    <row r="193" spans="6:25" ht="15" customHeight="1">
      <c r="I193" s="31"/>
      <c r="J193" s="24"/>
      <c r="K193" s="24"/>
      <c r="L193" s="24"/>
      <c r="M193" s="24"/>
      <c r="N193" s="24"/>
      <c r="O193" s="24"/>
      <c r="P193" s="24"/>
      <c r="Q193" s="24"/>
      <c r="R193" s="24"/>
      <c r="S193" s="316"/>
      <c r="T193" s="24"/>
      <c r="U193" s="24"/>
      <c r="W193" s="1"/>
      <c r="X193" s="1"/>
      <c r="Y193" s="1"/>
    </row>
    <row r="194" spans="6:25" ht="18.75" customHeight="1">
      <c r="F194" s="9" t="s">
        <v>30</v>
      </c>
      <c r="I194" s="2">
        <f>'Facility Detail'!$G$3260</f>
        <v>2011</v>
      </c>
      <c r="J194" s="2">
        <f>I194+1</f>
        <v>2012</v>
      </c>
      <c r="K194" s="2">
        <f>J194+1</f>
        <v>2013</v>
      </c>
      <c r="L194" s="2">
        <f>L183</f>
        <v>2014</v>
      </c>
      <c r="M194" s="2">
        <f>M183</f>
        <v>2015</v>
      </c>
      <c r="N194" s="2">
        <f>N183</f>
        <v>2016</v>
      </c>
      <c r="O194" s="2">
        <f>O183</f>
        <v>2017</v>
      </c>
      <c r="P194" s="2">
        <f t="shared" ref="P194:Q194" si="44">P183</f>
        <v>2018</v>
      </c>
      <c r="Q194" s="2">
        <f t="shared" si="44"/>
        <v>2019</v>
      </c>
      <c r="R194" s="2">
        <f t="shared" ref="R194:S194" si="45">R183</f>
        <v>2020</v>
      </c>
      <c r="S194" s="304">
        <f t="shared" si="45"/>
        <v>2021</v>
      </c>
      <c r="T194" s="2">
        <f t="shared" ref="T194:U194" si="46">T183</f>
        <v>2022</v>
      </c>
      <c r="U194" s="2">
        <f t="shared" si="46"/>
        <v>2023</v>
      </c>
      <c r="W194" s="1"/>
      <c r="X194" s="1"/>
      <c r="Y194" s="1"/>
    </row>
    <row r="195" spans="6:25" ht="15" customHeight="1">
      <c r="G195" s="62" t="s">
        <v>47</v>
      </c>
      <c r="H195" s="57"/>
      <c r="I195" s="71"/>
      <c r="J195" s="72"/>
      <c r="K195" s="72"/>
      <c r="L195" s="72"/>
      <c r="M195" s="72"/>
      <c r="N195" s="72"/>
      <c r="O195" s="72"/>
      <c r="P195" s="72"/>
      <c r="Q195" s="72"/>
      <c r="R195" s="72"/>
      <c r="S195" s="317"/>
      <c r="T195" s="72"/>
      <c r="U195" s="73"/>
      <c r="W195" s="1"/>
      <c r="X195" s="1"/>
      <c r="Y195" s="1"/>
    </row>
    <row r="196" spans="6:25" ht="15" customHeight="1">
      <c r="G196" s="63" t="s">
        <v>23</v>
      </c>
      <c r="H196" s="135"/>
      <c r="I196" s="74"/>
      <c r="J196" s="75"/>
      <c r="K196" s="75"/>
      <c r="L196" s="75"/>
      <c r="M196" s="75"/>
      <c r="N196" s="75"/>
      <c r="O196" s="75"/>
      <c r="P196" s="75"/>
      <c r="Q196" s="75"/>
      <c r="R196" s="75"/>
      <c r="S196" s="318"/>
      <c r="T196" s="75"/>
      <c r="U196" s="76"/>
      <c r="W196" s="1"/>
      <c r="X196" s="1"/>
      <c r="Y196" s="1"/>
    </row>
    <row r="197" spans="6:25" ht="15" customHeight="1">
      <c r="G197" s="63" t="s">
        <v>89</v>
      </c>
      <c r="H197" s="134"/>
      <c r="I197" s="43"/>
      <c r="J197" s="44"/>
      <c r="K197" s="44"/>
      <c r="L197" s="44"/>
      <c r="M197" s="44"/>
      <c r="N197" s="44"/>
      <c r="O197" s="44"/>
      <c r="P197" s="44"/>
      <c r="Q197" s="44"/>
      <c r="R197" s="44"/>
      <c r="S197" s="319"/>
      <c r="T197" s="44"/>
      <c r="U197" s="45"/>
      <c r="W197" s="1"/>
      <c r="X197" s="1"/>
      <c r="Y197" s="1"/>
    </row>
    <row r="198" spans="6:25" ht="15" customHeight="1">
      <c r="G198" s="26" t="s">
        <v>90</v>
      </c>
      <c r="I198" s="7">
        <f t="shared" ref="I198:N198" si="47">SUM(I195:I197)</f>
        <v>0</v>
      </c>
      <c r="J198" s="7">
        <f t="shared" si="47"/>
        <v>0</v>
      </c>
      <c r="K198" s="7">
        <f t="shared" si="47"/>
        <v>0</v>
      </c>
      <c r="L198" s="7">
        <f t="shared" si="47"/>
        <v>0</v>
      </c>
      <c r="M198" s="7">
        <f t="shared" si="47"/>
        <v>0</v>
      </c>
      <c r="N198" s="7">
        <f t="shared" si="47"/>
        <v>0</v>
      </c>
      <c r="O198" s="7">
        <f t="shared" ref="O198:Q198" si="48">SUM(O195:O197)</f>
        <v>0</v>
      </c>
      <c r="P198" s="7">
        <f t="shared" si="48"/>
        <v>0</v>
      </c>
      <c r="Q198" s="7">
        <f t="shared" si="48"/>
        <v>0</v>
      </c>
      <c r="R198" s="7">
        <f t="shared" ref="R198:S198" si="49">SUM(R195:R197)</f>
        <v>0</v>
      </c>
      <c r="S198" s="320">
        <f t="shared" si="49"/>
        <v>0</v>
      </c>
      <c r="T198" s="7">
        <f t="shared" ref="T198:U198" si="50">SUM(T195:T197)</f>
        <v>0</v>
      </c>
      <c r="U198" s="7">
        <f t="shared" si="50"/>
        <v>0</v>
      </c>
      <c r="W198" s="1"/>
      <c r="X198" s="1"/>
      <c r="Y198" s="1"/>
    </row>
    <row r="199" spans="6:25" ht="15" customHeight="1">
      <c r="G199" s="6"/>
      <c r="I199" s="7"/>
      <c r="J199" s="7"/>
      <c r="K199" s="7"/>
      <c r="L199" s="23"/>
      <c r="M199" s="23"/>
      <c r="N199" s="23"/>
      <c r="O199" s="23"/>
      <c r="P199" s="23"/>
      <c r="Q199" s="23"/>
      <c r="R199" s="23"/>
      <c r="S199" s="321"/>
      <c r="T199" s="23"/>
      <c r="U199" s="23"/>
      <c r="W199" s="1"/>
      <c r="X199" s="1"/>
      <c r="Y199" s="1"/>
    </row>
    <row r="200" spans="6:25" ht="18.75" customHeight="1">
      <c r="F200" s="9" t="s">
        <v>100</v>
      </c>
      <c r="I200" s="2">
        <f>'Facility Detail'!$G$3260</f>
        <v>2011</v>
      </c>
      <c r="J200" s="2">
        <f t="shared" ref="J200:P200" si="51">I200+1</f>
        <v>2012</v>
      </c>
      <c r="K200" s="2">
        <f t="shared" si="51"/>
        <v>2013</v>
      </c>
      <c r="L200" s="2">
        <f t="shared" si="51"/>
        <v>2014</v>
      </c>
      <c r="M200" s="2">
        <f t="shared" si="51"/>
        <v>2015</v>
      </c>
      <c r="N200" s="2">
        <f t="shared" si="51"/>
        <v>2016</v>
      </c>
      <c r="O200" s="2">
        <f t="shared" si="51"/>
        <v>2017</v>
      </c>
      <c r="P200" s="2">
        <f t="shared" si="51"/>
        <v>2018</v>
      </c>
      <c r="Q200" s="2">
        <f t="shared" ref="Q200" si="52">P200+1</f>
        <v>2019</v>
      </c>
      <c r="R200" s="2">
        <f t="shared" ref="R200" si="53">Q200+1</f>
        <v>2020</v>
      </c>
      <c r="S200" s="304">
        <f>R200+1</f>
        <v>2021</v>
      </c>
      <c r="T200" s="2">
        <f>S200+1</f>
        <v>2022</v>
      </c>
      <c r="U200" s="2">
        <f>T200+1</f>
        <v>2023</v>
      </c>
      <c r="W200" s="1"/>
      <c r="X200" s="1"/>
      <c r="Y200" s="1"/>
    </row>
    <row r="201" spans="6:25" ht="15" customHeight="1">
      <c r="G201" s="62" t="str">
        <f xml:space="preserve"> 'Facility Detail'!$G$3260 &amp; " Surplus Applied to " &amp; ( 'Facility Detail'!$G$3260 + 1 )</f>
        <v>2011 Surplus Applied to 2012</v>
      </c>
      <c r="I201" s="3">
        <f>I187</f>
        <v>12259</v>
      </c>
      <c r="J201" s="46">
        <f>I201</f>
        <v>12259</v>
      </c>
      <c r="K201" s="106"/>
      <c r="L201" s="106"/>
      <c r="M201" s="106"/>
      <c r="N201" s="106"/>
      <c r="O201" s="106"/>
      <c r="P201" s="106"/>
      <c r="Q201" s="106"/>
      <c r="R201" s="106"/>
      <c r="S201" s="322"/>
      <c r="T201" s="106"/>
      <c r="U201" s="47"/>
      <c r="W201" s="1"/>
      <c r="X201" s="1"/>
      <c r="Y201" s="1"/>
    </row>
    <row r="202" spans="6:25" ht="15" customHeight="1">
      <c r="G202" s="62" t="str">
        <f xml:space="preserve"> ( 'Facility Detail'!$G$3260 + 1 ) &amp; " Surplus Applied to " &amp; ( 'Facility Detail'!$G$3260 )</f>
        <v>2012 Surplus Applied to 2011</v>
      </c>
      <c r="I202" s="35">
        <f>J202</f>
        <v>0</v>
      </c>
      <c r="J202" s="40"/>
      <c r="K202" s="107"/>
      <c r="L202" s="107"/>
      <c r="M202" s="107"/>
      <c r="N202" s="107"/>
      <c r="O202" s="60"/>
      <c r="P202" s="60"/>
      <c r="Q202" s="60"/>
      <c r="R202" s="60"/>
      <c r="S202" s="330"/>
      <c r="T202" s="60"/>
      <c r="U202" s="128"/>
      <c r="W202" s="1"/>
      <c r="X202" s="1"/>
      <c r="Y202" s="1"/>
    </row>
    <row r="203" spans="6:25" ht="15" customHeight="1">
      <c r="G203" s="62" t="str">
        <f xml:space="preserve"> ( 'Facility Detail'!$G$3260 + 1 ) &amp; " Surplus Applied to " &amp; ( 'Facility Detail'!$G$3260 + 2 )</f>
        <v>2012 Surplus Applied to 2013</v>
      </c>
      <c r="I203" s="48"/>
      <c r="J203" s="10">
        <f>J187</f>
        <v>0</v>
      </c>
      <c r="K203" s="56">
        <f>J203</f>
        <v>0</v>
      </c>
      <c r="L203" s="107"/>
      <c r="M203" s="107"/>
      <c r="N203" s="107"/>
      <c r="O203" s="60"/>
      <c r="P203" s="60"/>
      <c r="Q203" s="60"/>
      <c r="R203" s="60"/>
      <c r="S203" s="330"/>
      <c r="T203" s="60"/>
      <c r="U203" s="128"/>
      <c r="W203" s="1"/>
      <c r="X203" s="1"/>
      <c r="Y203" s="1"/>
    </row>
    <row r="204" spans="6:25" ht="15" customHeight="1">
      <c r="G204" s="62" t="str">
        <f xml:space="preserve"> ( 'Facility Detail'!$G$3260 + 2 ) &amp; " Surplus Applied to " &amp; ( 'Facility Detail'!$G$3260 + 1 )</f>
        <v>2013 Surplus Applied to 2012</v>
      </c>
      <c r="I204" s="48"/>
      <c r="J204" s="56">
        <f>K204</f>
        <v>0</v>
      </c>
      <c r="K204" s="113"/>
      <c r="L204" s="107"/>
      <c r="M204" s="107"/>
      <c r="N204" s="107"/>
      <c r="O204" s="60"/>
      <c r="P204" s="60"/>
      <c r="Q204" s="60"/>
      <c r="R204" s="60"/>
      <c r="S204" s="330"/>
      <c r="T204" s="60"/>
      <c r="U204" s="128"/>
      <c r="W204" s="1"/>
      <c r="X204" s="1"/>
      <c r="Y204" s="1"/>
    </row>
    <row r="205" spans="6:25" ht="15" customHeight="1">
      <c r="G205" s="62" t="str">
        <f xml:space="preserve"> ( 'Facility Detail'!$G$3260 + 2 ) &amp; " Surplus Applied to " &amp; ( 'Facility Detail'!$G$3260 + 3 )</f>
        <v>2013 Surplus Applied to 2014</v>
      </c>
      <c r="I205" s="114"/>
      <c r="J205" s="116"/>
      <c r="K205" s="40">
        <f>K187</f>
        <v>0</v>
      </c>
      <c r="L205" s="117">
        <f>K205</f>
        <v>0</v>
      </c>
      <c r="M205" s="107"/>
      <c r="N205" s="107"/>
      <c r="O205" s="60"/>
      <c r="P205" s="60"/>
      <c r="Q205" s="60"/>
      <c r="R205" s="60"/>
      <c r="S205" s="330"/>
      <c r="T205" s="60"/>
      <c r="U205" s="128"/>
      <c r="W205" s="1"/>
      <c r="X205" s="1"/>
      <c r="Y205" s="1"/>
    </row>
    <row r="206" spans="6:25" ht="15" customHeight="1">
      <c r="G206" s="62" t="str">
        <f xml:space="preserve"> ( 'Facility Detail'!$G$3260 + 3 ) &amp; " Surplus Applied to " &amp; ( 'Facility Detail'!$G$3260 + 2 )</f>
        <v>2014 Surplus Applied to 2013</v>
      </c>
      <c r="I206" s="114"/>
      <c r="J206" s="125"/>
      <c r="K206" s="132">
        <f>L206</f>
        <v>0</v>
      </c>
      <c r="L206" s="40"/>
      <c r="M206" s="107"/>
      <c r="N206" s="107"/>
      <c r="O206" s="60"/>
      <c r="P206" s="60"/>
      <c r="Q206" s="60"/>
      <c r="R206" s="60"/>
      <c r="S206" s="330"/>
      <c r="T206" s="60"/>
      <c r="U206" s="128"/>
      <c r="W206" s="1"/>
      <c r="X206" s="1"/>
      <c r="Y206" s="1"/>
    </row>
    <row r="207" spans="6:25" ht="15" customHeight="1">
      <c r="G207" s="62" t="str">
        <f xml:space="preserve"> ( 'Facility Detail'!$G$3260 + 3 ) &amp; " Surplus Applied to " &amp; ( 'Facility Detail'!$G$3260 + 4 )</f>
        <v>2014 Surplus Applied to 2015</v>
      </c>
      <c r="I207" s="114"/>
      <c r="J207" s="116"/>
      <c r="K207" s="133"/>
      <c r="L207" s="40">
        <f>L187</f>
        <v>0</v>
      </c>
      <c r="M207" s="124">
        <f>L207</f>
        <v>0</v>
      </c>
      <c r="N207" s="116"/>
      <c r="O207" s="118"/>
      <c r="P207" s="118"/>
      <c r="Q207" s="118"/>
      <c r="R207" s="60"/>
      <c r="S207" s="330"/>
      <c r="T207" s="60"/>
      <c r="U207" s="122"/>
      <c r="W207" s="1"/>
      <c r="X207" s="1"/>
      <c r="Y207" s="1"/>
    </row>
    <row r="208" spans="6:25" ht="15" customHeight="1">
      <c r="G208" s="62" t="str">
        <f xml:space="preserve"> ( 'Facility Detail'!$G$3260 + 4 ) &amp; " Surplus Applied to " &amp; ( 'Facility Detail'!$G$3260 + 3 )</f>
        <v>2015 Surplus Applied to 2014</v>
      </c>
      <c r="I208" s="48"/>
      <c r="J208" s="118"/>
      <c r="K208" s="131"/>
      <c r="L208" s="120">
        <f>M208</f>
        <v>0</v>
      </c>
      <c r="M208" s="121"/>
      <c r="N208" s="118"/>
      <c r="O208" s="118"/>
      <c r="P208" s="118"/>
      <c r="Q208" s="118"/>
      <c r="R208" s="60"/>
      <c r="S208" s="330"/>
      <c r="T208" s="60"/>
      <c r="U208" s="122"/>
      <c r="W208" s="1"/>
      <c r="X208" s="1"/>
      <c r="Y208" s="1"/>
    </row>
    <row r="209" spans="2:25" ht="15" customHeight="1">
      <c r="G209" s="62" t="str">
        <f xml:space="preserve"> ( 'Facility Detail'!$G$3260 + 4 ) &amp; " Surplus Applied to " &amp; ( 'Facility Detail'!$G$3260 + 5 )</f>
        <v>2015 Surplus Applied to 2016</v>
      </c>
      <c r="I209" s="140"/>
      <c r="J209" s="141"/>
      <c r="K209" s="137"/>
      <c r="L209" s="141"/>
      <c r="M209" s="142">
        <f>M187</f>
        <v>8656</v>
      </c>
      <c r="N209" s="143">
        <f>M209</f>
        <v>8656</v>
      </c>
      <c r="O209" s="60"/>
      <c r="P209" s="60"/>
      <c r="Q209" s="60"/>
      <c r="R209" s="60"/>
      <c r="S209" s="330"/>
      <c r="T209" s="60"/>
      <c r="U209" s="128"/>
      <c r="W209" s="1"/>
      <c r="X209" s="1"/>
      <c r="Y209" s="1"/>
    </row>
    <row r="210" spans="2:25" ht="15" customHeight="1">
      <c r="G210" s="62" t="str">
        <f xml:space="preserve"> ( 'Facility Detail'!$G$3260 + 5 ) &amp; " Surplus Applied to " &amp; ( 'Facility Detail'!$G$3260 + 4 )</f>
        <v>2016 Surplus Applied to 2015</v>
      </c>
      <c r="H210" s="57"/>
      <c r="I210" s="48"/>
      <c r="J210" s="118"/>
      <c r="K210" s="118"/>
      <c r="L210" s="118"/>
      <c r="M210" s="56">
        <f>N210</f>
        <v>0</v>
      </c>
      <c r="N210" s="121"/>
      <c r="O210" s="60"/>
      <c r="P210" s="60"/>
      <c r="Q210" s="60"/>
      <c r="R210" s="60"/>
      <c r="S210" s="330"/>
      <c r="T210" s="60"/>
      <c r="U210" s="128"/>
      <c r="W210" s="1"/>
      <c r="X210" s="1"/>
      <c r="Y210" s="1"/>
    </row>
    <row r="211" spans="2:25" ht="15" customHeight="1">
      <c r="G211" s="62" t="str">
        <f xml:space="preserve"> ( 'Facility Detail'!$G$3260 + 5 ) &amp; " Surplus Applied to " &amp; ( 'Facility Detail'!$G$3260 + 6 )</f>
        <v>2016 Surplus Applied to 2017</v>
      </c>
      <c r="H211" s="57"/>
      <c r="I211" s="48"/>
      <c r="J211" s="118"/>
      <c r="K211" s="118"/>
      <c r="L211" s="118"/>
      <c r="M211" s="118"/>
      <c r="N211" s="121">
        <f>N187</f>
        <v>11174</v>
      </c>
      <c r="O211" s="56">
        <f>N211</f>
        <v>11174</v>
      </c>
      <c r="P211" s="60"/>
      <c r="Q211" s="60"/>
      <c r="R211" s="60"/>
      <c r="S211" s="330"/>
      <c r="T211" s="60"/>
      <c r="U211" s="128"/>
      <c r="W211" s="1"/>
      <c r="X211" s="1"/>
      <c r="Y211" s="1"/>
    </row>
    <row r="212" spans="2:25" ht="15" customHeight="1">
      <c r="G212" s="62" t="s">
        <v>167</v>
      </c>
      <c r="I212" s="48"/>
      <c r="J212" s="118"/>
      <c r="K212" s="118"/>
      <c r="L212" s="118"/>
      <c r="M212" s="118"/>
      <c r="N212" s="120"/>
      <c r="O212" s="121"/>
      <c r="P212" s="118"/>
      <c r="Q212" s="60"/>
      <c r="R212" s="60"/>
      <c r="S212" s="330"/>
      <c r="T212" s="60"/>
      <c r="U212" s="128"/>
      <c r="W212" s="1"/>
      <c r="X212" s="1"/>
      <c r="Y212" s="1"/>
    </row>
    <row r="213" spans="2:25" ht="15" customHeight="1">
      <c r="G213" s="62" t="s">
        <v>168</v>
      </c>
      <c r="I213" s="48"/>
      <c r="J213" s="118"/>
      <c r="K213" s="118"/>
      <c r="L213" s="118"/>
      <c r="M213" s="118"/>
      <c r="N213" s="118"/>
      <c r="O213" s="121">
        <v>9667</v>
      </c>
      <c r="P213" s="56">
        <f>O213</f>
        <v>9667</v>
      </c>
      <c r="Q213" s="60"/>
      <c r="R213" s="60"/>
      <c r="S213" s="330"/>
      <c r="T213" s="60"/>
      <c r="U213" s="122"/>
      <c r="W213" s="1"/>
      <c r="X213" s="1"/>
      <c r="Y213" s="1"/>
    </row>
    <row r="214" spans="2:25" ht="15" customHeight="1">
      <c r="G214" s="62" t="s">
        <v>185</v>
      </c>
      <c r="I214" s="48"/>
      <c r="J214" s="118"/>
      <c r="K214" s="118"/>
      <c r="L214" s="118"/>
      <c r="M214" s="118"/>
      <c r="N214" s="118"/>
      <c r="O214" s="120"/>
      <c r="P214" s="121"/>
      <c r="Q214" s="60"/>
      <c r="R214" s="60"/>
      <c r="S214" s="330"/>
      <c r="T214" s="60"/>
      <c r="U214" s="122"/>
      <c r="W214" s="1"/>
      <c r="X214" s="1"/>
      <c r="Y214" s="1"/>
    </row>
    <row r="215" spans="2:25" ht="15" customHeight="1">
      <c r="G215" s="62" t="s">
        <v>186</v>
      </c>
      <c r="I215" s="49"/>
      <c r="J215" s="108"/>
      <c r="K215" s="108"/>
      <c r="L215" s="108"/>
      <c r="M215" s="108"/>
      <c r="N215" s="108"/>
      <c r="O215" s="108"/>
      <c r="P215" s="123">
        <f>P187</f>
        <v>3216</v>
      </c>
      <c r="Q215" s="167">
        <f>P215</f>
        <v>3216</v>
      </c>
      <c r="R215" s="194"/>
      <c r="S215" s="331"/>
      <c r="T215" s="194"/>
      <c r="U215" s="195"/>
      <c r="W215" s="1"/>
      <c r="X215" s="1"/>
      <c r="Y215" s="1"/>
    </row>
    <row r="216" spans="2:25" ht="15" customHeight="1">
      <c r="B216" s="1" t="s">
        <v>134</v>
      </c>
      <c r="G216" s="26" t="s">
        <v>17</v>
      </c>
      <c r="I216" s="7">
        <f xml:space="preserve"> I202 - I201</f>
        <v>-12259</v>
      </c>
      <c r="J216" s="7">
        <f xml:space="preserve"> J201 + J204 - J203 - J202</f>
        <v>12259</v>
      </c>
      <c r="K216" s="7">
        <f>K203 - K204 -K205</f>
        <v>0</v>
      </c>
      <c r="L216" s="7">
        <f>L205-L206-L207</f>
        <v>0</v>
      </c>
      <c r="M216" s="7">
        <f>M207-M208-M209</f>
        <v>-8656</v>
      </c>
      <c r="N216" s="7">
        <f>N209-N210-N211</f>
        <v>-2518</v>
      </c>
      <c r="O216" s="7">
        <f>O211-O212-O213</f>
        <v>1507</v>
      </c>
      <c r="P216" s="7">
        <f>P213-P214-P215</f>
        <v>6451</v>
      </c>
      <c r="Q216" s="7">
        <f>Q215</f>
        <v>3216</v>
      </c>
      <c r="R216" s="7"/>
      <c r="S216" s="320"/>
      <c r="T216" s="7"/>
      <c r="U216" s="7"/>
      <c r="W216" s="1"/>
      <c r="X216" s="1"/>
      <c r="Y216" s="1"/>
    </row>
    <row r="217" spans="2:25" ht="15" customHeight="1">
      <c r="G217" s="6"/>
      <c r="I217" s="7"/>
      <c r="J217" s="7"/>
      <c r="K217" s="7"/>
      <c r="L217" s="7"/>
      <c r="M217" s="7"/>
      <c r="N217" s="7"/>
      <c r="O217" s="7"/>
      <c r="P217" s="7"/>
      <c r="Q217" s="7"/>
      <c r="R217" s="7"/>
      <c r="S217" s="320"/>
      <c r="T217" s="7"/>
      <c r="U217" s="7"/>
      <c r="W217" s="1"/>
      <c r="X217" s="1"/>
      <c r="Y217" s="1"/>
    </row>
    <row r="218" spans="2:25" ht="15" customHeight="1">
      <c r="G218" s="26" t="s">
        <v>12</v>
      </c>
      <c r="H218" s="57"/>
      <c r="I218" s="155"/>
      <c r="J218" s="156"/>
      <c r="K218" s="156"/>
      <c r="L218" s="156"/>
      <c r="M218" s="156"/>
      <c r="N218" s="156"/>
      <c r="O218" s="156"/>
      <c r="P218" s="156"/>
      <c r="Q218" s="156"/>
      <c r="R218" s="156"/>
      <c r="S218" s="326"/>
      <c r="T218" s="156"/>
      <c r="U218" s="267"/>
      <c r="W218" s="1"/>
      <c r="X218" s="1"/>
      <c r="Y218" s="1"/>
    </row>
    <row r="219" spans="2:25" ht="15" customHeight="1">
      <c r="G219" s="6"/>
      <c r="I219" s="154"/>
      <c r="J219" s="154"/>
      <c r="K219" s="154"/>
      <c r="L219" s="154"/>
      <c r="M219" s="154"/>
      <c r="N219" s="154"/>
      <c r="O219" s="154"/>
      <c r="P219" s="154"/>
      <c r="Q219" s="154"/>
      <c r="R219" s="154"/>
      <c r="S219" s="327"/>
      <c r="T219" s="154"/>
      <c r="U219" s="154"/>
      <c r="W219" s="1"/>
      <c r="X219" s="1"/>
      <c r="Y219" s="1"/>
    </row>
    <row r="220" spans="2:25" ht="18.75" customHeight="1">
      <c r="C220" s="1" t="s">
        <v>134</v>
      </c>
      <c r="D220" s="1" t="s">
        <v>135</v>
      </c>
      <c r="E220" s="1" t="s">
        <v>107</v>
      </c>
      <c r="F220" s="9" t="s">
        <v>26</v>
      </c>
      <c r="H220" s="57"/>
      <c r="I220" s="157">
        <f t="shared" ref="I220:U220" si="54" xml:space="preserve"> I187 + I192 - I198 + I216 + I218</f>
        <v>0</v>
      </c>
      <c r="J220" s="158">
        <f t="shared" si="54"/>
        <v>12259</v>
      </c>
      <c r="K220" s="158">
        <f t="shared" si="54"/>
        <v>0</v>
      </c>
      <c r="L220" s="158">
        <f t="shared" si="54"/>
        <v>0</v>
      </c>
      <c r="M220" s="158">
        <f t="shared" si="54"/>
        <v>0</v>
      </c>
      <c r="N220" s="158">
        <f t="shared" si="54"/>
        <v>8656</v>
      </c>
      <c r="O220" s="158">
        <f t="shared" si="54"/>
        <v>11174</v>
      </c>
      <c r="P220" s="158">
        <f t="shared" si="54"/>
        <v>9667</v>
      </c>
      <c r="Q220" s="158">
        <f t="shared" si="54"/>
        <v>3216</v>
      </c>
      <c r="R220" s="158">
        <f t="shared" si="54"/>
        <v>0</v>
      </c>
      <c r="S220" s="328">
        <f t="shared" si="54"/>
        <v>0</v>
      </c>
      <c r="T220" s="158">
        <f t="shared" si="54"/>
        <v>0</v>
      </c>
      <c r="U220" s="268">
        <f t="shared" si="54"/>
        <v>0</v>
      </c>
      <c r="W220" s="1"/>
      <c r="X220" s="1"/>
      <c r="Y220" s="1"/>
    </row>
    <row r="221" spans="2:25" ht="15" customHeight="1">
      <c r="G221" s="6"/>
      <c r="I221" s="7"/>
      <c r="J221" s="7"/>
      <c r="K221" s="7"/>
      <c r="L221" s="23"/>
      <c r="M221" s="23"/>
      <c r="N221" s="23"/>
      <c r="O221" s="23"/>
      <c r="P221" s="23"/>
      <c r="Q221" s="23"/>
      <c r="R221" s="23"/>
      <c r="S221" s="282"/>
      <c r="T221" s="23"/>
      <c r="U221" s="23"/>
      <c r="W221" s="1"/>
      <c r="X221" s="1"/>
      <c r="Y221" s="1"/>
    </row>
    <row r="222" spans="2:25" ht="15.75" customHeight="1" thickBot="1">
      <c r="W222" s="1"/>
      <c r="X222" s="1"/>
      <c r="Y222" s="1"/>
    </row>
    <row r="223" spans="2:25" ht="15.75" thickBot="1">
      <c r="F223" s="8"/>
      <c r="G223" s="8"/>
      <c r="H223" s="8"/>
      <c r="I223" s="8"/>
      <c r="J223" s="8"/>
      <c r="K223" s="8"/>
      <c r="L223" s="8"/>
      <c r="M223" s="8"/>
      <c r="N223" s="8"/>
      <c r="O223" s="8"/>
      <c r="P223" s="8"/>
      <c r="Q223" s="8"/>
      <c r="R223" s="8"/>
      <c r="S223" s="290"/>
      <c r="T223" s="8"/>
      <c r="U223" s="8"/>
      <c r="W223" s="1"/>
      <c r="X223" s="1"/>
      <c r="Y223" s="1"/>
    </row>
    <row r="224" spans="2:25" ht="21.75" thickBot="1">
      <c r="F224" s="13" t="s">
        <v>4</v>
      </c>
      <c r="G224" s="13"/>
      <c r="H224" s="185" t="s">
        <v>206</v>
      </c>
      <c r="I224" s="183"/>
      <c r="W224" s="1"/>
      <c r="X224" s="1"/>
      <c r="Y224" s="1"/>
    </row>
    <row r="225" spans="1:25">
      <c r="W225" s="1"/>
      <c r="X225" s="1"/>
      <c r="Y225" s="1"/>
    </row>
    <row r="226" spans="1:25" ht="18.75">
      <c r="F226" s="9" t="s">
        <v>21</v>
      </c>
      <c r="G226" s="9"/>
      <c r="I226" s="2">
        <v>2011</v>
      </c>
      <c r="J226" s="2">
        <f>I226+1</f>
        <v>2012</v>
      </c>
      <c r="K226" s="2">
        <f t="shared" ref="K226" si="55">J226+1</f>
        <v>2013</v>
      </c>
      <c r="L226" s="2">
        <f t="shared" ref="L226" si="56">K226+1</f>
        <v>2014</v>
      </c>
      <c r="M226" s="2">
        <f t="shared" ref="M226" si="57">L226+1</f>
        <v>2015</v>
      </c>
      <c r="N226" s="2">
        <f t="shared" ref="N226" si="58">M226+1</f>
        <v>2016</v>
      </c>
      <c r="O226" s="2">
        <f t="shared" ref="O226" si="59">N226+1</f>
        <v>2017</v>
      </c>
      <c r="P226" s="2">
        <f t="shared" ref="P226" si="60">O226+1</f>
        <v>2018</v>
      </c>
      <c r="Q226" s="2">
        <f t="shared" ref="Q226" si="61">P226+1</f>
        <v>2019</v>
      </c>
      <c r="R226" s="2">
        <f t="shared" ref="R226" si="62">Q226+1</f>
        <v>2020</v>
      </c>
      <c r="S226" s="2">
        <f>R226+1</f>
        <v>2021</v>
      </c>
      <c r="T226" s="2">
        <f>S226+1</f>
        <v>2022</v>
      </c>
      <c r="U226" s="2">
        <f>T226+1</f>
        <v>2023</v>
      </c>
      <c r="W226" s="1"/>
      <c r="X226" s="1"/>
      <c r="Y226" s="1"/>
    </row>
    <row r="227" spans="1:25">
      <c r="G227" s="62" t="str">
        <f>"Total MWh Produced / Purchased from " &amp; H224</f>
        <v>Total MWh Produced / Purchased from Bigfork</v>
      </c>
      <c r="H227" s="57"/>
      <c r="I227" s="3"/>
      <c r="J227" s="4"/>
      <c r="K227" s="4"/>
      <c r="L227" s="4"/>
      <c r="M227" s="4"/>
      <c r="N227" s="4"/>
      <c r="O227" s="4"/>
      <c r="P227" s="4"/>
      <c r="Q227" s="4"/>
      <c r="R227" s="4"/>
      <c r="S227" s="4">
        <v>1198</v>
      </c>
      <c r="T227" s="4">
        <v>1112</v>
      </c>
      <c r="U227" s="5">
        <v>849</v>
      </c>
      <c r="W227" s="1"/>
      <c r="X227" s="1"/>
      <c r="Y227" s="1"/>
    </row>
    <row r="228" spans="1:25">
      <c r="G228" s="62" t="s">
        <v>25</v>
      </c>
      <c r="H228" s="57"/>
      <c r="I228" s="269"/>
      <c r="J228" s="41"/>
      <c r="K228" s="41"/>
      <c r="L228" s="41"/>
      <c r="M228" s="41"/>
      <c r="N228" s="41"/>
      <c r="O228" s="41"/>
      <c r="P228" s="41"/>
      <c r="Q228" s="41"/>
      <c r="R228" s="41"/>
      <c r="S228" s="41">
        <v>1</v>
      </c>
      <c r="T228" s="41">
        <v>1</v>
      </c>
      <c r="U228" s="41">
        <v>1</v>
      </c>
      <c r="W228" s="1"/>
      <c r="X228" s="1"/>
      <c r="Y228" s="1"/>
    </row>
    <row r="229" spans="1:25">
      <c r="G229" s="62" t="s">
        <v>20</v>
      </c>
      <c r="H229" s="57"/>
      <c r="I229" s="270"/>
      <c r="J229" s="36"/>
      <c r="K229" s="36"/>
      <c r="L229" s="36"/>
      <c r="M229" s="36"/>
      <c r="N229" s="36"/>
      <c r="O229" s="36"/>
      <c r="P229" s="36"/>
      <c r="Q229" s="36"/>
      <c r="R229" s="36"/>
      <c r="S229" s="36">
        <f>S2</f>
        <v>7.9696892166366717E-2</v>
      </c>
      <c r="T229" s="36">
        <f>T2</f>
        <v>7.8737918965874246E-2</v>
      </c>
      <c r="U229" s="36">
        <f>U2</f>
        <v>7.8407467372863096E-2</v>
      </c>
      <c r="W229" s="1"/>
      <c r="X229" s="1"/>
      <c r="Y229" s="1"/>
    </row>
    <row r="230" spans="1:25">
      <c r="A230" s="1" t="s">
        <v>206</v>
      </c>
      <c r="G230" s="26" t="s">
        <v>22</v>
      </c>
      <c r="H230" s="6"/>
      <c r="I230" s="30">
        <v>0</v>
      </c>
      <c r="J230" s="30">
        <v>0</v>
      </c>
      <c r="K230" s="30">
        <v>0</v>
      </c>
      <c r="L230" s="30">
        <v>0</v>
      </c>
      <c r="M230" s="30">
        <v>0</v>
      </c>
      <c r="N230" s="161">
        <v>0</v>
      </c>
      <c r="O230" s="161">
        <v>0</v>
      </c>
      <c r="P230" s="161">
        <v>0</v>
      </c>
      <c r="Q230" s="161">
        <f>Q227*Q229</f>
        <v>0</v>
      </c>
      <c r="R230" s="161">
        <f>R227*R229</f>
        <v>0</v>
      </c>
      <c r="S230" s="161">
        <f>ROUNDDOWN(S227*S229,0)</f>
        <v>95</v>
      </c>
      <c r="T230" s="161">
        <f t="shared" ref="T230" si="63">ROUNDDOWN(T227*T229,0)</f>
        <v>87</v>
      </c>
      <c r="U230" s="161">
        <f>ROUNDUP(U227*U229,0)</f>
        <v>67</v>
      </c>
      <c r="W230" s="1"/>
      <c r="X230" s="1"/>
      <c r="Y230" s="1"/>
    </row>
    <row r="231" spans="1:25">
      <c r="I231" s="29"/>
      <c r="J231" s="29"/>
      <c r="K231" s="29"/>
      <c r="L231" s="29"/>
      <c r="M231" s="29"/>
      <c r="N231" s="20"/>
      <c r="O231" s="20"/>
      <c r="P231" s="20"/>
      <c r="Q231" s="20"/>
      <c r="R231" s="20"/>
      <c r="S231" s="20"/>
      <c r="T231" s="20"/>
      <c r="U231" s="20"/>
      <c r="W231" s="1"/>
      <c r="X231" s="1"/>
      <c r="Y231" s="1"/>
    </row>
    <row r="232" spans="1:25" ht="18.75">
      <c r="F232" s="9" t="s">
        <v>118</v>
      </c>
      <c r="I232" s="2">
        <v>2011</v>
      </c>
      <c r="J232" s="2">
        <f>I232+1</f>
        <v>2012</v>
      </c>
      <c r="K232" s="2">
        <f t="shared" ref="K232" si="64">J232+1</f>
        <v>2013</v>
      </c>
      <c r="L232" s="2">
        <f t="shared" ref="L232" si="65">K232+1</f>
        <v>2014</v>
      </c>
      <c r="M232" s="2">
        <f t="shared" ref="M232" si="66">L232+1</f>
        <v>2015</v>
      </c>
      <c r="N232" s="2">
        <f t="shared" ref="N232" si="67">M232+1</f>
        <v>2016</v>
      </c>
      <c r="O232" s="2">
        <f t="shared" ref="O232" si="68">N232+1</f>
        <v>2017</v>
      </c>
      <c r="P232" s="2">
        <f t="shared" ref="P232" si="69">O232+1</f>
        <v>2018</v>
      </c>
      <c r="Q232" s="2">
        <f t="shared" ref="Q232" si="70">P232+1</f>
        <v>2019</v>
      </c>
      <c r="R232" s="2">
        <f t="shared" ref="R232" si="71">Q232+1</f>
        <v>2020</v>
      </c>
      <c r="S232" s="2">
        <f>R232+1</f>
        <v>2021</v>
      </c>
      <c r="T232" s="2">
        <f>S232+1</f>
        <v>2022</v>
      </c>
      <c r="U232" s="2">
        <f>T232+1</f>
        <v>2023</v>
      </c>
      <c r="W232" s="1"/>
      <c r="X232" s="1"/>
      <c r="Y232" s="1"/>
    </row>
    <row r="233" spans="1:25">
      <c r="G233" s="62" t="s">
        <v>10</v>
      </c>
      <c r="H233" s="57"/>
      <c r="I233" s="38">
        <f>IF($J9 = "Eligible", I230 * 'Facility Detail'!$G$3257, 0 )</f>
        <v>0</v>
      </c>
      <c r="J233" s="11">
        <f>IF($J9 = "Eligible", J230 * 'Facility Detail'!$G$3257, 0 )</f>
        <v>0</v>
      </c>
      <c r="K233" s="11">
        <f>IF($J9 = "Eligible", K230 * 'Facility Detail'!$G$3257, 0 )</f>
        <v>0</v>
      </c>
      <c r="L233" s="11">
        <f>IF($J9 = "Eligible", L230 * 'Facility Detail'!$G$3257, 0 )</f>
        <v>0</v>
      </c>
      <c r="M233" s="11">
        <f>IF($J9 = "Eligible", M230 * 'Facility Detail'!$G$3257, 0 )</f>
        <v>0</v>
      </c>
      <c r="N233" s="11">
        <f>IF($J9 = "Eligible", N230 * 'Facility Detail'!$G$3257, 0 )</f>
        <v>0</v>
      </c>
      <c r="O233" s="11">
        <f>IF($J9 = "Eligible", O230 * 'Facility Detail'!$G$3257, 0 )</f>
        <v>0</v>
      </c>
      <c r="P233" s="11">
        <f>IF($J9 = "Eligible", P230 * 'Facility Detail'!$G$3257, 0 )</f>
        <v>0</v>
      </c>
      <c r="Q233" s="11">
        <f>IF($J9 = "Eligible", Q230 * 'Facility Detail'!$G$3257, 0 )</f>
        <v>0</v>
      </c>
      <c r="R233" s="11">
        <f>IF($J9 = "Eligible", R230 * 'Facility Detail'!$G$3257, 0 )</f>
        <v>0</v>
      </c>
      <c r="S233" s="11">
        <f>IF($J9 = "Eligible", S230 * 'Facility Detail'!$G$3257, 0 )</f>
        <v>0</v>
      </c>
      <c r="T233" s="11">
        <f>IF($J9 = "Eligible", T230 * 'Facility Detail'!$G$3257, 0 )</f>
        <v>0</v>
      </c>
      <c r="U233" s="223">
        <f>IF($J9 = "Eligible", U230 * 'Facility Detail'!$G$3257, 0 )</f>
        <v>0</v>
      </c>
      <c r="W233" s="1"/>
      <c r="X233" s="1"/>
      <c r="Y233" s="1"/>
    </row>
    <row r="234" spans="1:25">
      <c r="G234" s="62" t="s">
        <v>6</v>
      </c>
      <c r="H234" s="57"/>
      <c r="I234" s="39">
        <f t="shared" ref="I234:U234" si="72">IF($K9= "Eligible", I230, 0 )</f>
        <v>0</v>
      </c>
      <c r="J234" s="193">
        <f t="shared" si="72"/>
        <v>0</v>
      </c>
      <c r="K234" s="193">
        <f t="shared" si="72"/>
        <v>0</v>
      </c>
      <c r="L234" s="193">
        <f t="shared" si="72"/>
        <v>0</v>
      </c>
      <c r="M234" s="193">
        <f t="shared" si="72"/>
        <v>0</v>
      </c>
      <c r="N234" s="193">
        <f t="shared" si="72"/>
        <v>0</v>
      </c>
      <c r="O234" s="193">
        <f t="shared" si="72"/>
        <v>0</v>
      </c>
      <c r="P234" s="193">
        <f t="shared" si="72"/>
        <v>0</v>
      </c>
      <c r="Q234" s="193">
        <f t="shared" si="72"/>
        <v>0</v>
      </c>
      <c r="R234" s="193">
        <f t="shared" si="72"/>
        <v>0</v>
      </c>
      <c r="S234" s="193">
        <f t="shared" si="72"/>
        <v>0</v>
      </c>
      <c r="T234" s="193">
        <f t="shared" si="72"/>
        <v>0</v>
      </c>
      <c r="U234" s="224">
        <f t="shared" si="72"/>
        <v>0</v>
      </c>
      <c r="W234" s="1"/>
      <c r="X234" s="1"/>
      <c r="Y234" s="1"/>
    </row>
    <row r="235" spans="1:25">
      <c r="G235" s="26" t="s">
        <v>120</v>
      </c>
      <c r="H235" s="6"/>
      <c r="I235" s="32">
        <f>SUM(I233:I234)</f>
        <v>0</v>
      </c>
      <c r="J235" s="33">
        <f t="shared" ref="J235:S235" si="73">SUM(J233:J234)</f>
        <v>0</v>
      </c>
      <c r="K235" s="33">
        <f t="shared" si="73"/>
        <v>0</v>
      </c>
      <c r="L235" s="33">
        <f t="shared" si="73"/>
        <v>0</v>
      </c>
      <c r="M235" s="33">
        <f t="shared" si="73"/>
        <v>0</v>
      </c>
      <c r="N235" s="33">
        <f t="shared" si="73"/>
        <v>0</v>
      </c>
      <c r="O235" s="33">
        <f t="shared" si="73"/>
        <v>0</v>
      </c>
      <c r="P235" s="33">
        <f t="shared" si="73"/>
        <v>0</v>
      </c>
      <c r="Q235" s="33">
        <f t="shared" si="73"/>
        <v>0</v>
      </c>
      <c r="R235" s="33">
        <f t="shared" si="73"/>
        <v>0</v>
      </c>
      <c r="S235" s="33">
        <f t="shared" si="73"/>
        <v>0</v>
      </c>
      <c r="T235" s="33">
        <f t="shared" ref="T235:U235" si="74">SUM(T233:T234)</f>
        <v>0</v>
      </c>
      <c r="U235" s="33">
        <f t="shared" si="74"/>
        <v>0</v>
      </c>
      <c r="W235" s="1"/>
      <c r="X235" s="1"/>
      <c r="Y235" s="1"/>
    </row>
    <row r="236" spans="1:25">
      <c r="I236" s="31"/>
      <c r="J236" s="24"/>
      <c r="K236" s="24"/>
      <c r="L236" s="24"/>
      <c r="M236" s="24"/>
      <c r="N236" s="24"/>
      <c r="O236" s="24"/>
      <c r="P236" s="24"/>
      <c r="Q236" s="24"/>
      <c r="R236" s="24"/>
      <c r="S236" s="24"/>
      <c r="T236" s="24"/>
      <c r="U236" s="24"/>
      <c r="W236" s="1"/>
      <c r="X236" s="1"/>
      <c r="Y236" s="1"/>
    </row>
    <row r="237" spans="1:25" ht="18.75">
      <c r="F237" s="9" t="s">
        <v>30</v>
      </c>
      <c r="I237" s="2">
        <v>2011</v>
      </c>
      <c r="J237" s="2">
        <f>I237+1</f>
        <v>2012</v>
      </c>
      <c r="K237" s="2">
        <f t="shared" ref="K237" si="75">J237+1</f>
        <v>2013</v>
      </c>
      <c r="L237" s="2">
        <f t="shared" ref="L237" si="76">K237+1</f>
        <v>2014</v>
      </c>
      <c r="M237" s="2">
        <f t="shared" ref="M237" si="77">L237+1</f>
        <v>2015</v>
      </c>
      <c r="N237" s="2">
        <f t="shared" ref="N237" si="78">M237+1</f>
        <v>2016</v>
      </c>
      <c r="O237" s="2">
        <f t="shared" ref="O237" si="79">N237+1</f>
        <v>2017</v>
      </c>
      <c r="P237" s="2">
        <f t="shared" ref="P237" si="80">O237+1</f>
        <v>2018</v>
      </c>
      <c r="Q237" s="2">
        <f t="shared" ref="Q237" si="81">P237+1</f>
        <v>2019</v>
      </c>
      <c r="R237" s="2">
        <f t="shared" ref="R237" si="82">Q237+1</f>
        <v>2020</v>
      </c>
      <c r="S237" s="2">
        <f>R237+1</f>
        <v>2021</v>
      </c>
      <c r="T237" s="2">
        <f>S237+1</f>
        <v>2022</v>
      </c>
      <c r="U237" s="2">
        <f>T237+1</f>
        <v>2023</v>
      </c>
      <c r="W237" s="1"/>
      <c r="X237" s="1"/>
      <c r="Y237" s="1"/>
    </row>
    <row r="238" spans="1:25">
      <c r="G238" s="62" t="s">
        <v>47</v>
      </c>
      <c r="H238" s="57"/>
      <c r="I238" s="71"/>
      <c r="J238" s="72"/>
      <c r="K238" s="72"/>
      <c r="L238" s="72"/>
      <c r="M238" s="72"/>
      <c r="N238" s="72"/>
      <c r="O238" s="72"/>
      <c r="P238" s="72"/>
      <c r="Q238" s="72"/>
      <c r="R238" s="72"/>
      <c r="S238" s="72"/>
      <c r="T238" s="72"/>
      <c r="U238" s="73"/>
      <c r="W238" s="1"/>
      <c r="X238" s="1"/>
      <c r="Y238" s="1"/>
    </row>
    <row r="239" spans="1:25">
      <c r="G239" s="63" t="s">
        <v>23</v>
      </c>
      <c r="H239" s="135"/>
      <c r="I239" s="74"/>
      <c r="J239" s="75"/>
      <c r="K239" s="75"/>
      <c r="L239" s="75"/>
      <c r="M239" s="75"/>
      <c r="N239" s="75"/>
      <c r="O239" s="75"/>
      <c r="P239" s="75"/>
      <c r="Q239" s="75"/>
      <c r="R239" s="75"/>
      <c r="S239" s="75"/>
      <c r="T239" s="75"/>
      <c r="U239" s="76"/>
      <c r="W239" s="1"/>
      <c r="X239" s="1"/>
      <c r="Y239" s="1"/>
    </row>
    <row r="240" spans="1:25">
      <c r="G240" s="63" t="s">
        <v>89</v>
      </c>
      <c r="H240" s="134"/>
      <c r="I240" s="43"/>
      <c r="J240" s="44"/>
      <c r="K240" s="44"/>
      <c r="L240" s="44"/>
      <c r="M240" s="44"/>
      <c r="N240" s="44"/>
      <c r="O240" s="44"/>
      <c r="P240" s="44"/>
      <c r="Q240" s="44"/>
      <c r="R240" s="44"/>
      <c r="S240" s="44"/>
      <c r="T240" s="44"/>
      <c r="U240" s="45"/>
      <c r="W240" s="1"/>
      <c r="X240" s="1"/>
      <c r="Y240" s="1"/>
    </row>
    <row r="241" spans="6:25">
      <c r="G241" s="26" t="s">
        <v>90</v>
      </c>
      <c r="I241" s="7">
        <v>0</v>
      </c>
      <c r="J241" s="7">
        <v>0</v>
      </c>
      <c r="K241" s="7">
        <v>0</v>
      </c>
      <c r="L241" s="7">
        <v>0</v>
      </c>
      <c r="M241" s="7">
        <v>0</v>
      </c>
      <c r="N241" s="7">
        <v>0</v>
      </c>
      <c r="O241" s="7">
        <v>0</v>
      </c>
      <c r="P241" s="7">
        <v>0</v>
      </c>
      <c r="Q241" s="7">
        <v>0</v>
      </c>
      <c r="R241" s="7">
        <v>0</v>
      </c>
      <c r="S241" s="7">
        <v>0</v>
      </c>
      <c r="T241" s="7">
        <v>0</v>
      </c>
      <c r="U241" s="7">
        <v>0</v>
      </c>
      <c r="W241" s="1"/>
      <c r="X241" s="1"/>
      <c r="Y241" s="1"/>
    </row>
    <row r="242" spans="6:25">
      <c r="G242" s="6"/>
      <c r="I242" s="7"/>
      <c r="J242" s="7"/>
      <c r="K242" s="7"/>
      <c r="L242" s="23"/>
      <c r="M242" s="23"/>
      <c r="N242" s="23"/>
      <c r="O242" s="23"/>
      <c r="P242" s="23"/>
      <c r="Q242" s="23"/>
      <c r="R242" s="23"/>
      <c r="S242" s="23"/>
      <c r="T242" s="23"/>
      <c r="U242" s="23"/>
      <c r="W242" s="1"/>
      <c r="X242" s="1"/>
      <c r="Y242" s="1"/>
    </row>
    <row r="243" spans="6:25" ht="18.75">
      <c r="F243" s="9" t="s">
        <v>100</v>
      </c>
      <c r="I243" s="2">
        <f>'Facility Detail'!$G$3260</f>
        <v>2011</v>
      </c>
      <c r="J243" s="2">
        <f>I243+1</f>
        <v>2012</v>
      </c>
      <c r="K243" s="2">
        <f t="shared" ref="K243" si="83">J243+1</f>
        <v>2013</v>
      </c>
      <c r="L243" s="2">
        <f t="shared" ref="L243" si="84">K243+1</f>
        <v>2014</v>
      </c>
      <c r="M243" s="2">
        <f t="shared" ref="M243" si="85">L243+1</f>
        <v>2015</v>
      </c>
      <c r="N243" s="2">
        <f t="shared" ref="N243" si="86">M243+1</f>
        <v>2016</v>
      </c>
      <c r="O243" s="2">
        <f t="shared" ref="O243" si="87">N243+1</f>
        <v>2017</v>
      </c>
      <c r="P243" s="2">
        <f t="shared" ref="P243" si="88">O243+1</f>
        <v>2018</v>
      </c>
      <c r="Q243" s="2">
        <f t="shared" ref="Q243" si="89">P243+1</f>
        <v>2019</v>
      </c>
      <c r="R243" s="2">
        <f t="shared" ref="R243" si="90">Q243+1</f>
        <v>2020</v>
      </c>
      <c r="S243" s="2">
        <f>R243+1</f>
        <v>2021</v>
      </c>
      <c r="T243" s="2">
        <f>S243+1</f>
        <v>2022</v>
      </c>
      <c r="U243" s="2">
        <f>T243+1</f>
        <v>2023</v>
      </c>
      <c r="W243" s="1"/>
      <c r="X243" s="1"/>
      <c r="Y243" s="1"/>
    </row>
    <row r="244" spans="6:25">
      <c r="G244" s="62" t="s">
        <v>68</v>
      </c>
      <c r="H244" s="57"/>
      <c r="I244" s="230"/>
      <c r="J244" s="231">
        <f>I244</f>
        <v>0</v>
      </c>
      <c r="K244" s="232"/>
      <c r="L244" s="232"/>
      <c r="M244" s="232"/>
      <c r="N244" s="232"/>
      <c r="O244" s="232"/>
      <c r="P244" s="232"/>
      <c r="Q244" s="232"/>
      <c r="R244" s="232"/>
      <c r="S244" s="232"/>
      <c r="T244" s="217"/>
      <c r="U244" s="47"/>
      <c r="W244" s="1"/>
      <c r="X244" s="1"/>
      <c r="Y244" s="1"/>
    </row>
    <row r="245" spans="6:25">
      <c r="G245" s="62" t="s">
        <v>69</v>
      </c>
      <c r="H245" s="57"/>
      <c r="I245" s="229">
        <f>J245</f>
        <v>0</v>
      </c>
      <c r="J245" s="233"/>
      <c r="K245" s="234"/>
      <c r="L245" s="234"/>
      <c r="M245" s="234"/>
      <c r="N245" s="234"/>
      <c r="O245" s="234"/>
      <c r="P245" s="234"/>
      <c r="Q245" s="234"/>
      <c r="R245" s="234"/>
      <c r="S245" s="234"/>
      <c r="T245" s="218"/>
      <c r="U245" s="128"/>
      <c r="W245" s="1"/>
      <c r="X245" s="1"/>
      <c r="Y245" s="1"/>
    </row>
    <row r="246" spans="6:25">
      <c r="G246" s="62" t="s">
        <v>70</v>
      </c>
      <c r="H246" s="57"/>
      <c r="I246" s="235"/>
      <c r="J246" s="233">
        <f>J230</f>
        <v>0</v>
      </c>
      <c r="K246" s="236">
        <f>J246</f>
        <v>0</v>
      </c>
      <c r="L246" s="234"/>
      <c r="M246" s="234"/>
      <c r="N246" s="234"/>
      <c r="O246" s="234"/>
      <c r="P246" s="234"/>
      <c r="Q246" s="234"/>
      <c r="R246" s="234"/>
      <c r="S246" s="234"/>
      <c r="T246" s="218"/>
      <c r="U246" s="128"/>
      <c r="W246" s="1"/>
      <c r="X246" s="1"/>
      <c r="Y246" s="1"/>
    </row>
    <row r="247" spans="6:25">
      <c r="G247" s="62" t="s">
        <v>71</v>
      </c>
      <c r="H247" s="57"/>
      <c r="I247" s="235"/>
      <c r="J247" s="236">
        <f>K247</f>
        <v>0</v>
      </c>
      <c r="K247" s="237"/>
      <c r="L247" s="234"/>
      <c r="M247" s="234"/>
      <c r="N247" s="234"/>
      <c r="O247" s="234"/>
      <c r="P247" s="234"/>
      <c r="Q247" s="234"/>
      <c r="R247" s="234"/>
      <c r="S247" s="234"/>
      <c r="T247" s="218"/>
      <c r="U247" s="128"/>
      <c r="W247" s="1"/>
      <c r="X247" s="1"/>
      <c r="Y247" s="1"/>
    </row>
    <row r="248" spans="6:25">
      <c r="G248" s="62" t="s">
        <v>170</v>
      </c>
      <c r="I248" s="235"/>
      <c r="J248" s="238"/>
      <c r="K248" s="233">
        <f>K230</f>
        <v>0</v>
      </c>
      <c r="L248" s="239">
        <f>K248</f>
        <v>0</v>
      </c>
      <c r="M248" s="234"/>
      <c r="N248" s="234"/>
      <c r="O248" s="234"/>
      <c r="P248" s="234"/>
      <c r="Q248" s="234"/>
      <c r="R248" s="234"/>
      <c r="S248" s="234"/>
      <c r="T248" s="146"/>
      <c r="U248" s="122"/>
      <c r="W248" s="1"/>
      <c r="X248" s="1"/>
      <c r="Y248" s="1"/>
    </row>
    <row r="249" spans="6:25">
      <c r="G249" s="62" t="s">
        <v>171</v>
      </c>
      <c r="I249" s="235"/>
      <c r="J249" s="238"/>
      <c r="K249" s="236">
        <f>L249</f>
        <v>0</v>
      </c>
      <c r="L249" s="233"/>
      <c r="M249" s="234"/>
      <c r="N249" s="234"/>
      <c r="O249" s="234"/>
      <c r="P249" s="234"/>
      <c r="Q249" s="234"/>
      <c r="R249" s="234"/>
      <c r="S249" s="234"/>
      <c r="T249" s="146"/>
      <c r="U249" s="122"/>
      <c r="W249" s="1"/>
      <c r="X249" s="1"/>
      <c r="Y249" s="1"/>
    </row>
    <row r="250" spans="6:25">
      <c r="G250" s="62" t="s">
        <v>172</v>
      </c>
      <c r="I250" s="235"/>
      <c r="J250" s="238"/>
      <c r="K250" s="238"/>
      <c r="L250" s="233">
        <f>L230</f>
        <v>0</v>
      </c>
      <c r="M250" s="239">
        <f>L250</f>
        <v>0</v>
      </c>
      <c r="N250" s="238">
        <f>M250</f>
        <v>0</v>
      </c>
      <c r="O250" s="234"/>
      <c r="P250" s="234"/>
      <c r="Q250" s="234"/>
      <c r="R250" s="234"/>
      <c r="S250" s="234"/>
      <c r="T250" s="146"/>
      <c r="U250" s="122"/>
      <c r="W250" s="1"/>
      <c r="X250" s="1"/>
      <c r="Y250" s="1"/>
    </row>
    <row r="251" spans="6:25">
      <c r="G251" s="62" t="s">
        <v>173</v>
      </c>
      <c r="I251" s="235"/>
      <c r="J251" s="238"/>
      <c r="K251" s="238"/>
      <c r="L251" s="236"/>
      <c r="M251" s="233"/>
      <c r="N251" s="238"/>
      <c r="O251" s="234"/>
      <c r="P251" s="234"/>
      <c r="Q251" s="234"/>
      <c r="R251" s="234"/>
      <c r="S251" s="234"/>
      <c r="T251" s="146"/>
      <c r="U251" s="122"/>
      <c r="W251" s="1"/>
      <c r="X251" s="1"/>
      <c r="Y251" s="1"/>
    </row>
    <row r="252" spans="6:25">
      <c r="G252" s="62" t="s">
        <v>174</v>
      </c>
      <c r="I252" s="235"/>
      <c r="J252" s="238"/>
      <c r="K252" s="238"/>
      <c r="L252" s="238"/>
      <c r="M252" s="233">
        <v>0</v>
      </c>
      <c r="N252" s="239">
        <f>M252</f>
        <v>0</v>
      </c>
      <c r="O252" s="234"/>
      <c r="P252" s="234"/>
      <c r="Q252" s="234"/>
      <c r="R252" s="234"/>
      <c r="S252" s="234"/>
      <c r="T252" s="146"/>
      <c r="U252" s="122"/>
      <c r="W252" s="1"/>
      <c r="X252" s="1"/>
      <c r="Y252" s="1"/>
    </row>
    <row r="253" spans="6:25">
      <c r="G253" s="62" t="s">
        <v>175</v>
      </c>
      <c r="I253" s="235"/>
      <c r="J253" s="238"/>
      <c r="K253" s="238"/>
      <c r="L253" s="238"/>
      <c r="M253" s="236"/>
      <c r="N253" s="233"/>
      <c r="O253" s="234"/>
      <c r="P253" s="234"/>
      <c r="Q253" s="234"/>
      <c r="R253" s="234"/>
      <c r="S253" s="234"/>
      <c r="T253" s="146"/>
      <c r="U253" s="122"/>
      <c r="W253" s="1"/>
      <c r="X253" s="1"/>
      <c r="Y253" s="1"/>
    </row>
    <row r="254" spans="6:25">
      <c r="G254" s="62" t="s">
        <v>176</v>
      </c>
      <c r="I254" s="235"/>
      <c r="J254" s="238"/>
      <c r="K254" s="238"/>
      <c r="L254" s="238"/>
      <c r="M254" s="238"/>
      <c r="N254" s="240">
        <f>N230</f>
        <v>0</v>
      </c>
      <c r="O254" s="241">
        <f>N254</f>
        <v>0</v>
      </c>
      <c r="P254" s="234"/>
      <c r="Q254" s="234"/>
      <c r="R254" s="234"/>
      <c r="S254" s="234"/>
      <c r="T254" s="146"/>
      <c r="U254" s="122"/>
      <c r="W254" s="1"/>
      <c r="X254" s="1"/>
      <c r="Y254" s="1"/>
    </row>
    <row r="255" spans="6:25">
      <c r="G255" s="62" t="s">
        <v>167</v>
      </c>
      <c r="I255" s="235"/>
      <c r="J255" s="238"/>
      <c r="K255" s="238"/>
      <c r="L255" s="238"/>
      <c r="M255" s="238"/>
      <c r="N255" s="242"/>
      <c r="O255" s="243"/>
      <c r="P255" s="234"/>
      <c r="Q255" s="234"/>
      <c r="R255" s="234"/>
      <c r="S255" s="234"/>
      <c r="T255" s="146"/>
      <c r="U255" s="122"/>
      <c r="W255" s="1"/>
      <c r="X255" s="1"/>
      <c r="Y255" s="1"/>
    </row>
    <row r="256" spans="6:25">
      <c r="G256" s="62" t="s">
        <v>168</v>
      </c>
      <c r="I256" s="235"/>
      <c r="J256" s="238"/>
      <c r="K256" s="238"/>
      <c r="L256" s="238"/>
      <c r="M256" s="238"/>
      <c r="N256" s="238"/>
      <c r="O256" s="243">
        <f>O230</f>
        <v>0</v>
      </c>
      <c r="P256" s="241">
        <f>O256</f>
        <v>0</v>
      </c>
      <c r="Q256" s="234"/>
      <c r="R256" s="234"/>
      <c r="S256" s="234"/>
      <c r="T256" s="146"/>
      <c r="U256" s="122"/>
      <c r="W256" s="1"/>
      <c r="X256" s="1"/>
      <c r="Y256" s="1"/>
    </row>
    <row r="257" spans="2:25">
      <c r="G257" s="62" t="s">
        <v>185</v>
      </c>
      <c r="I257" s="235"/>
      <c r="J257" s="238"/>
      <c r="K257" s="238"/>
      <c r="L257" s="238"/>
      <c r="M257" s="238"/>
      <c r="N257" s="238"/>
      <c r="O257" s="241"/>
      <c r="P257" s="243"/>
      <c r="Q257" s="234"/>
      <c r="R257" s="234"/>
      <c r="S257" s="234"/>
      <c r="T257" s="146"/>
      <c r="U257" s="122"/>
      <c r="W257" s="1"/>
      <c r="X257" s="1"/>
      <c r="Y257" s="1"/>
    </row>
    <row r="258" spans="2:25">
      <c r="G258" s="62" t="s">
        <v>186</v>
      </c>
      <c r="I258" s="235"/>
      <c r="J258" s="238"/>
      <c r="K258" s="238"/>
      <c r="L258" s="238"/>
      <c r="M258" s="238"/>
      <c r="N258" s="238"/>
      <c r="O258" s="238"/>
      <c r="P258" s="243">
        <f>P230</f>
        <v>0</v>
      </c>
      <c r="Q258" s="236">
        <f>P258</f>
        <v>0</v>
      </c>
      <c r="R258" s="234"/>
      <c r="S258" s="234"/>
      <c r="T258" s="146"/>
      <c r="U258" s="122"/>
      <c r="W258" s="1"/>
      <c r="X258" s="1"/>
      <c r="Y258" s="1"/>
    </row>
    <row r="259" spans="2:25">
      <c r="G259" s="62" t="s">
        <v>187</v>
      </c>
      <c r="I259" s="235"/>
      <c r="J259" s="238"/>
      <c r="K259" s="238"/>
      <c r="L259" s="238"/>
      <c r="M259" s="238"/>
      <c r="N259" s="238"/>
      <c r="O259" s="238"/>
      <c r="P259" s="241"/>
      <c r="Q259" s="244"/>
      <c r="R259" s="234"/>
      <c r="S259" s="234"/>
      <c r="T259" s="146"/>
      <c r="U259" s="122"/>
      <c r="W259" s="1"/>
      <c r="X259" s="1"/>
      <c r="Y259" s="1"/>
    </row>
    <row r="260" spans="2:25">
      <c r="G260" s="62" t="s">
        <v>188</v>
      </c>
      <c r="I260" s="235"/>
      <c r="J260" s="238"/>
      <c r="K260" s="238"/>
      <c r="L260" s="238"/>
      <c r="M260" s="238"/>
      <c r="N260" s="238"/>
      <c r="O260" s="238"/>
      <c r="P260" s="238"/>
      <c r="Q260" s="243"/>
      <c r="R260" s="245"/>
      <c r="S260" s="234"/>
      <c r="T260" s="146"/>
      <c r="U260" s="122"/>
      <c r="W260" s="1"/>
      <c r="X260" s="1"/>
      <c r="Y260" s="1"/>
    </row>
    <row r="261" spans="2:25">
      <c r="G261" s="62" t="s">
        <v>189</v>
      </c>
      <c r="I261" s="235"/>
      <c r="J261" s="238"/>
      <c r="K261" s="238"/>
      <c r="L261" s="238"/>
      <c r="M261" s="238"/>
      <c r="N261" s="238"/>
      <c r="O261" s="238"/>
      <c r="P261" s="238"/>
      <c r="Q261" s="245"/>
      <c r="R261" s="246"/>
      <c r="S261" s="234"/>
      <c r="T261" s="146"/>
      <c r="U261" s="122"/>
      <c r="W261" s="1"/>
      <c r="X261" s="1"/>
      <c r="Y261" s="1"/>
    </row>
    <row r="262" spans="2:25">
      <c r="G262" s="62" t="s">
        <v>190</v>
      </c>
      <c r="I262" s="235"/>
      <c r="J262" s="238"/>
      <c r="K262" s="238"/>
      <c r="L262" s="238"/>
      <c r="M262" s="238"/>
      <c r="N262" s="238"/>
      <c r="O262" s="238"/>
      <c r="P262" s="238"/>
      <c r="Q262" s="238"/>
      <c r="R262" s="246">
        <v>0</v>
      </c>
      <c r="S262" s="245">
        <f>R262</f>
        <v>0</v>
      </c>
      <c r="T262" s="146"/>
      <c r="U262" s="122"/>
      <c r="W262" s="1"/>
      <c r="X262" s="1"/>
      <c r="Y262" s="1"/>
    </row>
    <row r="263" spans="2:25">
      <c r="G263" s="62" t="s">
        <v>199</v>
      </c>
      <c r="I263" s="235"/>
      <c r="J263" s="238"/>
      <c r="K263" s="238"/>
      <c r="L263" s="238"/>
      <c r="M263" s="238"/>
      <c r="N263" s="238"/>
      <c r="O263" s="238"/>
      <c r="P263" s="238"/>
      <c r="Q263" s="238"/>
      <c r="R263" s="241">
        <v>0</v>
      </c>
      <c r="S263" s="246">
        <v>0</v>
      </c>
      <c r="T263" s="146"/>
      <c r="U263" s="122"/>
      <c r="W263" s="1"/>
      <c r="X263" s="1"/>
      <c r="Y263" s="1"/>
    </row>
    <row r="264" spans="2:25">
      <c r="G264" s="62" t="s">
        <v>200</v>
      </c>
      <c r="I264" s="235"/>
      <c r="J264" s="238"/>
      <c r="K264" s="238"/>
      <c r="L264" s="238"/>
      <c r="M264" s="238"/>
      <c r="N264" s="238"/>
      <c r="O264" s="238"/>
      <c r="P264" s="238"/>
      <c r="Q264" s="238"/>
      <c r="R264" s="238"/>
      <c r="S264" s="246">
        <v>0</v>
      </c>
      <c r="T264" s="245">
        <f>S264</f>
        <v>0</v>
      </c>
      <c r="U264" s="122"/>
      <c r="W264" s="1"/>
      <c r="X264" s="1"/>
      <c r="Y264" s="1"/>
    </row>
    <row r="265" spans="2:25">
      <c r="G265" s="62" t="s">
        <v>308</v>
      </c>
      <c r="I265" s="235"/>
      <c r="J265" s="238"/>
      <c r="K265" s="238"/>
      <c r="L265" s="238"/>
      <c r="M265" s="238"/>
      <c r="N265" s="238"/>
      <c r="O265" s="238"/>
      <c r="P265" s="238"/>
      <c r="Q265" s="238"/>
      <c r="R265" s="238"/>
      <c r="S265" s="241">
        <f>T265</f>
        <v>0</v>
      </c>
      <c r="T265" s="246">
        <v>0</v>
      </c>
      <c r="U265" s="122"/>
      <c r="W265" s="1"/>
      <c r="X265" s="1"/>
      <c r="Y265" s="1"/>
    </row>
    <row r="266" spans="2:25">
      <c r="G266" s="62" t="s">
        <v>307</v>
      </c>
      <c r="I266" s="114"/>
      <c r="J266" s="107"/>
      <c r="K266" s="107"/>
      <c r="L266" s="107"/>
      <c r="M266" s="107"/>
      <c r="N266" s="107"/>
      <c r="O266" s="107"/>
      <c r="P266" s="107"/>
      <c r="Q266" s="107"/>
      <c r="R266" s="107"/>
      <c r="S266" s="107"/>
      <c r="T266" s="246">
        <v>0</v>
      </c>
      <c r="U266" s="453">
        <f>T266</f>
        <v>0</v>
      </c>
      <c r="W266" s="1"/>
      <c r="X266" s="1"/>
      <c r="Y266" s="1"/>
    </row>
    <row r="267" spans="2:25">
      <c r="G267" s="62" t="s">
        <v>318</v>
      </c>
      <c r="I267" s="114"/>
      <c r="J267" s="107"/>
      <c r="K267" s="107"/>
      <c r="L267" s="107"/>
      <c r="M267" s="107"/>
      <c r="N267" s="107"/>
      <c r="O267" s="107"/>
      <c r="P267" s="107"/>
      <c r="Q267" s="107"/>
      <c r="R267" s="107"/>
      <c r="S267" s="107"/>
      <c r="T267" s="241">
        <f>U267</f>
        <v>0</v>
      </c>
      <c r="U267" s="454">
        <v>0</v>
      </c>
      <c r="W267" s="1"/>
      <c r="X267" s="1"/>
      <c r="Y267" s="1"/>
    </row>
    <row r="268" spans="2:25">
      <c r="G268" s="62" t="s">
        <v>319</v>
      </c>
      <c r="I268" s="49"/>
      <c r="J268" s="194"/>
      <c r="K268" s="194"/>
      <c r="L268" s="194"/>
      <c r="M268" s="194"/>
      <c r="N268" s="194"/>
      <c r="O268" s="194"/>
      <c r="P268" s="194"/>
      <c r="Q268" s="194"/>
      <c r="R268" s="194"/>
      <c r="S268" s="194"/>
      <c r="T268" s="194"/>
      <c r="U268" s="455">
        <v>0</v>
      </c>
      <c r="W268" s="1"/>
      <c r="X268" s="1"/>
      <c r="Y268" s="1"/>
    </row>
    <row r="269" spans="2:25">
      <c r="B269" s="1" t="s">
        <v>206</v>
      </c>
      <c r="G269" s="26" t="s">
        <v>17</v>
      </c>
      <c r="I269" s="7"/>
      <c r="J269" s="7"/>
      <c r="K269" s="7"/>
      <c r="L269" s="7"/>
      <c r="M269" s="7"/>
      <c r="N269" s="7"/>
      <c r="O269" s="7"/>
      <c r="P269" s="247">
        <f>P256-P257-P258</f>
        <v>0</v>
      </c>
      <c r="Q269" s="247">
        <f>Q258-Q260+Q261</f>
        <v>0</v>
      </c>
      <c r="R269" s="247">
        <f>R260-R261</f>
        <v>0</v>
      </c>
      <c r="S269" s="7">
        <f>S262-S263+S264-S265</f>
        <v>0</v>
      </c>
      <c r="T269" s="7">
        <f>T264-T265-T266+T267</f>
        <v>0</v>
      </c>
      <c r="U269" s="7">
        <f>U266-U267-U268</f>
        <v>0</v>
      </c>
      <c r="W269" s="1"/>
      <c r="X269" s="1"/>
      <c r="Y269" s="1"/>
    </row>
    <row r="270" spans="2:25">
      <c r="G270" s="6"/>
      <c r="I270" s="154"/>
      <c r="J270" s="154"/>
      <c r="K270" s="154"/>
      <c r="L270" s="154"/>
      <c r="M270" s="154"/>
      <c r="N270" s="154"/>
      <c r="O270" s="154"/>
      <c r="P270" s="154"/>
      <c r="Q270" s="154"/>
      <c r="R270" s="154"/>
      <c r="S270" s="154"/>
      <c r="T270" s="154"/>
      <c r="U270" s="154"/>
      <c r="W270" s="1"/>
      <c r="X270" s="1"/>
      <c r="Y270" s="1"/>
    </row>
    <row r="271" spans="2:25">
      <c r="G271" s="26" t="s">
        <v>12</v>
      </c>
      <c r="H271" s="57"/>
      <c r="I271" s="155"/>
      <c r="J271" s="156"/>
      <c r="K271" s="156"/>
      <c r="L271" s="156"/>
      <c r="M271" s="156"/>
      <c r="N271" s="156"/>
      <c r="O271" s="156"/>
      <c r="P271" s="156"/>
      <c r="Q271" s="156"/>
      <c r="R271" s="156"/>
      <c r="S271" s="156"/>
      <c r="T271" s="156"/>
      <c r="U271" s="267"/>
      <c r="W271" s="1"/>
      <c r="X271" s="1"/>
      <c r="Y271" s="1"/>
    </row>
    <row r="272" spans="2:25">
      <c r="G272" s="6"/>
      <c r="I272" s="154"/>
      <c r="J272" s="154"/>
      <c r="K272" s="154"/>
      <c r="L272" s="154"/>
      <c r="M272" s="154"/>
      <c r="N272" s="154"/>
      <c r="O272" s="154"/>
      <c r="P272" s="154"/>
      <c r="Q272" s="154"/>
      <c r="R272" s="154"/>
      <c r="S272" s="154"/>
      <c r="T272" s="154"/>
      <c r="U272" s="154"/>
      <c r="W272" s="1"/>
      <c r="X272" s="1"/>
      <c r="Y272" s="1"/>
    </row>
    <row r="273" spans="1:25" ht="18.75">
      <c r="C273" s="1" t="s">
        <v>206</v>
      </c>
      <c r="D273" s="1" t="s">
        <v>236</v>
      </c>
      <c r="E273" s="1" t="s">
        <v>114</v>
      </c>
      <c r="F273" s="9" t="s">
        <v>26</v>
      </c>
      <c r="H273" s="57"/>
      <c r="I273" s="157">
        <f t="shared" ref="I273:U273" si="91" xml:space="preserve"> I230 + I235 - I241 + I269 + I271</f>
        <v>0</v>
      </c>
      <c r="J273" s="158">
        <f t="shared" si="91"/>
        <v>0</v>
      </c>
      <c r="K273" s="158">
        <f t="shared" si="91"/>
        <v>0</v>
      </c>
      <c r="L273" s="158">
        <f t="shared" si="91"/>
        <v>0</v>
      </c>
      <c r="M273" s="158">
        <f t="shared" si="91"/>
        <v>0</v>
      </c>
      <c r="N273" s="158">
        <f t="shared" si="91"/>
        <v>0</v>
      </c>
      <c r="O273" s="158">
        <f t="shared" si="91"/>
        <v>0</v>
      </c>
      <c r="P273" s="158">
        <f t="shared" si="91"/>
        <v>0</v>
      </c>
      <c r="Q273" s="158">
        <f t="shared" si="91"/>
        <v>0</v>
      </c>
      <c r="R273" s="158">
        <f t="shared" si="91"/>
        <v>0</v>
      </c>
      <c r="S273" s="158">
        <f t="shared" si="91"/>
        <v>95</v>
      </c>
      <c r="T273" s="158">
        <f t="shared" si="91"/>
        <v>87</v>
      </c>
      <c r="U273" s="268">
        <f t="shared" si="91"/>
        <v>67</v>
      </c>
      <c r="W273" s="1"/>
      <c r="X273" s="1"/>
      <c r="Y273" s="1"/>
    </row>
    <row r="274" spans="1:25">
      <c r="G274" s="6"/>
      <c r="I274" s="7"/>
      <c r="J274" s="7"/>
      <c r="K274" s="7"/>
      <c r="L274" s="23"/>
      <c r="M274" s="23"/>
      <c r="N274" s="23"/>
      <c r="O274" s="23"/>
      <c r="P274" s="23"/>
      <c r="Q274" s="23"/>
      <c r="R274" s="23"/>
      <c r="S274" s="282"/>
      <c r="T274" s="23"/>
      <c r="U274" s="23"/>
      <c r="W274" s="1"/>
      <c r="X274" s="1"/>
      <c r="Y274" s="1"/>
    </row>
    <row r="275" spans="1:25" ht="15.75" thickBot="1">
      <c r="W275" s="1"/>
      <c r="X275" s="1"/>
      <c r="Y275" s="1"/>
    </row>
    <row r="276" spans="1:25" ht="15.75" thickBot="1">
      <c r="F276" s="8"/>
      <c r="G276" s="8"/>
      <c r="H276" s="8"/>
      <c r="I276" s="8"/>
      <c r="J276" s="8"/>
      <c r="K276" s="8"/>
      <c r="L276" s="8"/>
      <c r="M276" s="8"/>
      <c r="N276" s="8"/>
      <c r="O276" s="8"/>
      <c r="P276" s="8"/>
      <c r="Q276" s="8"/>
      <c r="R276" s="8"/>
      <c r="S276" s="290"/>
      <c r="T276" s="8"/>
      <c r="U276" s="8"/>
      <c r="W276" s="1"/>
      <c r="X276" s="1"/>
      <c r="Y276" s="1"/>
    </row>
    <row r="277" spans="1:25" ht="21.75" thickBot="1">
      <c r="F277" s="13" t="s">
        <v>4</v>
      </c>
      <c r="G277" s="13"/>
      <c r="H277" s="185" t="s">
        <v>207</v>
      </c>
      <c r="I277" s="183"/>
      <c r="W277" s="1"/>
      <c r="X277" s="1"/>
      <c r="Y277" s="1"/>
    </row>
    <row r="278" spans="1:25">
      <c r="W278" s="1"/>
      <c r="X278" s="1"/>
      <c r="Y278" s="1"/>
    </row>
    <row r="279" spans="1:25" ht="18.75">
      <c r="F279" s="9" t="s">
        <v>21</v>
      </c>
      <c r="G279" s="9"/>
      <c r="I279" s="2">
        <v>2011</v>
      </c>
      <c r="J279" s="2">
        <f>I279+1</f>
        <v>2012</v>
      </c>
      <c r="K279" s="2">
        <f t="shared" ref="K279" si="92">J279+1</f>
        <v>2013</v>
      </c>
      <c r="L279" s="2">
        <f t="shared" ref="L279" si="93">K279+1</f>
        <v>2014</v>
      </c>
      <c r="M279" s="2">
        <f t="shared" ref="M279" si="94">L279+1</f>
        <v>2015</v>
      </c>
      <c r="N279" s="2">
        <f t="shared" ref="N279" si="95">M279+1</f>
        <v>2016</v>
      </c>
      <c r="O279" s="2">
        <f t="shared" ref="O279" si="96">N279+1</f>
        <v>2017</v>
      </c>
      <c r="P279" s="2">
        <f t="shared" ref="P279" si="97">O279+1</f>
        <v>2018</v>
      </c>
      <c r="Q279" s="2">
        <f t="shared" ref="Q279" si="98">P279+1</f>
        <v>2019</v>
      </c>
      <c r="R279" s="2">
        <f t="shared" ref="R279" si="99">Q279+1</f>
        <v>2020</v>
      </c>
      <c r="S279" s="2">
        <f>R279+1</f>
        <v>2021</v>
      </c>
      <c r="T279" s="2">
        <f>S279+1</f>
        <v>2022</v>
      </c>
      <c r="U279" s="2">
        <f>T279+1</f>
        <v>2023</v>
      </c>
      <c r="W279" s="1"/>
      <c r="X279" s="1"/>
      <c r="Y279" s="1"/>
    </row>
    <row r="280" spans="1:25">
      <c r="G280" s="62" t="str">
        <f>"Total MWh Produced / Purchased from " &amp; H277</f>
        <v>Total MWh Produced / Purchased from Blundell</v>
      </c>
      <c r="H280" s="57"/>
      <c r="I280" s="3"/>
      <c r="J280" s="4"/>
      <c r="K280" s="4"/>
      <c r="L280" s="4"/>
      <c r="M280" s="4"/>
      <c r="N280" s="4"/>
      <c r="O280" s="4"/>
      <c r="P280" s="4"/>
      <c r="Q280" s="4"/>
      <c r="R280" s="4"/>
      <c r="S280" s="4">
        <v>145321</v>
      </c>
      <c r="T280" s="4">
        <v>179302</v>
      </c>
      <c r="U280" s="5">
        <v>199544</v>
      </c>
      <c r="W280" s="1"/>
      <c r="X280" s="1"/>
      <c r="Y280" s="1"/>
    </row>
    <row r="281" spans="1:25">
      <c r="G281" s="62" t="s">
        <v>25</v>
      </c>
      <c r="H281" s="57"/>
      <c r="I281" s="269"/>
      <c r="J281" s="41"/>
      <c r="K281" s="41"/>
      <c r="L281" s="41"/>
      <c r="M281" s="41"/>
      <c r="N281" s="41"/>
      <c r="O281" s="41"/>
      <c r="P281" s="41"/>
      <c r="Q281" s="41"/>
      <c r="R281" s="41"/>
      <c r="S281" s="41">
        <v>1</v>
      </c>
      <c r="T281" s="41">
        <v>1</v>
      </c>
      <c r="U281" s="41">
        <v>1</v>
      </c>
      <c r="W281" s="1"/>
      <c r="X281" s="1"/>
      <c r="Y281" s="1"/>
    </row>
    <row r="282" spans="1:25">
      <c r="G282" s="62" t="s">
        <v>20</v>
      </c>
      <c r="H282" s="57"/>
      <c r="I282" s="270"/>
      <c r="J282" s="36"/>
      <c r="K282" s="36"/>
      <c r="L282" s="36"/>
      <c r="M282" s="36"/>
      <c r="N282" s="36"/>
      <c r="O282" s="36"/>
      <c r="P282" s="36"/>
      <c r="Q282" s="36"/>
      <c r="R282" s="36"/>
      <c r="S282" s="36">
        <f>S2</f>
        <v>7.9696892166366717E-2</v>
      </c>
      <c r="T282" s="36">
        <f>T2</f>
        <v>7.8737918965874246E-2</v>
      </c>
      <c r="U282" s="36">
        <f>U2</f>
        <v>7.8407467372863096E-2</v>
      </c>
      <c r="W282" s="1"/>
      <c r="X282" s="1"/>
      <c r="Y282" s="1"/>
    </row>
    <row r="283" spans="1:25">
      <c r="A283" s="1" t="s">
        <v>207</v>
      </c>
      <c r="G283" s="26" t="s">
        <v>22</v>
      </c>
      <c r="H283" s="6"/>
      <c r="I283" s="30">
        <v>0</v>
      </c>
      <c r="J283" s="30">
        <v>0</v>
      </c>
      <c r="K283" s="30">
        <v>0</v>
      </c>
      <c r="L283" s="30">
        <v>0</v>
      </c>
      <c r="M283" s="30">
        <v>0</v>
      </c>
      <c r="N283" s="161">
        <v>0</v>
      </c>
      <c r="O283" s="161">
        <v>0</v>
      </c>
      <c r="P283" s="161">
        <v>0</v>
      </c>
      <c r="Q283" s="161">
        <f>Q280*Q282</f>
        <v>0</v>
      </c>
      <c r="R283" s="161">
        <f>R280*R282</f>
        <v>0</v>
      </c>
      <c r="S283" s="161">
        <f>ROUND(S280*S282,0)</f>
        <v>11582</v>
      </c>
      <c r="T283" s="161">
        <f t="shared" ref="T283" si="100">ROUNDDOWN(T280*T282,0)</f>
        <v>14117</v>
      </c>
      <c r="U283" s="161">
        <f>ROUNDUP(U280*U282,0)</f>
        <v>15646</v>
      </c>
      <c r="W283" s="1"/>
      <c r="X283" s="1"/>
      <c r="Y283" s="1"/>
    </row>
    <row r="284" spans="1:25">
      <c r="I284" s="29"/>
      <c r="J284" s="29"/>
      <c r="K284" s="29"/>
      <c r="L284" s="29"/>
      <c r="M284" s="29"/>
      <c r="N284" s="20"/>
      <c r="O284" s="20"/>
      <c r="P284" s="20"/>
      <c r="Q284" s="20"/>
      <c r="R284" s="20"/>
      <c r="S284" s="20"/>
      <c r="T284" s="20"/>
      <c r="U284" s="20"/>
      <c r="W284" s="1"/>
      <c r="X284" s="1"/>
      <c r="Y284" s="1"/>
    </row>
    <row r="285" spans="1:25" ht="18.75">
      <c r="F285" s="9" t="s">
        <v>118</v>
      </c>
      <c r="I285" s="2">
        <v>2011</v>
      </c>
      <c r="J285" s="2">
        <f>I285+1</f>
        <v>2012</v>
      </c>
      <c r="K285" s="2">
        <f t="shared" ref="K285" si="101">J285+1</f>
        <v>2013</v>
      </c>
      <c r="L285" s="2">
        <f t="shared" ref="L285" si="102">K285+1</f>
        <v>2014</v>
      </c>
      <c r="M285" s="2">
        <f t="shared" ref="M285" si="103">L285+1</f>
        <v>2015</v>
      </c>
      <c r="N285" s="2">
        <f t="shared" ref="N285" si="104">M285+1</f>
        <v>2016</v>
      </c>
      <c r="O285" s="2">
        <f t="shared" ref="O285" si="105">N285+1</f>
        <v>2017</v>
      </c>
      <c r="P285" s="2">
        <f t="shared" ref="P285" si="106">O285+1</f>
        <v>2018</v>
      </c>
      <c r="Q285" s="2">
        <f t="shared" ref="Q285" si="107">P285+1</f>
        <v>2019</v>
      </c>
      <c r="R285" s="2">
        <f t="shared" ref="R285" si="108">Q285+1</f>
        <v>2020</v>
      </c>
      <c r="S285" s="2">
        <f>R285+1</f>
        <v>2021</v>
      </c>
      <c r="T285" s="2">
        <f>S285+1</f>
        <v>2022</v>
      </c>
      <c r="U285" s="2">
        <f>T285+1</f>
        <v>2023</v>
      </c>
      <c r="W285" s="1"/>
      <c r="X285" s="1"/>
      <c r="Y285" s="1"/>
    </row>
    <row r="286" spans="1:25">
      <c r="G286" s="62" t="s">
        <v>10</v>
      </c>
      <c r="H286" s="57"/>
      <c r="I286" s="38">
        <f>IF($J10 = "Eligible", I283 * 'Facility Detail'!$G$3257, 0 )</f>
        <v>0</v>
      </c>
      <c r="J286" s="11">
        <f>IF($J10 = "Eligible", J283 * 'Facility Detail'!$G$3257, 0 )</f>
        <v>0</v>
      </c>
      <c r="K286" s="11">
        <f>IF($J10 = "Eligible", K283 * 'Facility Detail'!$G$3257, 0 )</f>
        <v>0</v>
      </c>
      <c r="L286" s="11">
        <f>IF($J10 = "Eligible", L283 * 'Facility Detail'!$G$3257, 0 )</f>
        <v>0</v>
      </c>
      <c r="M286" s="11">
        <f>IF($J10 = "Eligible", M283 * 'Facility Detail'!$G$3257, 0 )</f>
        <v>0</v>
      </c>
      <c r="N286" s="11">
        <f>IF($J10 = "Eligible", N283 * 'Facility Detail'!$G$3257, 0 )</f>
        <v>0</v>
      </c>
      <c r="O286" s="11">
        <f>IF($J10 = "Eligible", O283 * 'Facility Detail'!$G$3257, 0 )</f>
        <v>0</v>
      </c>
      <c r="P286" s="11">
        <f>IF($J10 = "Eligible", P283 * 'Facility Detail'!$G$3257, 0 )</f>
        <v>0</v>
      </c>
      <c r="Q286" s="11">
        <f>IF($J10 = "Eligible", Q283 * 'Facility Detail'!$G$3257, 0 )</f>
        <v>0</v>
      </c>
      <c r="R286" s="11">
        <f>IF($J10 = "Eligible", R283 * 'Facility Detail'!$G$3257, 0 )</f>
        <v>0</v>
      </c>
      <c r="S286" s="11">
        <f>IF($J10 = "Eligible", S283 * 'Facility Detail'!$G$3257, 0 )</f>
        <v>0</v>
      </c>
      <c r="T286" s="11">
        <f>IF($J10 = "Eligible", T283 * 'Facility Detail'!$G$3257, 0 )</f>
        <v>0</v>
      </c>
      <c r="U286" s="223">
        <f>IF($J10 = "Eligible", U283 * 'Facility Detail'!$G$3257, 0 )</f>
        <v>0</v>
      </c>
      <c r="W286" s="1"/>
      <c r="X286" s="1"/>
      <c r="Y286" s="1"/>
    </row>
    <row r="287" spans="1:25">
      <c r="G287" s="62" t="s">
        <v>6</v>
      </c>
      <c r="H287" s="57"/>
      <c r="I287" s="39">
        <f t="shared" ref="I287:U287" si="109">IF($K10= "Eligible", I283, 0 )</f>
        <v>0</v>
      </c>
      <c r="J287" s="193">
        <f t="shared" si="109"/>
        <v>0</v>
      </c>
      <c r="K287" s="193">
        <f t="shared" si="109"/>
        <v>0</v>
      </c>
      <c r="L287" s="193">
        <f t="shared" si="109"/>
        <v>0</v>
      </c>
      <c r="M287" s="193">
        <f t="shared" si="109"/>
        <v>0</v>
      </c>
      <c r="N287" s="193">
        <f t="shared" si="109"/>
        <v>0</v>
      </c>
      <c r="O287" s="193">
        <f t="shared" si="109"/>
        <v>0</v>
      </c>
      <c r="P287" s="193">
        <f t="shared" si="109"/>
        <v>0</v>
      </c>
      <c r="Q287" s="193">
        <f t="shared" si="109"/>
        <v>0</v>
      </c>
      <c r="R287" s="193">
        <f t="shared" si="109"/>
        <v>0</v>
      </c>
      <c r="S287" s="193">
        <f t="shared" si="109"/>
        <v>0</v>
      </c>
      <c r="T287" s="193">
        <f t="shared" si="109"/>
        <v>0</v>
      </c>
      <c r="U287" s="224">
        <f t="shared" si="109"/>
        <v>0</v>
      </c>
      <c r="W287" s="1"/>
      <c r="X287" s="1"/>
      <c r="Y287" s="1"/>
    </row>
    <row r="288" spans="1:25">
      <c r="G288" s="26" t="s">
        <v>120</v>
      </c>
      <c r="H288" s="6"/>
      <c r="I288" s="32">
        <f>SUM(I286:I287)</f>
        <v>0</v>
      </c>
      <c r="J288" s="33">
        <f t="shared" ref="J288:S288" si="110">SUM(J286:J287)</f>
        <v>0</v>
      </c>
      <c r="K288" s="33">
        <f t="shared" si="110"/>
        <v>0</v>
      </c>
      <c r="L288" s="33">
        <f t="shared" si="110"/>
        <v>0</v>
      </c>
      <c r="M288" s="33">
        <f t="shared" si="110"/>
        <v>0</v>
      </c>
      <c r="N288" s="33">
        <f t="shared" si="110"/>
        <v>0</v>
      </c>
      <c r="O288" s="33">
        <f t="shared" si="110"/>
        <v>0</v>
      </c>
      <c r="P288" s="33">
        <f t="shared" si="110"/>
        <v>0</v>
      </c>
      <c r="Q288" s="33">
        <f t="shared" si="110"/>
        <v>0</v>
      </c>
      <c r="R288" s="33">
        <f t="shared" si="110"/>
        <v>0</v>
      </c>
      <c r="S288" s="33">
        <f t="shared" si="110"/>
        <v>0</v>
      </c>
      <c r="T288" s="33">
        <f t="shared" ref="T288:U288" si="111">SUM(T286:T287)</f>
        <v>0</v>
      </c>
      <c r="U288" s="33">
        <f t="shared" si="111"/>
        <v>0</v>
      </c>
      <c r="W288" s="1"/>
      <c r="X288" s="1"/>
      <c r="Y288" s="1"/>
    </row>
    <row r="289" spans="6:25">
      <c r="I289" s="31"/>
      <c r="J289" s="24"/>
      <c r="K289" s="24"/>
      <c r="L289" s="24"/>
      <c r="M289" s="24"/>
      <c r="N289" s="24"/>
      <c r="O289" s="24"/>
      <c r="P289" s="24"/>
      <c r="Q289" s="24"/>
      <c r="R289" s="24"/>
      <c r="S289" s="24"/>
      <c r="T289" s="24"/>
      <c r="U289" s="24"/>
      <c r="W289" s="1"/>
      <c r="X289" s="1"/>
      <c r="Y289" s="1"/>
    </row>
    <row r="290" spans="6:25" ht="18.75">
      <c r="F290" s="9" t="s">
        <v>30</v>
      </c>
      <c r="I290" s="2">
        <v>2011</v>
      </c>
      <c r="J290" s="2">
        <f>I290+1</f>
        <v>2012</v>
      </c>
      <c r="K290" s="2">
        <f t="shared" ref="K290" si="112">J290+1</f>
        <v>2013</v>
      </c>
      <c r="L290" s="2">
        <f t="shared" ref="L290" si="113">K290+1</f>
        <v>2014</v>
      </c>
      <c r="M290" s="2">
        <f t="shared" ref="M290" si="114">L290+1</f>
        <v>2015</v>
      </c>
      <c r="N290" s="2">
        <f t="shared" ref="N290" si="115">M290+1</f>
        <v>2016</v>
      </c>
      <c r="O290" s="2">
        <f t="shared" ref="O290" si="116">N290+1</f>
        <v>2017</v>
      </c>
      <c r="P290" s="2">
        <f t="shared" ref="P290" si="117">O290+1</f>
        <v>2018</v>
      </c>
      <c r="Q290" s="2">
        <f t="shared" ref="Q290" si="118">P290+1</f>
        <v>2019</v>
      </c>
      <c r="R290" s="2">
        <f t="shared" ref="R290" si="119">Q290+1</f>
        <v>2020</v>
      </c>
      <c r="S290" s="2">
        <f>R290+1</f>
        <v>2021</v>
      </c>
      <c r="T290" s="2">
        <f>S290+1</f>
        <v>2022</v>
      </c>
      <c r="U290" s="2">
        <f>T290+1</f>
        <v>2023</v>
      </c>
      <c r="W290" s="1"/>
      <c r="X290" s="1"/>
      <c r="Y290" s="1"/>
    </row>
    <row r="291" spans="6:25">
      <c r="G291" s="62" t="s">
        <v>47</v>
      </c>
      <c r="H291" s="57"/>
      <c r="I291" s="71"/>
      <c r="J291" s="72"/>
      <c r="K291" s="72"/>
      <c r="L291" s="72"/>
      <c r="M291" s="72"/>
      <c r="N291" s="72"/>
      <c r="O291" s="72"/>
      <c r="P291" s="72"/>
      <c r="Q291" s="72"/>
      <c r="R291" s="72"/>
      <c r="S291" s="72"/>
      <c r="T291" s="72"/>
      <c r="U291" s="73"/>
      <c r="W291" s="1"/>
      <c r="X291" s="1"/>
      <c r="Y291" s="1"/>
    </row>
    <row r="292" spans="6:25">
      <c r="G292" s="63" t="s">
        <v>23</v>
      </c>
      <c r="H292" s="135"/>
      <c r="I292" s="74"/>
      <c r="J292" s="75"/>
      <c r="K292" s="75"/>
      <c r="L292" s="75"/>
      <c r="M292" s="75"/>
      <c r="N292" s="75"/>
      <c r="O292" s="75"/>
      <c r="P292" s="75"/>
      <c r="Q292" s="75"/>
      <c r="R292" s="75"/>
      <c r="S292" s="75"/>
      <c r="T292" s="75"/>
      <c r="U292" s="76"/>
      <c r="W292" s="1"/>
      <c r="X292" s="1"/>
      <c r="Y292" s="1"/>
    </row>
    <row r="293" spans="6:25">
      <c r="G293" s="63" t="s">
        <v>89</v>
      </c>
      <c r="H293" s="134"/>
      <c r="I293" s="43"/>
      <c r="J293" s="44"/>
      <c r="K293" s="44"/>
      <c r="L293" s="44"/>
      <c r="M293" s="44"/>
      <c r="N293" s="44"/>
      <c r="O293" s="44"/>
      <c r="P293" s="44"/>
      <c r="Q293" s="44"/>
      <c r="R293" s="44"/>
      <c r="S293" s="44"/>
      <c r="T293" s="44"/>
      <c r="U293" s="45"/>
      <c r="W293" s="1"/>
      <c r="X293" s="1"/>
      <c r="Y293" s="1"/>
    </row>
    <row r="294" spans="6:25">
      <c r="G294" s="26" t="s">
        <v>90</v>
      </c>
      <c r="I294" s="7">
        <v>0</v>
      </c>
      <c r="J294" s="7">
        <v>0</v>
      </c>
      <c r="K294" s="7">
        <v>0</v>
      </c>
      <c r="L294" s="7">
        <v>0</v>
      </c>
      <c r="M294" s="7">
        <v>0</v>
      </c>
      <c r="N294" s="7">
        <v>0</v>
      </c>
      <c r="O294" s="7">
        <v>0</v>
      </c>
      <c r="P294" s="7">
        <v>0</v>
      </c>
      <c r="Q294" s="7">
        <v>0</v>
      </c>
      <c r="R294" s="7">
        <v>0</v>
      </c>
      <c r="S294" s="7">
        <v>0</v>
      </c>
      <c r="T294" s="7">
        <v>0</v>
      </c>
      <c r="U294" s="7">
        <v>0</v>
      </c>
      <c r="W294" s="1"/>
      <c r="X294" s="1"/>
      <c r="Y294" s="1"/>
    </row>
    <row r="295" spans="6:25">
      <c r="G295" s="6"/>
      <c r="I295" s="7"/>
      <c r="J295" s="7"/>
      <c r="K295" s="7"/>
      <c r="L295" s="23"/>
      <c r="M295" s="23"/>
      <c r="N295" s="23"/>
      <c r="O295" s="23"/>
      <c r="P295" s="23"/>
      <c r="Q295" s="23"/>
      <c r="R295" s="23"/>
      <c r="S295" s="23"/>
      <c r="T295" s="23"/>
      <c r="U295" s="23"/>
      <c r="W295" s="1"/>
      <c r="X295" s="1"/>
      <c r="Y295" s="1"/>
    </row>
    <row r="296" spans="6:25" ht="18.75">
      <c r="F296" s="9" t="s">
        <v>100</v>
      </c>
      <c r="I296" s="2">
        <f>'Facility Detail'!$G$3260</f>
        <v>2011</v>
      </c>
      <c r="J296" s="2">
        <f>I296+1</f>
        <v>2012</v>
      </c>
      <c r="K296" s="2">
        <f t="shared" ref="K296" si="120">J296+1</f>
        <v>2013</v>
      </c>
      <c r="L296" s="2">
        <f t="shared" ref="L296" si="121">K296+1</f>
        <v>2014</v>
      </c>
      <c r="M296" s="2">
        <f t="shared" ref="M296" si="122">L296+1</f>
        <v>2015</v>
      </c>
      <c r="N296" s="2">
        <f t="shared" ref="N296" si="123">M296+1</f>
        <v>2016</v>
      </c>
      <c r="O296" s="2">
        <f t="shared" ref="O296" si="124">N296+1</f>
        <v>2017</v>
      </c>
      <c r="P296" s="2">
        <f t="shared" ref="P296" si="125">O296+1</f>
        <v>2018</v>
      </c>
      <c r="Q296" s="2">
        <f t="shared" ref="Q296" si="126">P296+1</f>
        <v>2019</v>
      </c>
      <c r="R296" s="2">
        <f t="shared" ref="R296" si="127">Q296+1</f>
        <v>2020</v>
      </c>
      <c r="S296" s="2">
        <f>R296+1</f>
        <v>2021</v>
      </c>
      <c r="T296" s="2">
        <f>S296+1</f>
        <v>2022</v>
      </c>
      <c r="U296" s="2">
        <f>T296+1</f>
        <v>2023</v>
      </c>
      <c r="W296" s="1"/>
      <c r="X296" s="1"/>
      <c r="Y296" s="1"/>
    </row>
    <row r="297" spans="6:25">
      <c r="G297" s="62" t="s">
        <v>68</v>
      </c>
      <c r="H297" s="57"/>
      <c r="I297" s="230"/>
      <c r="J297" s="231">
        <f>I297</f>
        <v>0</v>
      </c>
      <c r="K297" s="232"/>
      <c r="L297" s="232"/>
      <c r="M297" s="232"/>
      <c r="N297" s="232"/>
      <c r="O297" s="232"/>
      <c r="P297" s="232"/>
      <c r="Q297" s="232"/>
      <c r="R297" s="232"/>
      <c r="S297" s="232"/>
      <c r="T297" s="217"/>
      <c r="U297" s="47"/>
      <c r="W297" s="1"/>
      <c r="X297" s="1"/>
      <c r="Y297" s="1"/>
    </row>
    <row r="298" spans="6:25">
      <c r="G298" s="62" t="s">
        <v>69</v>
      </c>
      <c r="H298" s="57"/>
      <c r="I298" s="229">
        <f>J298</f>
        <v>0</v>
      </c>
      <c r="J298" s="233"/>
      <c r="K298" s="234"/>
      <c r="L298" s="234"/>
      <c r="M298" s="234"/>
      <c r="N298" s="234"/>
      <c r="O298" s="234"/>
      <c r="P298" s="234"/>
      <c r="Q298" s="234"/>
      <c r="R298" s="234"/>
      <c r="S298" s="234"/>
      <c r="T298" s="218"/>
      <c r="U298" s="128"/>
      <c r="W298" s="1"/>
      <c r="X298" s="1"/>
      <c r="Y298" s="1"/>
    </row>
    <row r="299" spans="6:25">
      <c r="G299" s="62" t="s">
        <v>70</v>
      </c>
      <c r="H299" s="57"/>
      <c r="I299" s="235"/>
      <c r="J299" s="233">
        <f>J283</f>
        <v>0</v>
      </c>
      <c r="K299" s="236">
        <f>J299</f>
        <v>0</v>
      </c>
      <c r="L299" s="234"/>
      <c r="M299" s="234"/>
      <c r="N299" s="234"/>
      <c r="O299" s="234"/>
      <c r="P299" s="234"/>
      <c r="Q299" s="234"/>
      <c r="R299" s="234"/>
      <c r="S299" s="234"/>
      <c r="T299" s="218"/>
      <c r="U299" s="128"/>
      <c r="W299" s="1"/>
      <c r="X299" s="1"/>
      <c r="Y299" s="1"/>
    </row>
    <row r="300" spans="6:25">
      <c r="G300" s="62" t="s">
        <v>71</v>
      </c>
      <c r="H300" s="57"/>
      <c r="I300" s="235"/>
      <c r="J300" s="236">
        <f>K300</f>
        <v>0</v>
      </c>
      <c r="K300" s="237"/>
      <c r="L300" s="234"/>
      <c r="M300" s="234"/>
      <c r="N300" s="234"/>
      <c r="O300" s="234"/>
      <c r="P300" s="234"/>
      <c r="Q300" s="234"/>
      <c r="R300" s="234"/>
      <c r="S300" s="234"/>
      <c r="T300" s="218"/>
      <c r="U300" s="128"/>
      <c r="W300" s="1"/>
      <c r="X300" s="1"/>
      <c r="Y300" s="1"/>
    </row>
    <row r="301" spans="6:25">
      <c r="G301" s="62" t="s">
        <v>170</v>
      </c>
      <c r="I301" s="235"/>
      <c r="J301" s="238"/>
      <c r="K301" s="233">
        <f>K283</f>
        <v>0</v>
      </c>
      <c r="L301" s="239">
        <f>K301</f>
        <v>0</v>
      </c>
      <c r="M301" s="234"/>
      <c r="N301" s="234"/>
      <c r="O301" s="234"/>
      <c r="P301" s="234"/>
      <c r="Q301" s="234"/>
      <c r="R301" s="234"/>
      <c r="S301" s="234"/>
      <c r="T301" s="146"/>
      <c r="U301" s="122"/>
      <c r="W301" s="1"/>
      <c r="X301" s="1"/>
      <c r="Y301" s="1"/>
    </row>
    <row r="302" spans="6:25">
      <c r="G302" s="62" t="s">
        <v>171</v>
      </c>
      <c r="I302" s="235"/>
      <c r="J302" s="238"/>
      <c r="K302" s="236">
        <f>L302</f>
        <v>0</v>
      </c>
      <c r="L302" s="233"/>
      <c r="M302" s="234"/>
      <c r="N302" s="234"/>
      <c r="O302" s="234"/>
      <c r="P302" s="234"/>
      <c r="Q302" s="234"/>
      <c r="R302" s="234"/>
      <c r="S302" s="234"/>
      <c r="T302" s="146"/>
      <c r="U302" s="122"/>
      <c r="W302" s="1"/>
      <c r="X302" s="1"/>
      <c r="Y302" s="1"/>
    </row>
    <row r="303" spans="6:25">
      <c r="G303" s="62" t="s">
        <v>172</v>
      </c>
      <c r="I303" s="235"/>
      <c r="J303" s="238"/>
      <c r="K303" s="238"/>
      <c r="L303" s="233">
        <f>L283</f>
        <v>0</v>
      </c>
      <c r="M303" s="239">
        <f>L303</f>
        <v>0</v>
      </c>
      <c r="N303" s="238">
        <f>M303</f>
        <v>0</v>
      </c>
      <c r="O303" s="234"/>
      <c r="P303" s="234"/>
      <c r="Q303" s="234"/>
      <c r="R303" s="234"/>
      <c r="S303" s="234"/>
      <c r="T303" s="146"/>
      <c r="U303" s="122"/>
      <c r="W303" s="1"/>
      <c r="X303" s="1"/>
      <c r="Y303" s="1"/>
    </row>
    <row r="304" spans="6:25">
      <c r="G304" s="62" t="s">
        <v>173</v>
      </c>
      <c r="I304" s="235"/>
      <c r="J304" s="238"/>
      <c r="K304" s="238"/>
      <c r="L304" s="236"/>
      <c r="M304" s="233"/>
      <c r="N304" s="238"/>
      <c r="O304" s="234"/>
      <c r="P304" s="234"/>
      <c r="Q304" s="234"/>
      <c r="R304" s="234"/>
      <c r="S304" s="234"/>
      <c r="T304" s="146"/>
      <c r="U304" s="122"/>
      <c r="W304" s="1"/>
      <c r="X304" s="1"/>
      <c r="Y304" s="1"/>
    </row>
    <row r="305" spans="7:25">
      <c r="G305" s="62" t="s">
        <v>174</v>
      </c>
      <c r="I305" s="235"/>
      <c r="J305" s="238"/>
      <c r="K305" s="238"/>
      <c r="L305" s="238"/>
      <c r="M305" s="233">
        <v>0</v>
      </c>
      <c r="N305" s="239">
        <f>M305</f>
        <v>0</v>
      </c>
      <c r="O305" s="234"/>
      <c r="P305" s="234"/>
      <c r="Q305" s="234"/>
      <c r="R305" s="234"/>
      <c r="S305" s="234"/>
      <c r="T305" s="146"/>
      <c r="U305" s="122"/>
      <c r="W305" s="1"/>
      <c r="X305" s="1"/>
      <c r="Y305" s="1"/>
    </row>
    <row r="306" spans="7:25">
      <c r="G306" s="62" t="s">
        <v>175</v>
      </c>
      <c r="I306" s="235"/>
      <c r="J306" s="238"/>
      <c r="K306" s="238"/>
      <c r="L306" s="238"/>
      <c r="M306" s="236"/>
      <c r="N306" s="233"/>
      <c r="O306" s="234"/>
      <c r="P306" s="234"/>
      <c r="Q306" s="234"/>
      <c r="R306" s="234"/>
      <c r="S306" s="234"/>
      <c r="T306" s="146"/>
      <c r="U306" s="122"/>
      <c r="W306" s="1"/>
      <c r="X306" s="1"/>
      <c r="Y306" s="1"/>
    </row>
    <row r="307" spans="7:25">
      <c r="G307" s="62" t="s">
        <v>176</v>
      </c>
      <c r="I307" s="235"/>
      <c r="J307" s="238"/>
      <c r="K307" s="238"/>
      <c r="L307" s="238"/>
      <c r="M307" s="238"/>
      <c r="N307" s="240">
        <f>N283</f>
        <v>0</v>
      </c>
      <c r="O307" s="241">
        <f>N307</f>
        <v>0</v>
      </c>
      <c r="P307" s="234"/>
      <c r="Q307" s="234"/>
      <c r="R307" s="234"/>
      <c r="S307" s="234"/>
      <c r="T307" s="146"/>
      <c r="U307" s="122"/>
      <c r="W307" s="1"/>
      <c r="X307" s="1"/>
      <c r="Y307" s="1"/>
    </row>
    <row r="308" spans="7:25">
      <c r="G308" s="62" t="s">
        <v>167</v>
      </c>
      <c r="I308" s="235"/>
      <c r="J308" s="238"/>
      <c r="K308" s="238"/>
      <c r="L308" s="238"/>
      <c r="M308" s="238"/>
      <c r="N308" s="242"/>
      <c r="O308" s="243"/>
      <c r="P308" s="234"/>
      <c r="Q308" s="234"/>
      <c r="R308" s="234"/>
      <c r="S308" s="234"/>
      <c r="T308" s="146"/>
      <c r="U308" s="122"/>
      <c r="W308" s="1"/>
      <c r="X308" s="1"/>
      <c r="Y308" s="1"/>
    </row>
    <row r="309" spans="7:25">
      <c r="G309" s="62" t="s">
        <v>168</v>
      </c>
      <c r="I309" s="235"/>
      <c r="J309" s="238"/>
      <c r="K309" s="238"/>
      <c r="L309" s="238"/>
      <c r="M309" s="238"/>
      <c r="N309" s="238"/>
      <c r="O309" s="243">
        <f>O283</f>
        <v>0</v>
      </c>
      <c r="P309" s="241">
        <f>O309</f>
        <v>0</v>
      </c>
      <c r="Q309" s="234"/>
      <c r="R309" s="234"/>
      <c r="S309" s="234"/>
      <c r="T309" s="146"/>
      <c r="U309" s="122"/>
      <c r="W309" s="1"/>
      <c r="X309" s="1"/>
      <c r="Y309" s="1"/>
    </row>
    <row r="310" spans="7:25">
      <c r="G310" s="62" t="s">
        <v>185</v>
      </c>
      <c r="I310" s="235"/>
      <c r="J310" s="238"/>
      <c r="K310" s="238"/>
      <c r="L310" s="238"/>
      <c r="M310" s="238"/>
      <c r="N310" s="238"/>
      <c r="O310" s="241"/>
      <c r="P310" s="243"/>
      <c r="Q310" s="234"/>
      <c r="R310" s="234"/>
      <c r="S310" s="234"/>
      <c r="T310" s="146"/>
      <c r="U310" s="122"/>
      <c r="W310" s="1"/>
      <c r="X310" s="1"/>
      <c r="Y310" s="1"/>
    </row>
    <row r="311" spans="7:25">
      <c r="G311" s="62" t="s">
        <v>186</v>
      </c>
      <c r="I311" s="235"/>
      <c r="J311" s="238"/>
      <c r="K311" s="238"/>
      <c r="L311" s="238"/>
      <c r="M311" s="238"/>
      <c r="N311" s="238"/>
      <c r="O311" s="238"/>
      <c r="P311" s="243">
        <f>P283</f>
        <v>0</v>
      </c>
      <c r="Q311" s="236">
        <f>P311</f>
        <v>0</v>
      </c>
      <c r="R311" s="234"/>
      <c r="S311" s="234"/>
      <c r="T311" s="146"/>
      <c r="U311" s="122"/>
      <c r="W311" s="1"/>
      <c r="X311" s="1"/>
      <c r="Y311" s="1"/>
    </row>
    <row r="312" spans="7:25">
      <c r="G312" s="62" t="s">
        <v>187</v>
      </c>
      <c r="I312" s="235"/>
      <c r="J312" s="238"/>
      <c r="K312" s="238"/>
      <c r="L312" s="238"/>
      <c r="M312" s="238"/>
      <c r="N312" s="238"/>
      <c r="O312" s="238"/>
      <c r="P312" s="241"/>
      <c r="Q312" s="244"/>
      <c r="R312" s="234"/>
      <c r="S312" s="234"/>
      <c r="T312" s="146"/>
      <c r="U312" s="122"/>
      <c r="W312" s="1"/>
      <c r="X312" s="1"/>
      <c r="Y312" s="1"/>
    </row>
    <row r="313" spans="7:25">
      <c r="G313" s="62" t="s">
        <v>188</v>
      </c>
      <c r="I313" s="235"/>
      <c r="J313" s="238"/>
      <c r="K313" s="238"/>
      <c r="L313" s="238"/>
      <c r="M313" s="238"/>
      <c r="N313" s="238"/>
      <c r="O313" s="238"/>
      <c r="P313" s="238"/>
      <c r="Q313" s="243"/>
      <c r="R313" s="245">
        <v>0</v>
      </c>
      <c r="S313" s="234"/>
      <c r="T313" s="146"/>
      <c r="U313" s="122"/>
      <c r="W313" s="1"/>
      <c r="X313" s="1"/>
      <c r="Y313" s="1"/>
    </row>
    <row r="314" spans="7:25">
      <c r="G314" s="62" t="s">
        <v>189</v>
      </c>
      <c r="I314" s="235"/>
      <c r="J314" s="238"/>
      <c r="K314" s="238"/>
      <c r="L314" s="238"/>
      <c r="M314" s="238"/>
      <c r="N314" s="238"/>
      <c r="O314" s="238"/>
      <c r="P314" s="238"/>
      <c r="Q314" s="245"/>
      <c r="R314" s="246">
        <v>0</v>
      </c>
      <c r="S314" s="234"/>
      <c r="T314" s="146"/>
      <c r="U314" s="122"/>
      <c r="W314" s="1"/>
      <c r="X314" s="1"/>
      <c r="Y314" s="1"/>
    </row>
    <row r="315" spans="7:25">
      <c r="G315" s="62" t="s">
        <v>190</v>
      </c>
      <c r="I315" s="235"/>
      <c r="J315" s="238"/>
      <c r="K315" s="238"/>
      <c r="L315" s="238"/>
      <c r="M315" s="238"/>
      <c r="N315" s="238"/>
      <c r="O315" s="238"/>
      <c r="P315" s="238"/>
      <c r="Q315" s="238"/>
      <c r="R315" s="246">
        <v>0</v>
      </c>
      <c r="S315" s="245">
        <f>R315</f>
        <v>0</v>
      </c>
      <c r="T315" s="146"/>
      <c r="U315" s="122"/>
      <c r="W315" s="1"/>
      <c r="X315" s="1"/>
      <c r="Y315" s="1"/>
    </row>
    <row r="316" spans="7:25">
      <c r="G316" s="62" t="s">
        <v>199</v>
      </c>
      <c r="I316" s="235"/>
      <c r="J316" s="238"/>
      <c r="K316" s="238"/>
      <c r="L316" s="238"/>
      <c r="M316" s="238"/>
      <c r="N316" s="238"/>
      <c r="O316" s="238"/>
      <c r="P316" s="238"/>
      <c r="Q316" s="238"/>
      <c r="R316" s="241">
        <v>0</v>
      </c>
      <c r="S316" s="246">
        <v>0</v>
      </c>
      <c r="T316" s="146"/>
      <c r="U316" s="122"/>
      <c r="W316" s="1"/>
      <c r="X316" s="1"/>
      <c r="Y316" s="1"/>
    </row>
    <row r="317" spans="7:25">
      <c r="G317" s="62" t="s">
        <v>200</v>
      </c>
      <c r="I317" s="235"/>
      <c r="J317" s="238"/>
      <c r="K317" s="238"/>
      <c r="L317" s="238"/>
      <c r="M317" s="238"/>
      <c r="N317" s="238"/>
      <c r="O317" s="238"/>
      <c r="P317" s="238"/>
      <c r="Q317" s="238"/>
      <c r="R317" s="238"/>
      <c r="S317" s="246">
        <v>0</v>
      </c>
      <c r="T317" s="245">
        <f>S317</f>
        <v>0</v>
      </c>
      <c r="U317" s="122"/>
      <c r="W317" s="1"/>
      <c r="X317" s="1"/>
      <c r="Y317" s="1"/>
    </row>
    <row r="318" spans="7:25">
      <c r="G318" s="62" t="s">
        <v>308</v>
      </c>
      <c r="I318" s="235"/>
      <c r="J318" s="238"/>
      <c r="K318" s="238"/>
      <c r="L318" s="238"/>
      <c r="M318" s="238"/>
      <c r="N318" s="238"/>
      <c r="O318" s="238"/>
      <c r="P318" s="238"/>
      <c r="Q318" s="238"/>
      <c r="R318" s="238"/>
      <c r="S318" s="241">
        <f>T318</f>
        <v>0</v>
      </c>
      <c r="T318" s="246">
        <v>0</v>
      </c>
      <c r="U318" s="122"/>
      <c r="W318" s="1"/>
      <c r="X318" s="1"/>
      <c r="Y318" s="1"/>
    </row>
    <row r="319" spans="7:25">
      <c r="G319" s="62" t="s">
        <v>307</v>
      </c>
      <c r="I319" s="114"/>
      <c r="J319" s="107"/>
      <c r="K319" s="107"/>
      <c r="L319" s="107"/>
      <c r="M319" s="107"/>
      <c r="N319" s="107"/>
      <c r="O319" s="107"/>
      <c r="P319" s="107"/>
      <c r="Q319" s="107"/>
      <c r="R319" s="107"/>
      <c r="S319" s="107"/>
      <c r="T319" s="246">
        <v>0</v>
      </c>
      <c r="U319" s="453">
        <f>T319</f>
        <v>0</v>
      </c>
      <c r="W319" s="1"/>
      <c r="X319" s="1"/>
      <c r="Y319" s="1"/>
    </row>
    <row r="320" spans="7:25">
      <c r="G320" s="62" t="s">
        <v>318</v>
      </c>
      <c r="I320" s="114"/>
      <c r="J320" s="107"/>
      <c r="K320" s="107"/>
      <c r="L320" s="107"/>
      <c r="M320" s="107"/>
      <c r="N320" s="107"/>
      <c r="O320" s="107"/>
      <c r="P320" s="107"/>
      <c r="Q320" s="107"/>
      <c r="R320" s="107"/>
      <c r="S320" s="107"/>
      <c r="T320" s="241">
        <f>U320</f>
        <v>0</v>
      </c>
      <c r="U320" s="454">
        <v>0</v>
      </c>
      <c r="W320" s="1"/>
      <c r="X320" s="1"/>
      <c r="Y320" s="1"/>
    </row>
    <row r="321" spans="1:25">
      <c r="G321" s="62" t="s">
        <v>319</v>
      </c>
      <c r="I321" s="49"/>
      <c r="J321" s="194"/>
      <c r="K321" s="194"/>
      <c r="L321" s="194"/>
      <c r="M321" s="194"/>
      <c r="N321" s="194"/>
      <c r="O321" s="194"/>
      <c r="P321" s="194"/>
      <c r="Q321" s="194"/>
      <c r="R321" s="194"/>
      <c r="S321" s="194"/>
      <c r="T321" s="194"/>
      <c r="U321" s="455">
        <v>0</v>
      </c>
      <c r="W321" s="1"/>
      <c r="X321" s="1"/>
      <c r="Y321" s="1"/>
    </row>
    <row r="322" spans="1:25">
      <c r="B322" s="1" t="s">
        <v>207</v>
      </c>
      <c r="G322" s="26" t="s">
        <v>17</v>
      </c>
      <c r="I322" s="7"/>
      <c r="J322" s="7"/>
      <c r="K322" s="7"/>
      <c r="L322" s="7"/>
      <c r="M322" s="7"/>
      <c r="N322" s="7"/>
      <c r="O322" s="7"/>
      <c r="P322" s="247">
        <f>P309-P310-P311</f>
        <v>0</v>
      </c>
      <c r="Q322" s="247">
        <f>Q311-Q313+Q314</f>
        <v>0</v>
      </c>
      <c r="R322" s="247">
        <f>R313-R314</f>
        <v>0</v>
      </c>
      <c r="S322" s="7">
        <f>S315-S316+S317-S318</f>
        <v>0</v>
      </c>
      <c r="T322" s="7">
        <f>T317-T318-T319+T320</f>
        <v>0</v>
      </c>
      <c r="U322" s="7">
        <f>U319-U320-U321</f>
        <v>0</v>
      </c>
      <c r="W322" s="1"/>
      <c r="X322" s="1"/>
      <c r="Y322" s="1"/>
    </row>
    <row r="323" spans="1:25">
      <c r="G323" s="6"/>
      <c r="I323" s="154"/>
      <c r="J323" s="154"/>
      <c r="K323" s="154"/>
      <c r="L323" s="154"/>
      <c r="M323" s="154"/>
      <c r="N323" s="154"/>
      <c r="O323" s="154"/>
      <c r="P323" s="154"/>
      <c r="Q323" s="154"/>
      <c r="R323" s="154"/>
      <c r="S323" s="297"/>
      <c r="T323" s="154"/>
      <c r="U323" s="154"/>
      <c r="W323" s="1"/>
      <c r="X323" s="1"/>
      <c r="Y323" s="1"/>
    </row>
    <row r="324" spans="1:25">
      <c r="G324" s="26" t="s">
        <v>12</v>
      </c>
      <c r="H324" s="57"/>
      <c r="I324" s="155"/>
      <c r="J324" s="156"/>
      <c r="K324" s="156"/>
      <c r="L324" s="156"/>
      <c r="M324" s="156"/>
      <c r="N324" s="156"/>
      <c r="O324" s="156"/>
      <c r="P324" s="156"/>
      <c r="Q324" s="156"/>
      <c r="R324" s="156"/>
      <c r="S324" s="156"/>
      <c r="T324" s="156"/>
      <c r="U324" s="267"/>
      <c r="W324" s="1"/>
      <c r="X324" s="1"/>
      <c r="Y324" s="1"/>
    </row>
    <row r="325" spans="1:25">
      <c r="G325" s="6"/>
      <c r="I325" s="154"/>
      <c r="J325" s="154"/>
      <c r="K325" s="154"/>
      <c r="L325" s="154"/>
      <c r="M325" s="154"/>
      <c r="N325" s="154"/>
      <c r="O325" s="154"/>
      <c r="P325" s="154"/>
      <c r="Q325" s="154"/>
      <c r="R325" s="154"/>
      <c r="S325" s="154"/>
      <c r="T325" s="154"/>
      <c r="U325" s="154"/>
      <c r="W325" s="1"/>
      <c r="X325" s="1"/>
      <c r="Y325" s="1"/>
    </row>
    <row r="326" spans="1:25" ht="18.75">
      <c r="C326" s="1" t="s">
        <v>207</v>
      </c>
      <c r="D326" s="1" t="s">
        <v>237</v>
      </c>
      <c r="E326" s="1" t="s">
        <v>109</v>
      </c>
      <c r="F326" s="9" t="s">
        <v>26</v>
      </c>
      <c r="H326" s="57"/>
      <c r="I326" s="157">
        <f t="shared" ref="I326:S326" si="128" xml:space="preserve"> I283 + I288 - I294 + I322 + I324</f>
        <v>0</v>
      </c>
      <c r="J326" s="158">
        <f t="shared" si="128"/>
        <v>0</v>
      </c>
      <c r="K326" s="158">
        <f t="shared" si="128"/>
        <v>0</v>
      </c>
      <c r="L326" s="158">
        <f t="shared" si="128"/>
        <v>0</v>
      </c>
      <c r="M326" s="158">
        <f t="shared" si="128"/>
        <v>0</v>
      </c>
      <c r="N326" s="158">
        <f t="shared" si="128"/>
        <v>0</v>
      </c>
      <c r="O326" s="158">
        <f t="shared" si="128"/>
        <v>0</v>
      </c>
      <c r="P326" s="158">
        <f t="shared" si="128"/>
        <v>0</v>
      </c>
      <c r="Q326" s="158">
        <f t="shared" si="128"/>
        <v>0</v>
      </c>
      <c r="R326" s="158">
        <f t="shared" si="128"/>
        <v>0</v>
      </c>
      <c r="S326" s="158">
        <f t="shared" si="128"/>
        <v>11582</v>
      </c>
      <c r="T326" s="158">
        <f t="shared" ref="T326:U326" si="129" xml:space="preserve"> T283 + T288 - T294 + T322 + T324</f>
        <v>14117</v>
      </c>
      <c r="U326" s="268">
        <f t="shared" si="129"/>
        <v>15646</v>
      </c>
      <c r="W326" s="1"/>
      <c r="X326" s="1"/>
      <c r="Y326" s="1"/>
    </row>
    <row r="327" spans="1:25">
      <c r="G327" s="6"/>
      <c r="I327" s="7"/>
      <c r="J327" s="7"/>
      <c r="K327" s="7"/>
      <c r="L327" s="23"/>
      <c r="M327" s="23"/>
      <c r="N327" s="23"/>
      <c r="O327" s="23"/>
      <c r="P327" s="23"/>
      <c r="Q327" s="23"/>
      <c r="R327" s="23"/>
      <c r="S327" s="282"/>
      <c r="T327" s="23"/>
      <c r="U327" s="23"/>
      <c r="W327" s="1"/>
      <c r="X327" s="1"/>
      <c r="Y327" s="1"/>
    </row>
    <row r="328" spans="1:25" ht="15.75" thickBot="1">
      <c r="W328" s="1"/>
      <c r="X328" s="1"/>
      <c r="Y328" s="1"/>
    </row>
    <row r="329" spans="1:25" ht="15.75" thickBot="1">
      <c r="F329" s="8"/>
      <c r="G329" s="8"/>
      <c r="H329" s="8"/>
      <c r="I329" s="8"/>
      <c r="J329" s="8"/>
      <c r="K329" s="8"/>
      <c r="L329" s="8"/>
      <c r="M329" s="8"/>
      <c r="N329" s="8"/>
      <c r="O329" s="8"/>
      <c r="P329" s="8"/>
      <c r="Q329" s="8"/>
      <c r="R329" s="8"/>
      <c r="S329" s="290"/>
      <c r="T329" s="8"/>
      <c r="U329" s="8"/>
      <c r="W329" s="1"/>
      <c r="X329" s="1"/>
      <c r="Y329" s="1"/>
    </row>
    <row r="330" spans="1:25" ht="21.75" thickBot="1">
      <c r="F330" s="13" t="s">
        <v>4</v>
      </c>
      <c r="G330" s="13"/>
      <c r="H330" s="185" t="s">
        <v>208</v>
      </c>
      <c r="I330" s="183"/>
      <c r="W330" s="1"/>
      <c r="X330" s="1"/>
      <c r="Y330" s="1"/>
    </row>
    <row r="331" spans="1:25">
      <c r="W331" s="1"/>
      <c r="X331" s="1"/>
      <c r="Y331" s="1"/>
    </row>
    <row r="332" spans="1:25" ht="18.75">
      <c r="F332" s="9" t="s">
        <v>21</v>
      </c>
      <c r="G332" s="9"/>
      <c r="I332" s="2">
        <v>2011</v>
      </c>
      <c r="J332" s="2">
        <f>I332+1</f>
        <v>2012</v>
      </c>
      <c r="K332" s="2">
        <f t="shared" ref="K332" si="130">J332+1</f>
        <v>2013</v>
      </c>
      <c r="L332" s="2">
        <f t="shared" ref="L332" si="131">K332+1</f>
        <v>2014</v>
      </c>
      <c r="M332" s="2">
        <f t="shared" ref="M332" si="132">L332+1</f>
        <v>2015</v>
      </c>
      <c r="N332" s="2">
        <f t="shared" ref="N332" si="133">M332+1</f>
        <v>2016</v>
      </c>
      <c r="O332" s="2">
        <f t="shared" ref="O332" si="134">N332+1</f>
        <v>2017</v>
      </c>
      <c r="P332" s="2">
        <f t="shared" ref="P332" si="135">O332+1</f>
        <v>2018</v>
      </c>
      <c r="Q332" s="2">
        <f t="shared" ref="Q332" si="136">P332+1</f>
        <v>2019</v>
      </c>
      <c r="R332" s="2">
        <f t="shared" ref="R332" si="137">Q332+1</f>
        <v>2020</v>
      </c>
      <c r="S332" s="2">
        <f>R332+1</f>
        <v>2021</v>
      </c>
      <c r="T332" s="2">
        <f>S332+1</f>
        <v>2022</v>
      </c>
      <c r="U332" s="2">
        <f>T332+1</f>
        <v>2023</v>
      </c>
      <c r="W332" s="1"/>
      <c r="X332" s="1"/>
      <c r="Y332" s="1"/>
    </row>
    <row r="333" spans="1:25">
      <c r="G333" s="62" t="str">
        <f>"Total MWh Produced / Purchased from " &amp; H330</f>
        <v>Total MWh Produced / Purchased from Blundell II</v>
      </c>
      <c r="H333" s="57"/>
      <c r="I333" s="3"/>
      <c r="J333" s="4"/>
      <c r="K333" s="4"/>
      <c r="L333" s="4"/>
      <c r="M333" s="4"/>
      <c r="N333" s="4"/>
      <c r="O333" s="4"/>
      <c r="P333" s="4"/>
      <c r="Q333" s="4"/>
      <c r="R333" s="4"/>
      <c r="S333" s="4">
        <v>65905</v>
      </c>
      <c r="T333" s="4">
        <v>82827</v>
      </c>
      <c r="U333" s="5">
        <v>85058</v>
      </c>
      <c r="W333" s="1"/>
      <c r="X333" s="1"/>
      <c r="Y333" s="1"/>
    </row>
    <row r="334" spans="1:25">
      <c r="G334" s="62" t="s">
        <v>25</v>
      </c>
      <c r="H334" s="57"/>
      <c r="I334" s="269"/>
      <c r="J334" s="41"/>
      <c r="K334" s="41"/>
      <c r="L334" s="41"/>
      <c r="M334" s="41"/>
      <c r="N334" s="41"/>
      <c r="O334" s="41"/>
      <c r="P334" s="41"/>
      <c r="Q334" s="41"/>
      <c r="R334" s="41"/>
      <c r="S334" s="41">
        <v>1</v>
      </c>
      <c r="T334" s="41">
        <v>1</v>
      </c>
      <c r="U334" s="41">
        <v>1</v>
      </c>
      <c r="W334" s="1"/>
      <c r="X334" s="1"/>
      <c r="Y334" s="1"/>
    </row>
    <row r="335" spans="1:25">
      <c r="G335" s="62" t="s">
        <v>20</v>
      </c>
      <c r="H335" s="57"/>
      <c r="I335" s="270"/>
      <c r="J335" s="36"/>
      <c r="K335" s="36"/>
      <c r="L335" s="36"/>
      <c r="M335" s="36"/>
      <c r="N335" s="36"/>
      <c r="O335" s="36"/>
      <c r="P335" s="36"/>
      <c r="Q335" s="36"/>
      <c r="R335" s="36"/>
      <c r="S335" s="36">
        <f>S2</f>
        <v>7.9696892166366717E-2</v>
      </c>
      <c r="T335" s="36">
        <f>T2</f>
        <v>7.8737918965874246E-2</v>
      </c>
      <c r="U335" s="36">
        <f>U2</f>
        <v>7.8407467372863096E-2</v>
      </c>
      <c r="W335" s="1"/>
      <c r="X335" s="1"/>
      <c r="Y335" s="1"/>
    </row>
    <row r="336" spans="1:25">
      <c r="A336" s="1" t="s">
        <v>208</v>
      </c>
      <c r="G336" s="26" t="s">
        <v>22</v>
      </c>
      <c r="H336" s="6"/>
      <c r="I336" s="30">
        <v>0</v>
      </c>
      <c r="J336" s="30">
        <v>0</v>
      </c>
      <c r="K336" s="30">
        <v>0</v>
      </c>
      <c r="L336" s="30">
        <v>0</v>
      </c>
      <c r="M336" s="30">
        <v>0</v>
      </c>
      <c r="N336" s="161">
        <v>0</v>
      </c>
      <c r="O336" s="161">
        <v>0</v>
      </c>
      <c r="P336" s="161">
        <v>0</v>
      </c>
      <c r="Q336" s="161">
        <f>Q333*Q335</f>
        <v>0</v>
      </c>
      <c r="R336" s="161">
        <f>R333*R335</f>
        <v>0</v>
      </c>
      <c r="S336" s="161">
        <f>ROUND(S333*S335,0)</f>
        <v>5252</v>
      </c>
      <c r="T336" s="161">
        <f>ROUNDUP(T333*T335,0)</f>
        <v>6522</v>
      </c>
      <c r="U336" s="161">
        <f>ROUNDDOWN(U333*U335,0)</f>
        <v>6669</v>
      </c>
      <c r="W336" s="1"/>
      <c r="X336" s="1"/>
      <c r="Y336" s="1"/>
    </row>
    <row r="337" spans="6:25">
      <c r="I337" s="29"/>
      <c r="J337" s="29"/>
      <c r="K337" s="29"/>
      <c r="L337" s="29"/>
      <c r="M337" s="29"/>
      <c r="N337" s="20"/>
      <c r="O337" s="20"/>
      <c r="P337" s="20"/>
      <c r="Q337" s="20"/>
      <c r="R337" s="20"/>
      <c r="S337" s="20"/>
      <c r="T337" s="20"/>
      <c r="U337" s="20"/>
      <c r="W337" s="1"/>
      <c r="X337" s="1"/>
      <c r="Y337" s="1"/>
    </row>
    <row r="338" spans="6:25" ht="18.75">
      <c r="F338" s="9" t="s">
        <v>118</v>
      </c>
      <c r="I338" s="2">
        <v>2011</v>
      </c>
      <c r="J338" s="2">
        <f>I338+1</f>
        <v>2012</v>
      </c>
      <c r="K338" s="2">
        <f t="shared" ref="K338" si="138">J338+1</f>
        <v>2013</v>
      </c>
      <c r="L338" s="2">
        <f t="shared" ref="L338" si="139">K338+1</f>
        <v>2014</v>
      </c>
      <c r="M338" s="2">
        <f t="shared" ref="M338" si="140">L338+1</f>
        <v>2015</v>
      </c>
      <c r="N338" s="2">
        <f t="shared" ref="N338" si="141">M338+1</f>
        <v>2016</v>
      </c>
      <c r="O338" s="2">
        <f t="shared" ref="O338" si="142">N338+1</f>
        <v>2017</v>
      </c>
      <c r="P338" s="2">
        <f t="shared" ref="P338" si="143">O338+1</f>
        <v>2018</v>
      </c>
      <c r="Q338" s="2">
        <f t="shared" ref="Q338" si="144">P338+1</f>
        <v>2019</v>
      </c>
      <c r="R338" s="2">
        <f t="shared" ref="R338" si="145">Q338+1</f>
        <v>2020</v>
      </c>
      <c r="S338" s="2">
        <f>R338+1</f>
        <v>2021</v>
      </c>
      <c r="T338" s="2">
        <f>S338+1</f>
        <v>2022</v>
      </c>
      <c r="U338" s="2">
        <f>T338+1</f>
        <v>2023</v>
      </c>
      <c r="W338" s="1"/>
      <c r="X338" s="1"/>
      <c r="Y338" s="1"/>
    </row>
    <row r="339" spans="6:25">
      <c r="G339" s="62" t="s">
        <v>10</v>
      </c>
      <c r="H339" s="57"/>
      <c r="I339" s="38">
        <f>IF($J11 = "Eligible", I336 * 'Facility Detail'!$G$3257, 0 )</f>
        <v>0</v>
      </c>
      <c r="J339" s="11">
        <f>IF($J11 = "Eligible", J336 * 'Facility Detail'!$G$3257, 0 )</f>
        <v>0</v>
      </c>
      <c r="K339" s="11">
        <f>IF($J11 = "Eligible", K336 * 'Facility Detail'!$G$3257, 0 )</f>
        <v>0</v>
      </c>
      <c r="L339" s="11">
        <f>IF($J11 = "Eligible", L336 * 'Facility Detail'!$G$3257, 0 )</f>
        <v>0</v>
      </c>
      <c r="M339" s="11">
        <f>IF($J11 = "Eligible", M336 * 'Facility Detail'!$G$3257, 0 )</f>
        <v>0</v>
      </c>
      <c r="N339" s="11">
        <f>IF($J11 = "Eligible", N336 * 'Facility Detail'!$G$3257, 0 )</f>
        <v>0</v>
      </c>
      <c r="O339" s="11">
        <f>IF($J11 = "Eligible", O336 * 'Facility Detail'!$G$3257, 0 )</f>
        <v>0</v>
      </c>
      <c r="P339" s="11">
        <f>IF($J11 = "Eligible", P336 * 'Facility Detail'!$G$3257, 0 )</f>
        <v>0</v>
      </c>
      <c r="Q339" s="11">
        <f>IF($J11 = "Eligible", Q336 * 'Facility Detail'!$G$3257, 0 )</f>
        <v>0</v>
      </c>
      <c r="R339" s="11">
        <f>IF($J11 = "Eligible", R336 * 'Facility Detail'!$G$3257, 0 )</f>
        <v>0</v>
      </c>
      <c r="S339" s="11">
        <f>IF($J11 = "Eligible", S336 * 'Facility Detail'!$G$3257, 0 )</f>
        <v>0</v>
      </c>
      <c r="T339" s="11">
        <f>IF($J11 = "Eligible", T336 * 'Facility Detail'!$G$3257, 0 )</f>
        <v>0</v>
      </c>
      <c r="U339" s="223">
        <f>IF($J11 = "Eligible", U336 * 'Facility Detail'!$G$3257, 0 )</f>
        <v>0</v>
      </c>
      <c r="W339" s="1"/>
      <c r="X339" s="1"/>
      <c r="Y339" s="1"/>
    </row>
    <row r="340" spans="6:25">
      <c r="G340" s="62" t="s">
        <v>6</v>
      </c>
      <c r="H340" s="57"/>
      <c r="I340" s="39">
        <f t="shared" ref="I340:U340" si="146">IF($K11= "Eligible", I336, 0 )</f>
        <v>0</v>
      </c>
      <c r="J340" s="193">
        <f t="shared" si="146"/>
        <v>0</v>
      </c>
      <c r="K340" s="193">
        <f t="shared" si="146"/>
        <v>0</v>
      </c>
      <c r="L340" s="193">
        <f t="shared" si="146"/>
        <v>0</v>
      </c>
      <c r="M340" s="193">
        <f t="shared" si="146"/>
        <v>0</v>
      </c>
      <c r="N340" s="193">
        <f t="shared" si="146"/>
        <v>0</v>
      </c>
      <c r="O340" s="193">
        <f t="shared" si="146"/>
        <v>0</v>
      </c>
      <c r="P340" s="193">
        <f t="shared" si="146"/>
        <v>0</v>
      </c>
      <c r="Q340" s="193">
        <f t="shared" si="146"/>
        <v>0</v>
      </c>
      <c r="R340" s="193">
        <f t="shared" si="146"/>
        <v>0</v>
      </c>
      <c r="S340" s="193">
        <f t="shared" si="146"/>
        <v>0</v>
      </c>
      <c r="T340" s="193">
        <f t="shared" si="146"/>
        <v>0</v>
      </c>
      <c r="U340" s="224">
        <f t="shared" si="146"/>
        <v>0</v>
      </c>
      <c r="W340" s="1"/>
      <c r="X340" s="1"/>
      <c r="Y340" s="1"/>
    </row>
    <row r="341" spans="6:25">
      <c r="G341" s="26" t="s">
        <v>120</v>
      </c>
      <c r="H341" s="6"/>
      <c r="I341" s="32">
        <f>SUM(I339:I340)</f>
        <v>0</v>
      </c>
      <c r="J341" s="33">
        <f t="shared" ref="J341:S341" si="147">SUM(J339:J340)</f>
        <v>0</v>
      </c>
      <c r="K341" s="33">
        <f t="shared" si="147"/>
        <v>0</v>
      </c>
      <c r="L341" s="33">
        <f t="shared" si="147"/>
        <v>0</v>
      </c>
      <c r="M341" s="33">
        <f t="shared" si="147"/>
        <v>0</v>
      </c>
      <c r="N341" s="33">
        <f t="shared" si="147"/>
        <v>0</v>
      </c>
      <c r="O341" s="33">
        <f t="shared" si="147"/>
        <v>0</v>
      </c>
      <c r="P341" s="33">
        <f t="shared" si="147"/>
        <v>0</v>
      </c>
      <c r="Q341" s="33">
        <f t="shared" si="147"/>
        <v>0</v>
      </c>
      <c r="R341" s="33">
        <f t="shared" si="147"/>
        <v>0</v>
      </c>
      <c r="S341" s="33">
        <f t="shared" si="147"/>
        <v>0</v>
      </c>
      <c r="T341" s="33">
        <f t="shared" ref="T341:U341" si="148">SUM(T339:T340)</f>
        <v>0</v>
      </c>
      <c r="U341" s="33">
        <f t="shared" si="148"/>
        <v>0</v>
      </c>
      <c r="W341" s="1"/>
      <c r="X341" s="1"/>
      <c r="Y341" s="1"/>
    </row>
    <row r="342" spans="6:25">
      <c r="I342" s="31"/>
      <c r="J342" s="24"/>
      <c r="K342" s="24"/>
      <c r="L342" s="24"/>
      <c r="M342" s="24"/>
      <c r="N342" s="24"/>
      <c r="O342" s="24"/>
      <c r="P342" s="24"/>
      <c r="Q342" s="24"/>
      <c r="R342" s="24"/>
      <c r="S342" s="24"/>
      <c r="T342" s="24"/>
      <c r="U342" s="24"/>
      <c r="W342" s="1"/>
      <c r="X342" s="1"/>
      <c r="Y342" s="1"/>
    </row>
    <row r="343" spans="6:25" ht="18.75">
      <c r="F343" s="9" t="s">
        <v>30</v>
      </c>
      <c r="I343" s="2">
        <v>2011</v>
      </c>
      <c r="J343" s="2">
        <f>I343+1</f>
        <v>2012</v>
      </c>
      <c r="K343" s="2">
        <f t="shared" ref="K343" si="149">J343+1</f>
        <v>2013</v>
      </c>
      <c r="L343" s="2">
        <f t="shared" ref="L343" si="150">K343+1</f>
        <v>2014</v>
      </c>
      <c r="M343" s="2">
        <f t="shared" ref="M343" si="151">L343+1</f>
        <v>2015</v>
      </c>
      <c r="N343" s="2">
        <f t="shared" ref="N343" si="152">M343+1</f>
        <v>2016</v>
      </c>
      <c r="O343" s="2">
        <f t="shared" ref="O343" si="153">N343+1</f>
        <v>2017</v>
      </c>
      <c r="P343" s="2">
        <f t="shared" ref="P343" si="154">O343+1</f>
        <v>2018</v>
      </c>
      <c r="Q343" s="2">
        <f t="shared" ref="Q343" si="155">P343+1</f>
        <v>2019</v>
      </c>
      <c r="R343" s="2">
        <f t="shared" ref="R343" si="156">Q343+1</f>
        <v>2020</v>
      </c>
      <c r="S343" s="2">
        <f>R343+1</f>
        <v>2021</v>
      </c>
      <c r="T343" s="2">
        <f>S343+1</f>
        <v>2022</v>
      </c>
      <c r="U343" s="2">
        <f>T343+1</f>
        <v>2023</v>
      </c>
      <c r="W343" s="1"/>
      <c r="X343" s="1"/>
      <c r="Y343" s="1"/>
    </row>
    <row r="344" spans="6:25">
      <c r="G344" s="62" t="s">
        <v>47</v>
      </c>
      <c r="H344" s="57"/>
      <c r="I344" s="71"/>
      <c r="J344" s="72"/>
      <c r="K344" s="72"/>
      <c r="L344" s="72"/>
      <c r="M344" s="72"/>
      <c r="N344" s="72"/>
      <c r="O344" s="72"/>
      <c r="P344" s="72"/>
      <c r="Q344" s="72"/>
      <c r="R344" s="72"/>
      <c r="S344" s="72"/>
      <c r="T344" s="72"/>
      <c r="U344" s="73"/>
      <c r="W344" s="1"/>
      <c r="X344" s="1"/>
      <c r="Y344" s="1"/>
    </row>
    <row r="345" spans="6:25">
      <c r="G345" s="63" t="s">
        <v>23</v>
      </c>
      <c r="H345" s="135"/>
      <c r="I345" s="74"/>
      <c r="J345" s="75"/>
      <c r="K345" s="75"/>
      <c r="L345" s="75"/>
      <c r="M345" s="75"/>
      <c r="N345" s="75"/>
      <c r="O345" s="75"/>
      <c r="P345" s="75"/>
      <c r="Q345" s="75"/>
      <c r="R345" s="75"/>
      <c r="S345" s="75"/>
      <c r="T345" s="75"/>
      <c r="U345" s="76"/>
      <c r="W345" s="1"/>
      <c r="X345" s="1"/>
      <c r="Y345" s="1"/>
    </row>
    <row r="346" spans="6:25">
      <c r="G346" s="63" t="s">
        <v>89</v>
      </c>
      <c r="H346" s="134"/>
      <c r="I346" s="43"/>
      <c r="J346" s="44"/>
      <c r="K346" s="44"/>
      <c r="L346" s="44"/>
      <c r="M346" s="44"/>
      <c r="N346" s="44"/>
      <c r="O346" s="44"/>
      <c r="P346" s="44"/>
      <c r="Q346" s="44"/>
      <c r="R346" s="44"/>
      <c r="S346" s="44"/>
      <c r="T346" s="44"/>
      <c r="U346" s="45"/>
      <c r="W346" s="1"/>
      <c r="X346" s="1"/>
      <c r="Y346" s="1"/>
    </row>
    <row r="347" spans="6:25">
      <c r="G347" s="26" t="s">
        <v>90</v>
      </c>
      <c r="I347" s="7">
        <v>0</v>
      </c>
      <c r="J347" s="7">
        <v>0</v>
      </c>
      <c r="K347" s="7">
        <v>0</v>
      </c>
      <c r="L347" s="7">
        <v>0</v>
      </c>
      <c r="M347" s="7">
        <v>0</v>
      </c>
      <c r="N347" s="7">
        <v>0</v>
      </c>
      <c r="O347" s="7">
        <v>0</v>
      </c>
      <c r="P347" s="7">
        <v>0</v>
      </c>
      <c r="Q347" s="7">
        <v>0</v>
      </c>
      <c r="R347" s="7">
        <v>0</v>
      </c>
      <c r="S347" s="7">
        <v>0</v>
      </c>
      <c r="T347" s="7">
        <v>0</v>
      </c>
      <c r="U347" s="7">
        <v>0</v>
      </c>
      <c r="W347" s="1"/>
      <c r="X347" s="1"/>
      <c r="Y347" s="1"/>
    </row>
    <row r="348" spans="6:25">
      <c r="G348" s="6"/>
      <c r="I348" s="7"/>
      <c r="J348" s="7"/>
      <c r="K348" s="7"/>
      <c r="L348" s="23"/>
      <c r="M348" s="23"/>
      <c r="N348" s="23"/>
      <c r="O348" s="23"/>
      <c r="P348" s="23"/>
      <c r="Q348" s="23"/>
      <c r="R348" s="23"/>
      <c r="S348" s="23"/>
      <c r="T348" s="23"/>
      <c r="U348" s="23"/>
      <c r="W348" s="1"/>
      <c r="X348" s="1"/>
      <c r="Y348" s="1"/>
    </row>
    <row r="349" spans="6:25" ht="18.75">
      <c r="F349" s="9" t="s">
        <v>100</v>
      </c>
      <c r="I349" s="2">
        <f>'Facility Detail'!$G$3260</f>
        <v>2011</v>
      </c>
      <c r="J349" s="2">
        <f>I349+1</f>
        <v>2012</v>
      </c>
      <c r="K349" s="2">
        <f t="shared" ref="K349" si="157">J349+1</f>
        <v>2013</v>
      </c>
      <c r="L349" s="2">
        <f t="shared" ref="L349" si="158">K349+1</f>
        <v>2014</v>
      </c>
      <c r="M349" s="2">
        <f t="shared" ref="M349" si="159">L349+1</f>
        <v>2015</v>
      </c>
      <c r="N349" s="2">
        <f t="shared" ref="N349" si="160">M349+1</f>
        <v>2016</v>
      </c>
      <c r="O349" s="2">
        <f t="shared" ref="O349" si="161">N349+1</f>
        <v>2017</v>
      </c>
      <c r="P349" s="2">
        <f t="shared" ref="P349" si="162">O349+1</f>
        <v>2018</v>
      </c>
      <c r="Q349" s="2">
        <f t="shared" ref="Q349" si="163">P349+1</f>
        <v>2019</v>
      </c>
      <c r="R349" s="2">
        <f t="shared" ref="R349" si="164">Q349+1</f>
        <v>2020</v>
      </c>
      <c r="S349" s="2">
        <f>R349+1</f>
        <v>2021</v>
      </c>
      <c r="T349" s="2">
        <f>S349+1</f>
        <v>2022</v>
      </c>
      <c r="U349" s="2">
        <f>T349+1</f>
        <v>2023</v>
      </c>
      <c r="W349" s="1"/>
      <c r="X349" s="1"/>
      <c r="Y349" s="1"/>
    </row>
    <row r="350" spans="6:25">
      <c r="G350" s="62" t="s">
        <v>68</v>
      </c>
      <c r="H350" s="57"/>
      <c r="I350" s="230"/>
      <c r="J350" s="231">
        <f>I350</f>
        <v>0</v>
      </c>
      <c r="K350" s="232"/>
      <c r="L350" s="232"/>
      <c r="M350" s="232"/>
      <c r="N350" s="232"/>
      <c r="O350" s="232"/>
      <c r="P350" s="232"/>
      <c r="Q350" s="232"/>
      <c r="R350" s="232"/>
      <c r="S350" s="232"/>
      <c r="T350" s="217"/>
      <c r="U350" s="47"/>
      <c r="W350" s="1"/>
      <c r="X350" s="1"/>
      <c r="Y350" s="1"/>
    </row>
    <row r="351" spans="6:25">
      <c r="G351" s="62" t="s">
        <v>69</v>
      </c>
      <c r="H351" s="57"/>
      <c r="I351" s="229">
        <f>J351</f>
        <v>0</v>
      </c>
      <c r="J351" s="233"/>
      <c r="K351" s="234"/>
      <c r="L351" s="234"/>
      <c r="M351" s="234"/>
      <c r="N351" s="234"/>
      <c r="O351" s="234"/>
      <c r="P351" s="234"/>
      <c r="Q351" s="234"/>
      <c r="R351" s="234"/>
      <c r="S351" s="234"/>
      <c r="T351" s="218"/>
      <c r="U351" s="128"/>
      <c r="W351" s="1"/>
      <c r="X351" s="1"/>
      <c r="Y351" s="1"/>
    </row>
    <row r="352" spans="6:25">
      <c r="G352" s="62" t="s">
        <v>70</v>
      </c>
      <c r="H352" s="57"/>
      <c r="I352" s="235"/>
      <c r="J352" s="233">
        <f>J336</f>
        <v>0</v>
      </c>
      <c r="K352" s="236">
        <f>J352</f>
        <v>0</v>
      </c>
      <c r="L352" s="234"/>
      <c r="M352" s="234"/>
      <c r="N352" s="234"/>
      <c r="O352" s="234"/>
      <c r="P352" s="234"/>
      <c r="Q352" s="234"/>
      <c r="R352" s="234"/>
      <c r="S352" s="234"/>
      <c r="T352" s="218"/>
      <c r="U352" s="128"/>
      <c r="W352" s="1"/>
      <c r="X352" s="1"/>
      <c r="Y352" s="1"/>
    </row>
    <row r="353" spans="7:25">
      <c r="G353" s="62" t="s">
        <v>71</v>
      </c>
      <c r="H353" s="57"/>
      <c r="I353" s="235"/>
      <c r="J353" s="236">
        <f>K353</f>
        <v>0</v>
      </c>
      <c r="K353" s="237"/>
      <c r="L353" s="234"/>
      <c r="M353" s="234"/>
      <c r="N353" s="234"/>
      <c r="O353" s="234"/>
      <c r="P353" s="234"/>
      <c r="Q353" s="234"/>
      <c r="R353" s="234"/>
      <c r="S353" s="234"/>
      <c r="T353" s="218"/>
      <c r="U353" s="128"/>
      <c r="W353" s="1"/>
      <c r="X353" s="1"/>
      <c r="Y353" s="1"/>
    </row>
    <row r="354" spans="7:25">
      <c r="G354" s="62" t="s">
        <v>170</v>
      </c>
      <c r="I354" s="235"/>
      <c r="J354" s="238"/>
      <c r="K354" s="233">
        <f>K336</f>
        <v>0</v>
      </c>
      <c r="L354" s="239">
        <f>K354</f>
        <v>0</v>
      </c>
      <c r="M354" s="234"/>
      <c r="N354" s="234"/>
      <c r="O354" s="234"/>
      <c r="P354" s="234"/>
      <c r="Q354" s="234"/>
      <c r="R354" s="234"/>
      <c r="S354" s="234"/>
      <c r="T354" s="146"/>
      <c r="U354" s="122"/>
      <c r="W354" s="1"/>
      <c r="X354" s="1"/>
      <c r="Y354" s="1"/>
    </row>
    <row r="355" spans="7:25">
      <c r="G355" s="62" t="s">
        <v>171</v>
      </c>
      <c r="I355" s="235"/>
      <c r="J355" s="238"/>
      <c r="K355" s="236">
        <f>L355</f>
        <v>0</v>
      </c>
      <c r="L355" s="233"/>
      <c r="M355" s="234"/>
      <c r="N355" s="234"/>
      <c r="O355" s="234"/>
      <c r="P355" s="234"/>
      <c r="Q355" s="234"/>
      <c r="R355" s="234"/>
      <c r="S355" s="234"/>
      <c r="T355" s="146"/>
      <c r="U355" s="122"/>
      <c r="W355" s="1"/>
      <c r="X355" s="1"/>
      <c r="Y355" s="1"/>
    </row>
    <row r="356" spans="7:25">
      <c r="G356" s="62" t="s">
        <v>172</v>
      </c>
      <c r="I356" s="235"/>
      <c r="J356" s="238"/>
      <c r="K356" s="238"/>
      <c r="L356" s="233">
        <f>L336</f>
        <v>0</v>
      </c>
      <c r="M356" s="239">
        <f>L356</f>
        <v>0</v>
      </c>
      <c r="N356" s="238">
        <f>M356</f>
        <v>0</v>
      </c>
      <c r="O356" s="234"/>
      <c r="P356" s="234"/>
      <c r="Q356" s="234"/>
      <c r="R356" s="234"/>
      <c r="S356" s="234"/>
      <c r="T356" s="146"/>
      <c r="U356" s="122"/>
      <c r="W356" s="1"/>
      <c r="X356" s="1"/>
      <c r="Y356" s="1"/>
    </row>
    <row r="357" spans="7:25">
      <c r="G357" s="62" t="s">
        <v>173</v>
      </c>
      <c r="I357" s="235"/>
      <c r="J357" s="238"/>
      <c r="K357" s="238"/>
      <c r="L357" s="236"/>
      <c r="M357" s="233"/>
      <c r="N357" s="238"/>
      <c r="O357" s="234"/>
      <c r="P357" s="234"/>
      <c r="Q357" s="234"/>
      <c r="R357" s="234"/>
      <c r="S357" s="234"/>
      <c r="T357" s="146"/>
      <c r="U357" s="122"/>
      <c r="W357" s="1"/>
      <c r="X357" s="1"/>
      <c r="Y357" s="1"/>
    </row>
    <row r="358" spans="7:25">
      <c r="G358" s="62" t="s">
        <v>174</v>
      </c>
      <c r="I358" s="235"/>
      <c r="J358" s="238"/>
      <c r="K358" s="238"/>
      <c r="L358" s="238"/>
      <c r="M358" s="233">
        <v>0</v>
      </c>
      <c r="N358" s="239">
        <f>M358</f>
        <v>0</v>
      </c>
      <c r="O358" s="234"/>
      <c r="P358" s="234"/>
      <c r="Q358" s="234"/>
      <c r="R358" s="234"/>
      <c r="S358" s="234"/>
      <c r="T358" s="146"/>
      <c r="U358" s="122"/>
      <c r="W358" s="1"/>
      <c r="X358" s="1"/>
      <c r="Y358" s="1"/>
    </row>
    <row r="359" spans="7:25">
      <c r="G359" s="62" t="s">
        <v>175</v>
      </c>
      <c r="I359" s="235"/>
      <c r="J359" s="238"/>
      <c r="K359" s="238"/>
      <c r="L359" s="238"/>
      <c r="M359" s="236"/>
      <c r="N359" s="233"/>
      <c r="O359" s="234"/>
      <c r="P359" s="234"/>
      <c r="Q359" s="234"/>
      <c r="R359" s="234"/>
      <c r="S359" s="234"/>
      <c r="T359" s="146"/>
      <c r="U359" s="122"/>
      <c r="W359" s="1"/>
      <c r="X359" s="1"/>
      <c r="Y359" s="1"/>
    </row>
    <row r="360" spans="7:25">
      <c r="G360" s="62" t="s">
        <v>176</v>
      </c>
      <c r="I360" s="235"/>
      <c r="J360" s="238"/>
      <c r="K360" s="238"/>
      <c r="L360" s="238"/>
      <c r="M360" s="238"/>
      <c r="N360" s="240">
        <f>N336</f>
        <v>0</v>
      </c>
      <c r="O360" s="241">
        <f>N360</f>
        <v>0</v>
      </c>
      <c r="P360" s="234"/>
      <c r="Q360" s="234"/>
      <c r="R360" s="234"/>
      <c r="S360" s="234"/>
      <c r="T360" s="146"/>
      <c r="U360" s="122"/>
      <c r="W360" s="1"/>
      <c r="X360" s="1"/>
      <c r="Y360" s="1"/>
    </row>
    <row r="361" spans="7:25">
      <c r="G361" s="62" t="s">
        <v>167</v>
      </c>
      <c r="I361" s="235"/>
      <c r="J361" s="238"/>
      <c r="K361" s="238"/>
      <c r="L361" s="238"/>
      <c r="M361" s="238"/>
      <c r="N361" s="242"/>
      <c r="O361" s="243"/>
      <c r="P361" s="234"/>
      <c r="Q361" s="234"/>
      <c r="R361" s="234"/>
      <c r="S361" s="234"/>
      <c r="T361" s="146"/>
      <c r="U361" s="122"/>
      <c r="W361" s="1"/>
      <c r="X361" s="1"/>
      <c r="Y361" s="1"/>
    </row>
    <row r="362" spans="7:25">
      <c r="G362" s="62" t="s">
        <v>168</v>
      </c>
      <c r="I362" s="235"/>
      <c r="J362" s="238"/>
      <c r="K362" s="238"/>
      <c r="L362" s="238"/>
      <c r="M362" s="238"/>
      <c r="N362" s="238"/>
      <c r="O362" s="243">
        <f>O336</f>
        <v>0</v>
      </c>
      <c r="P362" s="241">
        <f>O362</f>
        <v>0</v>
      </c>
      <c r="Q362" s="234"/>
      <c r="R362" s="234"/>
      <c r="S362" s="234"/>
      <c r="T362" s="146"/>
      <c r="U362" s="122"/>
      <c r="W362" s="1"/>
      <c r="X362" s="1"/>
      <c r="Y362" s="1"/>
    </row>
    <row r="363" spans="7:25">
      <c r="G363" s="62" t="s">
        <v>185</v>
      </c>
      <c r="I363" s="235"/>
      <c r="J363" s="238"/>
      <c r="K363" s="238"/>
      <c r="L363" s="238"/>
      <c r="M363" s="238"/>
      <c r="N363" s="238"/>
      <c r="O363" s="241"/>
      <c r="P363" s="243"/>
      <c r="Q363" s="234"/>
      <c r="R363" s="234"/>
      <c r="S363" s="234"/>
      <c r="T363" s="146"/>
      <c r="U363" s="122"/>
      <c r="W363" s="1"/>
      <c r="X363" s="1"/>
      <c r="Y363" s="1"/>
    </row>
    <row r="364" spans="7:25">
      <c r="G364" s="62" t="s">
        <v>186</v>
      </c>
      <c r="I364" s="235"/>
      <c r="J364" s="238"/>
      <c r="K364" s="238"/>
      <c r="L364" s="238"/>
      <c r="M364" s="238"/>
      <c r="N364" s="238"/>
      <c r="O364" s="238"/>
      <c r="P364" s="243">
        <f>P336</f>
        <v>0</v>
      </c>
      <c r="Q364" s="236">
        <f>P364</f>
        <v>0</v>
      </c>
      <c r="R364" s="234"/>
      <c r="S364" s="234"/>
      <c r="T364" s="146"/>
      <c r="U364" s="122"/>
      <c r="W364" s="1"/>
      <c r="X364" s="1"/>
      <c r="Y364" s="1"/>
    </row>
    <row r="365" spans="7:25">
      <c r="G365" s="62" t="s">
        <v>187</v>
      </c>
      <c r="I365" s="235"/>
      <c r="J365" s="238"/>
      <c r="K365" s="238"/>
      <c r="L365" s="238"/>
      <c r="M365" s="238"/>
      <c r="N365" s="238"/>
      <c r="O365" s="238"/>
      <c r="P365" s="241"/>
      <c r="Q365" s="244"/>
      <c r="R365" s="234"/>
      <c r="S365" s="234"/>
      <c r="T365" s="146"/>
      <c r="U365" s="122"/>
      <c r="W365" s="1"/>
      <c r="X365" s="1"/>
      <c r="Y365" s="1"/>
    </row>
    <row r="366" spans="7:25">
      <c r="G366" s="62" t="s">
        <v>188</v>
      </c>
      <c r="I366" s="235"/>
      <c r="J366" s="238"/>
      <c r="K366" s="238"/>
      <c r="L366" s="238"/>
      <c r="M366" s="238"/>
      <c r="N366" s="238"/>
      <c r="O366" s="238"/>
      <c r="P366" s="238"/>
      <c r="Q366" s="243"/>
      <c r="R366" s="245"/>
      <c r="S366" s="234"/>
      <c r="T366" s="146"/>
      <c r="U366" s="122"/>
      <c r="W366" s="1"/>
      <c r="X366" s="1"/>
      <c r="Y366" s="1"/>
    </row>
    <row r="367" spans="7:25">
      <c r="G367" s="62" t="s">
        <v>189</v>
      </c>
      <c r="I367" s="235"/>
      <c r="J367" s="238"/>
      <c r="K367" s="238"/>
      <c r="L367" s="238"/>
      <c r="M367" s="238"/>
      <c r="N367" s="238"/>
      <c r="O367" s="238"/>
      <c r="P367" s="238"/>
      <c r="Q367" s="245"/>
      <c r="R367" s="246"/>
      <c r="S367" s="234"/>
      <c r="T367" s="146"/>
      <c r="U367" s="122"/>
      <c r="W367" s="1"/>
      <c r="X367" s="1"/>
      <c r="Y367" s="1"/>
    </row>
    <row r="368" spans="7:25">
      <c r="G368" s="62" t="s">
        <v>190</v>
      </c>
      <c r="I368" s="235"/>
      <c r="J368" s="238"/>
      <c r="K368" s="238"/>
      <c r="L368" s="238"/>
      <c r="M368" s="238"/>
      <c r="N368" s="238"/>
      <c r="O368" s="238"/>
      <c r="P368" s="238"/>
      <c r="Q368" s="238"/>
      <c r="R368" s="246">
        <v>0</v>
      </c>
      <c r="S368" s="245">
        <f>R368</f>
        <v>0</v>
      </c>
      <c r="T368" s="146"/>
      <c r="U368" s="122"/>
      <c r="W368" s="1"/>
      <c r="X368" s="1"/>
      <c r="Y368" s="1"/>
    </row>
    <row r="369" spans="2:25">
      <c r="G369" s="62" t="s">
        <v>199</v>
      </c>
      <c r="I369" s="235"/>
      <c r="J369" s="238"/>
      <c r="K369" s="238"/>
      <c r="L369" s="238"/>
      <c r="M369" s="238"/>
      <c r="N369" s="238"/>
      <c r="O369" s="238"/>
      <c r="P369" s="238"/>
      <c r="Q369" s="238"/>
      <c r="R369" s="241">
        <v>0</v>
      </c>
      <c r="S369" s="246">
        <v>0</v>
      </c>
      <c r="T369" s="146"/>
      <c r="U369" s="122"/>
      <c r="W369" s="1"/>
      <c r="X369" s="1"/>
      <c r="Y369" s="1"/>
    </row>
    <row r="370" spans="2:25">
      <c r="G370" s="62" t="s">
        <v>200</v>
      </c>
      <c r="I370" s="235"/>
      <c r="J370" s="238"/>
      <c r="K370" s="238"/>
      <c r="L370" s="238"/>
      <c r="M370" s="238"/>
      <c r="N370" s="238"/>
      <c r="O370" s="238"/>
      <c r="P370" s="238"/>
      <c r="Q370" s="238"/>
      <c r="R370" s="238"/>
      <c r="S370" s="246">
        <v>0</v>
      </c>
      <c r="T370" s="245">
        <f>S370</f>
        <v>0</v>
      </c>
      <c r="U370" s="122"/>
      <c r="W370" s="1"/>
      <c r="X370" s="1"/>
      <c r="Y370" s="1"/>
    </row>
    <row r="371" spans="2:25">
      <c r="G371" s="62" t="s">
        <v>308</v>
      </c>
      <c r="I371" s="235"/>
      <c r="J371" s="238"/>
      <c r="K371" s="238"/>
      <c r="L371" s="238"/>
      <c r="M371" s="238"/>
      <c r="N371" s="238"/>
      <c r="O371" s="238"/>
      <c r="P371" s="238"/>
      <c r="Q371" s="238"/>
      <c r="R371" s="238"/>
      <c r="S371" s="241">
        <f>T371</f>
        <v>0</v>
      </c>
      <c r="T371" s="246">
        <v>0</v>
      </c>
      <c r="U371" s="122"/>
      <c r="W371" s="1"/>
      <c r="X371" s="1"/>
      <c r="Y371" s="1"/>
    </row>
    <row r="372" spans="2:25">
      <c r="G372" s="62" t="s">
        <v>307</v>
      </c>
      <c r="I372" s="114"/>
      <c r="J372" s="107"/>
      <c r="K372" s="107"/>
      <c r="L372" s="107"/>
      <c r="M372" s="107"/>
      <c r="N372" s="107"/>
      <c r="O372" s="107"/>
      <c r="P372" s="107"/>
      <c r="Q372" s="107"/>
      <c r="R372" s="107"/>
      <c r="S372" s="107"/>
      <c r="T372" s="246">
        <v>0</v>
      </c>
      <c r="U372" s="453">
        <f>T372</f>
        <v>0</v>
      </c>
      <c r="W372" s="1"/>
      <c r="X372" s="1"/>
      <c r="Y372" s="1"/>
    </row>
    <row r="373" spans="2:25">
      <c r="G373" s="62" t="s">
        <v>318</v>
      </c>
      <c r="I373" s="114"/>
      <c r="J373" s="107"/>
      <c r="K373" s="107"/>
      <c r="L373" s="107"/>
      <c r="M373" s="107"/>
      <c r="N373" s="107"/>
      <c r="O373" s="107"/>
      <c r="P373" s="107"/>
      <c r="Q373" s="107"/>
      <c r="R373" s="107"/>
      <c r="S373" s="107"/>
      <c r="T373" s="241">
        <f>U373</f>
        <v>0</v>
      </c>
      <c r="U373" s="454">
        <v>0</v>
      </c>
      <c r="W373" s="1"/>
      <c r="X373" s="1"/>
      <c r="Y373" s="1"/>
    </row>
    <row r="374" spans="2:25">
      <c r="G374" s="62" t="s">
        <v>319</v>
      </c>
      <c r="I374" s="49"/>
      <c r="J374" s="194"/>
      <c r="K374" s="194"/>
      <c r="L374" s="194"/>
      <c r="M374" s="194"/>
      <c r="N374" s="194"/>
      <c r="O374" s="194"/>
      <c r="P374" s="194"/>
      <c r="Q374" s="194"/>
      <c r="R374" s="194"/>
      <c r="S374" s="194"/>
      <c r="T374" s="194"/>
      <c r="U374" s="455">
        <v>0</v>
      </c>
      <c r="W374" s="1"/>
      <c r="X374" s="1"/>
      <c r="Y374" s="1"/>
    </row>
    <row r="375" spans="2:25">
      <c r="B375" s="1" t="s">
        <v>208</v>
      </c>
      <c r="G375" s="26" t="s">
        <v>17</v>
      </c>
      <c r="I375" s="7"/>
      <c r="J375" s="7"/>
      <c r="K375" s="7"/>
      <c r="L375" s="7"/>
      <c r="M375" s="7"/>
      <c r="N375" s="7"/>
      <c r="O375" s="7"/>
      <c r="P375" s="247">
        <f>P362-P363-P364</f>
        <v>0</v>
      </c>
      <c r="Q375" s="247">
        <f>Q364-Q366+Q367</f>
        <v>0</v>
      </c>
      <c r="R375" s="247">
        <f>R366-R367</f>
        <v>0</v>
      </c>
      <c r="S375" s="7">
        <f>S368-S369+S370-S371</f>
        <v>0</v>
      </c>
      <c r="T375" s="7">
        <f>T370-T371-T372+T373</f>
        <v>0</v>
      </c>
      <c r="U375" s="7">
        <f>U372-U373-U374</f>
        <v>0</v>
      </c>
      <c r="W375" s="1"/>
      <c r="X375" s="1"/>
      <c r="Y375" s="1"/>
    </row>
    <row r="376" spans="2:25">
      <c r="G376" s="6"/>
      <c r="I376" s="154"/>
      <c r="J376" s="154"/>
      <c r="K376" s="154"/>
      <c r="L376" s="154"/>
      <c r="M376" s="154"/>
      <c r="N376" s="154"/>
      <c r="O376" s="154"/>
      <c r="P376" s="154"/>
      <c r="Q376" s="154"/>
      <c r="R376" s="154"/>
      <c r="S376" s="154"/>
      <c r="T376" s="154"/>
      <c r="U376" s="154"/>
      <c r="W376" s="1"/>
      <c r="X376" s="1"/>
      <c r="Y376" s="1"/>
    </row>
    <row r="377" spans="2:25">
      <c r="G377" s="26" t="s">
        <v>12</v>
      </c>
      <c r="H377" s="57"/>
      <c r="I377" s="155"/>
      <c r="J377" s="156"/>
      <c r="K377" s="156"/>
      <c r="L377" s="156"/>
      <c r="M377" s="156"/>
      <c r="N377" s="156"/>
      <c r="O377" s="156"/>
      <c r="P377" s="156"/>
      <c r="Q377" s="156"/>
      <c r="R377" s="156"/>
      <c r="S377" s="156"/>
      <c r="T377" s="156"/>
      <c r="U377" s="267"/>
      <c r="W377" s="1"/>
      <c r="X377" s="1"/>
      <c r="Y377" s="1"/>
    </row>
    <row r="378" spans="2:25">
      <c r="G378" s="6"/>
      <c r="I378" s="154"/>
      <c r="J378" s="154"/>
      <c r="K378" s="154"/>
      <c r="L378" s="154"/>
      <c r="M378" s="154"/>
      <c r="N378" s="154"/>
      <c r="O378" s="154"/>
      <c r="P378" s="154"/>
      <c r="Q378" s="154"/>
      <c r="R378" s="154"/>
      <c r="S378" s="154"/>
      <c r="T378" s="154"/>
      <c r="U378" s="154"/>
      <c r="W378" s="1"/>
      <c r="X378" s="1"/>
      <c r="Y378" s="1"/>
    </row>
    <row r="379" spans="2:25" ht="18.75">
      <c r="C379" s="1" t="s">
        <v>208</v>
      </c>
      <c r="D379" s="1" t="s">
        <v>238</v>
      </c>
      <c r="E379" s="1" t="s">
        <v>109</v>
      </c>
      <c r="F379" s="9" t="s">
        <v>26</v>
      </c>
      <c r="H379" s="57"/>
      <c r="I379" s="157">
        <f t="shared" ref="I379:S379" si="165" xml:space="preserve"> I336 + I341 - I347 + I375 + I377</f>
        <v>0</v>
      </c>
      <c r="J379" s="158">
        <f t="shared" si="165"/>
        <v>0</v>
      </c>
      <c r="K379" s="158">
        <f t="shared" si="165"/>
        <v>0</v>
      </c>
      <c r="L379" s="158">
        <f t="shared" si="165"/>
        <v>0</v>
      </c>
      <c r="M379" s="158">
        <f t="shared" si="165"/>
        <v>0</v>
      </c>
      <c r="N379" s="158">
        <f t="shared" si="165"/>
        <v>0</v>
      </c>
      <c r="O379" s="158">
        <f t="shared" si="165"/>
        <v>0</v>
      </c>
      <c r="P379" s="158">
        <f t="shared" si="165"/>
        <v>0</v>
      </c>
      <c r="Q379" s="158">
        <f t="shared" si="165"/>
        <v>0</v>
      </c>
      <c r="R379" s="158">
        <f t="shared" si="165"/>
        <v>0</v>
      </c>
      <c r="S379" s="158">
        <f t="shared" si="165"/>
        <v>5252</v>
      </c>
      <c r="T379" s="158">
        <f t="shared" ref="T379:U379" si="166" xml:space="preserve"> T336 + T341 - T347 + T375 + T377</f>
        <v>6522</v>
      </c>
      <c r="U379" s="268">
        <f t="shared" si="166"/>
        <v>6669</v>
      </c>
      <c r="W379" s="1"/>
      <c r="X379" s="1"/>
      <c r="Y379" s="1"/>
    </row>
    <row r="380" spans="2:25">
      <c r="G380" s="6"/>
      <c r="I380" s="7"/>
      <c r="J380" s="7"/>
      <c r="K380" s="7"/>
      <c r="L380" s="23"/>
      <c r="M380" s="23"/>
      <c r="N380" s="23"/>
      <c r="O380" s="23"/>
      <c r="P380" s="23"/>
      <c r="Q380" s="23"/>
      <c r="R380" s="23"/>
      <c r="S380" s="282"/>
      <c r="T380" s="23"/>
      <c r="U380" s="23"/>
      <c r="W380" s="1"/>
      <c r="X380" s="1"/>
      <c r="Y380" s="1"/>
    </row>
    <row r="381" spans="2:25" ht="15.75" thickBot="1">
      <c r="W381" s="1"/>
      <c r="X381" s="1"/>
      <c r="Y381" s="1"/>
    </row>
    <row r="382" spans="2:25" ht="15.75" thickBot="1">
      <c r="F382" s="8"/>
      <c r="G382" s="8"/>
      <c r="H382" s="8"/>
      <c r="I382" s="8"/>
      <c r="J382" s="8"/>
      <c r="K382" s="8"/>
      <c r="L382" s="8"/>
      <c r="M382" s="8"/>
      <c r="N382" s="8"/>
      <c r="O382" s="8"/>
      <c r="P382" s="8"/>
      <c r="Q382" s="8"/>
      <c r="R382" s="8"/>
      <c r="S382" s="290"/>
      <c r="T382" s="8"/>
      <c r="U382" s="8"/>
      <c r="W382" s="1"/>
      <c r="X382" s="1"/>
      <c r="Y382" s="1"/>
    </row>
    <row r="383" spans="2:25" ht="21.75" thickBot="1">
      <c r="F383" s="13" t="s">
        <v>4</v>
      </c>
      <c r="G383" s="13"/>
      <c r="H383" s="176" t="s">
        <v>179</v>
      </c>
      <c r="I383" s="182"/>
      <c r="W383" s="1"/>
      <c r="X383" s="1"/>
      <c r="Y383" s="1"/>
    </row>
    <row r="384" spans="2:25">
      <c r="S384" s="1"/>
      <c r="W384" s="1"/>
      <c r="X384" s="1"/>
      <c r="Y384" s="1"/>
    </row>
    <row r="385" spans="1:25" ht="18.75">
      <c r="F385" s="9" t="s">
        <v>21</v>
      </c>
      <c r="G385" s="9"/>
      <c r="I385" s="2">
        <v>2011</v>
      </c>
      <c r="J385" s="2">
        <f>I385+1</f>
        <v>2012</v>
      </c>
      <c r="K385" s="2">
        <f t="shared" ref="K385:R385" si="167">J385+1</f>
        <v>2013</v>
      </c>
      <c r="L385" s="2">
        <f t="shared" si="167"/>
        <v>2014</v>
      </c>
      <c r="M385" s="2">
        <f t="shared" si="167"/>
        <v>2015</v>
      </c>
      <c r="N385" s="2">
        <f t="shared" si="167"/>
        <v>2016</v>
      </c>
      <c r="O385" s="2">
        <f t="shared" si="167"/>
        <v>2017</v>
      </c>
      <c r="P385" s="2">
        <f t="shared" si="167"/>
        <v>2018</v>
      </c>
      <c r="Q385" s="2">
        <f t="shared" si="167"/>
        <v>2019</v>
      </c>
      <c r="R385" s="2">
        <f t="shared" si="167"/>
        <v>2020</v>
      </c>
      <c r="S385" s="2">
        <f>R385+1</f>
        <v>2021</v>
      </c>
      <c r="T385" s="2">
        <f>S385+1</f>
        <v>2022</v>
      </c>
      <c r="U385" s="2">
        <f>T385+1</f>
        <v>2023</v>
      </c>
      <c r="W385" s="1"/>
      <c r="X385" s="1"/>
      <c r="Y385" s="1"/>
    </row>
    <row r="386" spans="1:25">
      <c r="G386" s="62" t="str">
        <f>"Total MWh Produced / Purchased from " &amp; H383</f>
        <v>Total MWh Produced / Purchased from Bly Solar</v>
      </c>
      <c r="H386" s="57"/>
      <c r="I386" s="3"/>
      <c r="J386" s="4"/>
      <c r="K386" s="4"/>
      <c r="L386" s="4"/>
      <c r="M386" s="4"/>
      <c r="N386" s="4"/>
      <c r="O386" s="4">
        <v>0</v>
      </c>
      <c r="P386" s="4">
        <v>586.55600000000004</v>
      </c>
      <c r="Q386" s="4">
        <v>18041</v>
      </c>
      <c r="R386" s="4">
        <v>20552</v>
      </c>
      <c r="S386" s="4">
        <v>20443</v>
      </c>
      <c r="T386" s="4">
        <v>20259</v>
      </c>
      <c r="U386" s="5">
        <v>19250</v>
      </c>
      <c r="W386" s="1"/>
      <c r="X386" s="1"/>
      <c r="Y386" s="1"/>
    </row>
    <row r="387" spans="1:25">
      <c r="G387" s="62" t="s">
        <v>25</v>
      </c>
      <c r="H387" s="57"/>
      <c r="I387" s="269"/>
      <c r="J387" s="41"/>
      <c r="K387" s="41"/>
      <c r="L387" s="41"/>
      <c r="M387" s="41"/>
      <c r="N387" s="41"/>
      <c r="O387" s="41"/>
      <c r="P387" s="41">
        <v>1</v>
      </c>
      <c r="Q387" s="41">
        <v>1</v>
      </c>
      <c r="R387" s="309">
        <v>1</v>
      </c>
      <c r="S387" s="41">
        <v>1</v>
      </c>
      <c r="T387" s="41">
        <v>1</v>
      </c>
      <c r="U387" s="41">
        <v>1</v>
      </c>
      <c r="W387" s="1"/>
      <c r="X387" s="1"/>
      <c r="Y387" s="1"/>
    </row>
    <row r="388" spans="1:25">
      <c r="G388" s="62" t="s">
        <v>20</v>
      </c>
      <c r="H388" s="57"/>
      <c r="I388" s="270"/>
      <c r="J388" s="36"/>
      <c r="K388" s="36"/>
      <c r="L388" s="36"/>
      <c r="M388" s="36"/>
      <c r="N388" s="36"/>
      <c r="O388" s="36"/>
      <c r="P388" s="36">
        <f>P79</f>
        <v>0.22007817037432531</v>
      </c>
      <c r="Q388" s="36">
        <f>Q79</f>
        <v>0.2223660721260575</v>
      </c>
      <c r="R388" s="310">
        <f>R79</f>
        <v>0.22351563443464154</v>
      </c>
      <c r="S388" s="36">
        <f>S3</f>
        <v>0.22350374113192695</v>
      </c>
      <c r="T388" s="36">
        <f>T3</f>
        <v>0.2182158613775059</v>
      </c>
      <c r="U388" s="36">
        <f>U3</f>
        <v>0.21529999999999999</v>
      </c>
      <c r="W388" s="1"/>
      <c r="X388" s="1"/>
      <c r="Y388" s="1"/>
    </row>
    <row r="389" spans="1:25">
      <c r="A389" s="1" t="s">
        <v>179</v>
      </c>
      <c r="G389" s="26" t="s">
        <v>22</v>
      </c>
      <c r="H389" s="6"/>
      <c r="I389" s="30">
        <v>0</v>
      </c>
      <c r="J389" s="30">
        <v>0</v>
      </c>
      <c r="K389" s="30">
        <v>0</v>
      </c>
      <c r="L389" s="30">
        <v>0</v>
      </c>
      <c r="M389" s="30">
        <v>0</v>
      </c>
      <c r="N389" s="161">
        <v>0</v>
      </c>
      <c r="O389" s="161">
        <f>O386*O388</f>
        <v>0</v>
      </c>
      <c r="P389" s="161">
        <v>129</v>
      </c>
      <c r="Q389" s="161">
        <f>Q386*Q388</f>
        <v>4011.7063072262031</v>
      </c>
      <c r="R389" s="161">
        <f>R386*R388</f>
        <v>4593.6933189007532</v>
      </c>
      <c r="S389" s="161">
        <f>ROUNDDOWN(S386*S388,0)</f>
        <v>4569</v>
      </c>
      <c r="T389" s="161">
        <f>ROUNDUP(T386*T388,0)</f>
        <v>4421</v>
      </c>
      <c r="U389" s="161">
        <f>ROUNDUP(U386*U388,0)</f>
        <v>4145</v>
      </c>
      <c r="W389" s="1"/>
      <c r="X389" s="1"/>
      <c r="Y389" s="1"/>
    </row>
    <row r="390" spans="1:25">
      <c r="I390" s="29"/>
      <c r="J390" s="29"/>
      <c r="K390" s="29"/>
      <c r="L390" s="29"/>
      <c r="M390" s="29"/>
      <c r="N390" s="20"/>
      <c r="O390" s="20"/>
      <c r="P390" s="20"/>
      <c r="Q390" s="20"/>
      <c r="R390" s="20"/>
      <c r="S390" s="20"/>
      <c r="T390" s="20"/>
      <c r="U390" s="20"/>
      <c r="W390" s="1"/>
      <c r="X390" s="1"/>
      <c r="Y390" s="1"/>
    </row>
    <row r="391" spans="1:25" ht="18.75">
      <c r="F391" s="9" t="s">
        <v>118</v>
      </c>
      <c r="I391" s="2">
        <v>2011</v>
      </c>
      <c r="J391" s="2">
        <f>I391+1</f>
        <v>2012</v>
      </c>
      <c r="K391" s="2">
        <f t="shared" ref="K391:R391" si="168">J391+1</f>
        <v>2013</v>
      </c>
      <c r="L391" s="2">
        <f t="shared" si="168"/>
        <v>2014</v>
      </c>
      <c r="M391" s="2">
        <f t="shared" si="168"/>
        <v>2015</v>
      </c>
      <c r="N391" s="2">
        <f t="shared" si="168"/>
        <v>2016</v>
      </c>
      <c r="O391" s="2">
        <f t="shared" si="168"/>
        <v>2017</v>
      </c>
      <c r="P391" s="2">
        <f t="shared" si="168"/>
        <v>2018</v>
      </c>
      <c r="Q391" s="2">
        <f t="shared" si="168"/>
        <v>2019</v>
      </c>
      <c r="R391" s="2">
        <f t="shared" si="168"/>
        <v>2020</v>
      </c>
      <c r="S391" s="2">
        <f>R391+1</f>
        <v>2021</v>
      </c>
      <c r="T391" s="2">
        <f>S391+1</f>
        <v>2022</v>
      </c>
      <c r="U391" s="2">
        <f>T391+1</f>
        <v>2023</v>
      </c>
      <c r="W391" s="1"/>
      <c r="X391" s="1"/>
      <c r="Y391" s="1"/>
    </row>
    <row r="392" spans="1:25">
      <c r="G392" s="62" t="s">
        <v>10</v>
      </c>
      <c r="H392" s="57"/>
      <c r="I392" s="38">
        <f>IF($J12 = "Eligible", I389 * 'Facility Detail'!$G$3257, 0 )</f>
        <v>0</v>
      </c>
      <c r="J392" s="11">
        <f>IF($J12 = "Eligible", J389 * 'Facility Detail'!$G$3257, 0 )</f>
        <v>0</v>
      </c>
      <c r="K392" s="11">
        <f>IF($J12 = "Eligible", K389 * 'Facility Detail'!$G$3257, 0 )</f>
        <v>0</v>
      </c>
      <c r="L392" s="11">
        <f>IF($J12 = "Eligible", L389 * 'Facility Detail'!$G$3257, 0 )</f>
        <v>0</v>
      </c>
      <c r="M392" s="11">
        <f>IF($J12 = "Eligible", M389 * 'Facility Detail'!$G$3257, 0 )</f>
        <v>0</v>
      </c>
      <c r="N392" s="11">
        <f>IF($J12 = "Eligible", N389 * 'Facility Detail'!$G$3257, 0 )</f>
        <v>0</v>
      </c>
      <c r="O392" s="11">
        <f>IF($J12 = "Eligible", O389 * 'Facility Detail'!$G$3257, 0 )</f>
        <v>0</v>
      </c>
      <c r="P392" s="11">
        <f>IF($J12 = "Eligible", P389 * 'Facility Detail'!$G$3257, 0 )</f>
        <v>0</v>
      </c>
      <c r="Q392" s="11">
        <f>IF($J12 = "Eligible", Q389 * 'Facility Detail'!$G$3257, 0 )</f>
        <v>0</v>
      </c>
      <c r="R392" s="11">
        <f>IF($J12 = "Eligible", R389 * 'Facility Detail'!$G$3257, 0 )</f>
        <v>0</v>
      </c>
      <c r="S392" s="11">
        <f>IF($J12 = "Eligible", S389 * 'Facility Detail'!$G$3257, 0 )</f>
        <v>0</v>
      </c>
      <c r="T392" s="11">
        <f>IF($J12 = "Eligible", T389 * 'Facility Detail'!$G$3257, 0 )</f>
        <v>0</v>
      </c>
      <c r="U392" s="223">
        <f>IF($J12 = "Eligible", U389 * 'Facility Detail'!$G$3257, 0 )</f>
        <v>0</v>
      </c>
      <c r="W392" s="1"/>
      <c r="X392" s="1"/>
      <c r="Y392" s="1"/>
    </row>
    <row r="393" spans="1:25">
      <c r="G393" s="62" t="s">
        <v>6</v>
      </c>
      <c r="H393" s="57"/>
      <c r="I393" s="39">
        <f t="shared" ref="I393:U393" si="169">IF($K12= "Eligible", I389, 0 )</f>
        <v>0</v>
      </c>
      <c r="J393" s="193">
        <f t="shared" si="169"/>
        <v>0</v>
      </c>
      <c r="K393" s="193">
        <f t="shared" si="169"/>
        <v>0</v>
      </c>
      <c r="L393" s="193">
        <f t="shared" si="169"/>
        <v>0</v>
      </c>
      <c r="M393" s="193">
        <f t="shared" si="169"/>
        <v>0</v>
      </c>
      <c r="N393" s="193">
        <f t="shared" si="169"/>
        <v>0</v>
      </c>
      <c r="O393" s="193">
        <f t="shared" si="169"/>
        <v>0</v>
      </c>
      <c r="P393" s="193">
        <f t="shared" si="169"/>
        <v>0</v>
      </c>
      <c r="Q393" s="193">
        <f t="shared" si="169"/>
        <v>0</v>
      </c>
      <c r="R393" s="193">
        <f t="shared" si="169"/>
        <v>0</v>
      </c>
      <c r="S393" s="193">
        <f t="shared" si="169"/>
        <v>0</v>
      </c>
      <c r="T393" s="193">
        <f t="shared" si="169"/>
        <v>0</v>
      </c>
      <c r="U393" s="224">
        <f t="shared" si="169"/>
        <v>0</v>
      </c>
      <c r="W393" s="1"/>
      <c r="X393" s="1"/>
      <c r="Y393" s="1"/>
    </row>
    <row r="394" spans="1:25">
      <c r="G394" s="26" t="s">
        <v>120</v>
      </c>
      <c r="H394" s="6"/>
      <c r="I394" s="32">
        <f>SUM(I392:I393)</f>
        <v>0</v>
      </c>
      <c r="J394" s="33">
        <f t="shared" ref="J394:S394" si="170">SUM(J392:J393)</f>
        <v>0</v>
      </c>
      <c r="K394" s="33">
        <f t="shared" si="170"/>
        <v>0</v>
      </c>
      <c r="L394" s="33">
        <f t="shared" si="170"/>
        <v>0</v>
      </c>
      <c r="M394" s="33">
        <f t="shared" si="170"/>
        <v>0</v>
      </c>
      <c r="N394" s="33">
        <f t="shared" si="170"/>
        <v>0</v>
      </c>
      <c r="O394" s="33">
        <f t="shared" si="170"/>
        <v>0</v>
      </c>
      <c r="P394" s="33">
        <f t="shared" si="170"/>
        <v>0</v>
      </c>
      <c r="Q394" s="33">
        <f t="shared" si="170"/>
        <v>0</v>
      </c>
      <c r="R394" s="33">
        <f t="shared" si="170"/>
        <v>0</v>
      </c>
      <c r="S394" s="33">
        <f t="shared" si="170"/>
        <v>0</v>
      </c>
      <c r="T394" s="33">
        <f t="shared" ref="T394:U394" si="171">SUM(T392:T393)</f>
        <v>0</v>
      </c>
      <c r="U394" s="33">
        <f t="shared" si="171"/>
        <v>0</v>
      </c>
      <c r="W394" s="1"/>
      <c r="X394" s="1"/>
      <c r="Y394" s="1"/>
    </row>
    <row r="395" spans="1:25">
      <c r="I395" s="31"/>
      <c r="J395" s="24"/>
      <c r="K395" s="24"/>
      <c r="L395" s="24"/>
      <c r="M395" s="24"/>
      <c r="N395" s="24"/>
      <c r="O395" s="24"/>
      <c r="P395" s="24"/>
      <c r="Q395" s="24"/>
      <c r="R395" s="24"/>
      <c r="S395" s="24"/>
      <c r="T395" s="24"/>
      <c r="U395" s="24"/>
      <c r="W395" s="1"/>
      <c r="X395" s="1"/>
      <c r="Y395" s="1"/>
    </row>
    <row r="396" spans="1:25" ht="18.75">
      <c r="F396" s="9" t="s">
        <v>30</v>
      </c>
      <c r="I396" s="2">
        <v>2011</v>
      </c>
      <c r="J396" s="2">
        <f>I396+1</f>
        <v>2012</v>
      </c>
      <c r="K396" s="2">
        <f t="shared" ref="K396:R396" si="172">J396+1</f>
        <v>2013</v>
      </c>
      <c r="L396" s="2">
        <f t="shared" si="172"/>
        <v>2014</v>
      </c>
      <c r="M396" s="2">
        <f t="shared" si="172"/>
        <v>2015</v>
      </c>
      <c r="N396" s="2">
        <f t="shared" si="172"/>
        <v>2016</v>
      </c>
      <c r="O396" s="2">
        <f t="shared" si="172"/>
        <v>2017</v>
      </c>
      <c r="P396" s="2">
        <f t="shared" si="172"/>
        <v>2018</v>
      </c>
      <c r="Q396" s="2">
        <f t="shared" si="172"/>
        <v>2019</v>
      </c>
      <c r="R396" s="2">
        <f t="shared" si="172"/>
        <v>2020</v>
      </c>
      <c r="S396" s="2">
        <f>R396+1</f>
        <v>2021</v>
      </c>
      <c r="T396" s="2">
        <f>S396+1</f>
        <v>2022</v>
      </c>
      <c r="U396" s="2">
        <f>T396+1</f>
        <v>2023</v>
      </c>
      <c r="W396" s="1"/>
      <c r="X396" s="1"/>
      <c r="Y396" s="1"/>
    </row>
    <row r="397" spans="1:25">
      <c r="G397" s="62" t="s">
        <v>47</v>
      </c>
      <c r="H397" s="57"/>
      <c r="I397" s="71"/>
      <c r="J397" s="72"/>
      <c r="K397" s="72"/>
      <c r="L397" s="72"/>
      <c r="M397" s="72"/>
      <c r="N397" s="72"/>
      <c r="O397" s="72"/>
      <c r="P397" s="72"/>
      <c r="Q397" s="72"/>
      <c r="R397" s="72"/>
      <c r="S397" s="72"/>
      <c r="T397" s="72"/>
      <c r="U397" s="73"/>
      <c r="W397" s="1"/>
      <c r="X397" s="1"/>
      <c r="Y397" s="1"/>
    </row>
    <row r="398" spans="1:25">
      <c r="G398" s="63" t="s">
        <v>23</v>
      </c>
      <c r="H398" s="135"/>
      <c r="I398" s="74"/>
      <c r="J398" s="75"/>
      <c r="K398" s="75"/>
      <c r="L398" s="75"/>
      <c r="M398" s="75"/>
      <c r="N398" s="75"/>
      <c r="O398" s="75"/>
      <c r="P398" s="75"/>
      <c r="Q398" s="75"/>
      <c r="R398" s="75"/>
      <c r="S398" s="75"/>
      <c r="T398" s="75"/>
      <c r="U398" s="76"/>
      <c r="W398" s="1"/>
      <c r="X398" s="1"/>
      <c r="Y398" s="1"/>
    </row>
    <row r="399" spans="1:25">
      <c r="G399" s="63" t="s">
        <v>89</v>
      </c>
      <c r="H399" s="134"/>
      <c r="I399" s="43"/>
      <c r="J399" s="44"/>
      <c r="K399" s="44"/>
      <c r="L399" s="44"/>
      <c r="M399" s="44"/>
      <c r="N399" s="44"/>
      <c r="O399" s="44"/>
      <c r="P399" s="44"/>
      <c r="Q399" s="44"/>
      <c r="R399" s="44"/>
      <c r="S399" s="44"/>
      <c r="T399" s="44"/>
      <c r="U399" s="45"/>
      <c r="W399" s="1"/>
      <c r="X399" s="1"/>
      <c r="Y399" s="1"/>
    </row>
    <row r="400" spans="1:25">
      <c r="G400" s="26" t="s">
        <v>90</v>
      </c>
      <c r="I400" s="7">
        <v>0</v>
      </c>
      <c r="J400" s="7">
        <v>0</v>
      </c>
      <c r="K400" s="7">
        <v>0</v>
      </c>
      <c r="L400" s="7">
        <v>0</v>
      </c>
      <c r="M400" s="7">
        <v>0</v>
      </c>
      <c r="N400" s="7">
        <v>0</v>
      </c>
      <c r="O400" s="7">
        <v>0</v>
      </c>
      <c r="P400" s="7">
        <v>0</v>
      </c>
      <c r="Q400" s="7">
        <v>0</v>
      </c>
      <c r="R400" s="7">
        <v>0</v>
      </c>
      <c r="S400" s="7">
        <v>0</v>
      </c>
      <c r="T400" s="7">
        <v>0</v>
      </c>
      <c r="U400" s="7">
        <v>0</v>
      </c>
      <c r="W400" s="1"/>
      <c r="X400" s="1"/>
      <c r="Y400" s="1"/>
    </row>
    <row r="401" spans="6:25">
      <c r="G401" s="6"/>
      <c r="I401" s="7"/>
      <c r="J401" s="7"/>
      <c r="K401" s="7"/>
      <c r="L401" s="23"/>
      <c r="M401" s="23"/>
      <c r="N401" s="23"/>
      <c r="O401" s="23"/>
      <c r="P401" s="23"/>
      <c r="Q401" s="23"/>
      <c r="R401" s="23"/>
      <c r="S401" s="23"/>
      <c r="T401" s="23"/>
      <c r="U401" s="23"/>
      <c r="W401" s="1"/>
      <c r="X401" s="1"/>
      <c r="Y401" s="1"/>
    </row>
    <row r="402" spans="6:25" ht="18.75">
      <c r="F402" s="9" t="s">
        <v>100</v>
      </c>
      <c r="I402" s="2">
        <f>'Facility Detail'!$G$3260</f>
        <v>2011</v>
      </c>
      <c r="J402" s="2">
        <f>I402+1</f>
        <v>2012</v>
      </c>
      <c r="K402" s="2">
        <f t="shared" ref="K402:R402" si="173">J402+1</f>
        <v>2013</v>
      </c>
      <c r="L402" s="2">
        <f t="shared" si="173"/>
        <v>2014</v>
      </c>
      <c r="M402" s="2">
        <f t="shared" si="173"/>
        <v>2015</v>
      </c>
      <c r="N402" s="2">
        <f t="shared" si="173"/>
        <v>2016</v>
      </c>
      <c r="O402" s="2">
        <f t="shared" si="173"/>
        <v>2017</v>
      </c>
      <c r="P402" s="2">
        <f t="shared" si="173"/>
        <v>2018</v>
      </c>
      <c r="Q402" s="2">
        <f t="shared" si="173"/>
        <v>2019</v>
      </c>
      <c r="R402" s="2">
        <f t="shared" si="173"/>
        <v>2020</v>
      </c>
      <c r="S402" s="2">
        <f>R402+1</f>
        <v>2021</v>
      </c>
      <c r="T402" s="2">
        <f>S402+1</f>
        <v>2022</v>
      </c>
      <c r="U402" s="2">
        <f>T402+1</f>
        <v>2023</v>
      </c>
      <c r="W402" s="1"/>
      <c r="X402" s="1"/>
      <c r="Y402" s="1"/>
    </row>
    <row r="403" spans="6:25">
      <c r="G403" s="62" t="s">
        <v>68</v>
      </c>
      <c r="H403" s="57"/>
      <c r="I403" s="230"/>
      <c r="J403" s="231">
        <f>I403</f>
        <v>0</v>
      </c>
      <c r="K403" s="232"/>
      <c r="L403" s="232"/>
      <c r="M403" s="232"/>
      <c r="N403" s="232"/>
      <c r="O403" s="232"/>
      <c r="P403" s="232"/>
      <c r="Q403" s="232"/>
      <c r="R403" s="232"/>
      <c r="S403" s="232"/>
      <c r="T403" s="217"/>
      <c r="U403" s="47"/>
      <c r="W403" s="1"/>
      <c r="X403" s="1"/>
      <c r="Y403" s="1"/>
    </row>
    <row r="404" spans="6:25">
      <c r="G404" s="62" t="s">
        <v>69</v>
      </c>
      <c r="H404" s="57"/>
      <c r="I404" s="229">
        <f>J404</f>
        <v>0</v>
      </c>
      <c r="J404" s="233"/>
      <c r="K404" s="234"/>
      <c r="L404" s="234"/>
      <c r="M404" s="234"/>
      <c r="N404" s="234"/>
      <c r="O404" s="234"/>
      <c r="P404" s="234"/>
      <c r="Q404" s="234"/>
      <c r="R404" s="234"/>
      <c r="S404" s="234"/>
      <c r="T404" s="218"/>
      <c r="U404" s="128"/>
      <c r="W404" s="1"/>
      <c r="X404" s="1"/>
      <c r="Y404" s="1"/>
    </row>
    <row r="405" spans="6:25">
      <c r="G405" s="62" t="s">
        <v>70</v>
      </c>
      <c r="H405" s="57"/>
      <c r="I405" s="235"/>
      <c r="J405" s="233">
        <f>J389</f>
        <v>0</v>
      </c>
      <c r="K405" s="236">
        <f>J405</f>
        <v>0</v>
      </c>
      <c r="L405" s="234"/>
      <c r="M405" s="234"/>
      <c r="N405" s="234"/>
      <c r="O405" s="234"/>
      <c r="P405" s="234"/>
      <c r="Q405" s="234"/>
      <c r="R405" s="234"/>
      <c r="S405" s="234"/>
      <c r="T405" s="218"/>
      <c r="U405" s="128"/>
      <c r="W405" s="1"/>
      <c r="X405" s="1"/>
      <c r="Y405" s="1"/>
    </row>
    <row r="406" spans="6:25">
      <c r="G406" s="62" t="s">
        <v>71</v>
      </c>
      <c r="H406" s="57"/>
      <c r="I406" s="235"/>
      <c r="J406" s="236">
        <f>K406</f>
        <v>0</v>
      </c>
      <c r="K406" s="237"/>
      <c r="L406" s="234"/>
      <c r="M406" s="234"/>
      <c r="N406" s="234"/>
      <c r="O406" s="234"/>
      <c r="P406" s="234"/>
      <c r="Q406" s="234"/>
      <c r="R406" s="234"/>
      <c r="S406" s="234"/>
      <c r="T406" s="218"/>
      <c r="U406" s="128"/>
      <c r="W406" s="1"/>
      <c r="X406" s="1"/>
      <c r="Y406" s="1"/>
    </row>
    <row r="407" spans="6:25">
      <c r="G407" s="62" t="s">
        <v>170</v>
      </c>
      <c r="I407" s="235"/>
      <c r="J407" s="238"/>
      <c r="K407" s="233">
        <f>K389</f>
        <v>0</v>
      </c>
      <c r="L407" s="239">
        <f>K407</f>
        <v>0</v>
      </c>
      <c r="M407" s="234"/>
      <c r="N407" s="234"/>
      <c r="O407" s="234"/>
      <c r="P407" s="234"/>
      <c r="Q407" s="234"/>
      <c r="R407" s="234"/>
      <c r="S407" s="234"/>
      <c r="T407" s="146"/>
      <c r="U407" s="122"/>
      <c r="W407" s="1"/>
      <c r="X407" s="1"/>
      <c r="Y407" s="1"/>
    </row>
    <row r="408" spans="6:25">
      <c r="G408" s="62" t="s">
        <v>171</v>
      </c>
      <c r="I408" s="235"/>
      <c r="J408" s="238"/>
      <c r="K408" s="236">
        <f>L408</f>
        <v>0</v>
      </c>
      <c r="L408" s="233"/>
      <c r="M408" s="234"/>
      <c r="N408" s="234"/>
      <c r="O408" s="234"/>
      <c r="P408" s="234"/>
      <c r="Q408" s="234"/>
      <c r="R408" s="234"/>
      <c r="S408" s="234"/>
      <c r="T408" s="146"/>
      <c r="U408" s="122"/>
      <c r="W408" s="1"/>
      <c r="X408" s="1"/>
      <c r="Y408" s="1"/>
    </row>
    <row r="409" spans="6:25">
      <c r="G409" s="62" t="s">
        <v>172</v>
      </c>
      <c r="I409" s="235"/>
      <c r="J409" s="238"/>
      <c r="K409" s="238"/>
      <c r="L409" s="233">
        <f>L389</f>
        <v>0</v>
      </c>
      <c r="M409" s="239">
        <f>L409</f>
        <v>0</v>
      </c>
      <c r="N409" s="238">
        <f>M409</f>
        <v>0</v>
      </c>
      <c r="O409" s="234"/>
      <c r="P409" s="234"/>
      <c r="Q409" s="234"/>
      <c r="R409" s="234"/>
      <c r="S409" s="234"/>
      <c r="T409" s="146"/>
      <c r="U409" s="122"/>
      <c r="W409" s="1"/>
      <c r="X409" s="1"/>
      <c r="Y409" s="1"/>
    </row>
    <row r="410" spans="6:25">
      <c r="G410" s="62" t="s">
        <v>173</v>
      </c>
      <c r="I410" s="235"/>
      <c r="J410" s="238"/>
      <c r="K410" s="238"/>
      <c r="L410" s="236"/>
      <c r="M410" s="233"/>
      <c r="N410" s="238"/>
      <c r="O410" s="234"/>
      <c r="P410" s="234"/>
      <c r="Q410" s="234"/>
      <c r="R410" s="234"/>
      <c r="S410" s="234"/>
      <c r="T410" s="146"/>
      <c r="U410" s="122"/>
      <c r="W410" s="1"/>
      <c r="X410" s="1"/>
      <c r="Y410" s="1"/>
    </row>
    <row r="411" spans="6:25">
      <c r="G411" s="62" t="s">
        <v>174</v>
      </c>
      <c r="I411" s="235"/>
      <c r="J411" s="238"/>
      <c r="K411" s="238"/>
      <c r="L411" s="238"/>
      <c r="M411" s="233">
        <v>0</v>
      </c>
      <c r="N411" s="239">
        <f>M411</f>
        <v>0</v>
      </c>
      <c r="O411" s="234"/>
      <c r="P411" s="234"/>
      <c r="Q411" s="234"/>
      <c r="R411" s="234"/>
      <c r="S411" s="234"/>
      <c r="T411" s="146"/>
      <c r="U411" s="122"/>
      <c r="W411" s="1"/>
      <c r="X411" s="1"/>
      <c r="Y411" s="1"/>
    </row>
    <row r="412" spans="6:25">
      <c r="G412" s="62" t="s">
        <v>175</v>
      </c>
      <c r="I412" s="235"/>
      <c r="J412" s="238"/>
      <c r="K412" s="238"/>
      <c r="L412" s="238"/>
      <c r="M412" s="236"/>
      <c r="N412" s="233"/>
      <c r="O412" s="234"/>
      <c r="P412" s="234"/>
      <c r="Q412" s="234"/>
      <c r="R412" s="234"/>
      <c r="S412" s="234"/>
      <c r="T412" s="146"/>
      <c r="U412" s="122"/>
      <c r="W412" s="1"/>
      <c r="X412" s="1"/>
      <c r="Y412" s="1"/>
    </row>
    <row r="413" spans="6:25">
      <c r="G413" s="62" t="s">
        <v>176</v>
      </c>
      <c r="I413" s="235"/>
      <c r="J413" s="238"/>
      <c r="K413" s="238"/>
      <c r="L413" s="238"/>
      <c r="M413" s="238"/>
      <c r="N413" s="240">
        <f>N389</f>
        <v>0</v>
      </c>
      <c r="O413" s="241">
        <f>N413</f>
        <v>0</v>
      </c>
      <c r="P413" s="234"/>
      <c r="Q413" s="234"/>
      <c r="R413" s="234"/>
      <c r="S413" s="234"/>
      <c r="T413" s="146"/>
      <c r="U413" s="122"/>
      <c r="W413" s="1"/>
      <c r="X413" s="1"/>
      <c r="Y413" s="1"/>
    </row>
    <row r="414" spans="6:25">
      <c r="G414" s="62" t="s">
        <v>167</v>
      </c>
      <c r="I414" s="235"/>
      <c r="J414" s="238"/>
      <c r="K414" s="238"/>
      <c r="L414" s="238"/>
      <c r="M414" s="238"/>
      <c r="N414" s="242"/>
      <c r="O414" s="243"/>
      <c r="P414" s="234"/>
      <c r="Q414" s="234"/>
      <c r="R414" s="234"/>
      <c r="S414" s="234"/>
      <c r="T414" s="146"/>
      <c r="U414" s="122"/>
      <c r="W414" s="1"/>
      <c r="X414" s="1"/>
      <c r="Y414" s="1"/>
    </row>
    <row r="415" spans="6:25">
      <c r="G415" s="62" t="s">
        <v>168</v>
      </c>
      <c r="I415" s="235"/>
      <c r="J415" s="238"/>
      <c r="K415" s="238"/>
      <c r="L415" s="238"/>
      <c r="M415" s="238"/>
      <c r="N415" s="238"/>
      <c r="O415" s="243">
        <f>O389</f>
        <v>0</v>
      </c>
      <c r="P415" s="241">
        <f>O415</f>
        <v>0</v>
      </c>
      <c r="Q415" s="234"/>
      <c r="R415" s="234"/>
      <c r="S415" s="234"/>
      <c r="T415" s="146"/>
      <c r="U415" s="122"/>
      <c r="W415" s="1"/>
      <c r="X415" s="1"/>
      <c r="Y415" s="1"/>
    </row>
    <row r="416" spans="6:25">
      <c r="G416" s="62" t="s">
        <v>185</v>
      </c>
      <c r="I416" s="235"/>
      <c r="J416" s="238"/>
      <c r="K416" s="238"/>
      <c r="L416" s="238"/>
      <c r="M416" s="238"/>
      <c r="N416" s="238"/>
      <c r="O416" s="241"/>
      <c r="P416" s="243"/>
      <c r="Q416" s="234"/>
      <c r="R416" s="234"/>
      <c r="S416" s="234"/>
      <c r="T416" s="146"/>
      <c r="U416" s="122"/>
      <c r="W416" s="1"/>
      <c r="X416" s="1"/>
      <c r="Y416" s="1"/>
    </row>
    <row r="417" spans="1:25">
      <c r="G417" s="62" t="s">
        <v>186</v>
      </c>
      <c r="I417" s="235"/>
      <c r="J417" s="238"/>
      <c r="K417" s="238"/>
      <c r="L417" s="238"/>
      <c r="M417" s="238"/>
      <c r="N417" s="238"/>
      <c r="O417" s="238"/>
      <c r="P417" s="243">
        <f>P389</f>
        <v>129</v>
      </c>
      <c r="Q417" s="236">
        <f>P417</f>
        <v>129</v>
      </c>
      <c r="R417" s="234"/>
      <c r="S417" s="234"/>
      <c r="T417" s="146"/>
      <c r="U417" s="122"/>
      <c r="W417" s="1"/>
      <c r="X417" s="1"/>
      <c r="Y417" s="1"/>
    </row>
    <row r="418" spans="1:25">
      <c r="G418" s="62" t="s">
        <v>187</v>
      </c>
      <c r="I418" s="235"/>
      <c r="J418" s="238"/>
      <c r="K418" s="238"/>
      <c r="L418" s="238"/>
      <c r="M418" s="238"/>
      <c r="N418" s="238"/>
      <c r="O418" s="238"/>
      <c r="P418" s="241"/>
      <c r="Q418" s="244">
        <v>0</v>
      </c>
      <c r="R418" s="234"/>
      <c r="S418" s="234"/>
      <c r="T418" s="146"/>
      <c r="U418" s="122"/>
      <c r="W418" s="1"/>
      <c r="X418" s="1"/>
      <c r="Y418" s="1"/>
    </row>
    <row r="419" spans="1:25">
      <c r="G419" s="62" t="s">
        <v>188</v>
      </c>
      <c r="I419" s="235"/>
      <c r="J419" s="238"/>
      <c r="K419" s="238"/>
      <c r="L419" s="238"/>
      <c r="M419" s="238"/>
      <c r="N419" s="238"/>
      <c r="O419" s="238"/>
      <c r="P419" s="238"/>
      <c r="Q419" s="243">
        <v>0</v>
      </c>
      <c r="R419" s="245">
        <v>0</v>
      </c>
      <c r="S419" s="234"/>
      <c r="T419" s="146"/>
      <c r="U419" s="122"/>
      <c r="W419" s="1"/>
      <c r="X419" s="1"/>
      <c r="Y419" s="1"/>
    </row>
    <row r="420" spans="1:25">
      <c r="G420" s="62" t="s">
        <v>189</v>
      </c>
      <c r="I420" s="235"/>
      <c r="J420" s="238"/>
      <c r="K420" s="238"/>
      <c r="L420" s="238"/>
      <c r="M420" s="238"/>
      <c r="N420" s="238"/>
      <c r="O420" s="238"/>
      <c r="P420" s="238"/>
      <c r="Q420" s="245">
        <v>2923</v>
      </c>
      <c r="R420" s="246">
        <v>2923</v>
      </c>
      <c r="S420" s="234"/>
      <c r="T420" s="146"/>
      <c r="U420" s="122"/>
      <c r="W420" s="1"/>
      <c r="X420" s="1"/>
      <c r="Y420" s="1"/>
    </row>
    <row r="421" spans="1:25">
      <c r="G421" s="62" t="s">
        <v>190</v>
      </c>
      <c r="I421" s="235"/>
      <c r="J421" s="238"/>
      <c r="K421" s="238"/>
      <c r="L421" s="238"/>
      <c r="M421" s="238"/>
      <c r="N421" s="238"/>
      <c r="O421" s="238"/>
      <c r="P421" s="238"/>
      <c r="Q421" s="238"/>
      <c r="R421" s="246">
        <v>0</v>
      </c>
      <c r="S421" s="245">
        <f>R421</f>
        <v>0</v>
      </c>
      <c r="T421" s="146"/>
      <c r="U421" s="122"/>
      <c r="W421" s="1"/>
      <c r="X421" s="1"/>
      <c r="Y421" s="1"/>
    </row>
    <row r="422" spans="1:25">
      <c r="G422" s="62" t="s">
        <v>199</v>
      </c>
      <c r="I422" s="235"/>
      <c r="J422" s="238"/>
      <c r="K422" s="238"/>
      <c r="L422" s="238"/>
      <c r="M422" s="238"/>
      <c r="N422" s="238"/>
      <c r="O422" s="238"/>
      <c r="P422" s="238"/>
      <c r="Q422" s="238"/>
      <c r="R422" s="241">
        <v>0</v>
      </c>
      <c r="S422" s="246">
        <v>0</v>
      </c>
      <c r="T422" s="146"/>
      <c r="U422" s="122"/>
      <c r="W422" s="1"/>
      <c r="X422" s="1"/>
      <c r="Y422" s="1"/>
    </row>
    <row r="423" spans="1:25">
      <c r="G423" s="62" t="s">
        <v>200</v>
      </c>
      <c r="I423" s="235"/>
      <c r="J423" s="238"/>
      <c r="K423" s="238"/>
      <c r="L423" s="238"/>
      <c r="M423" s="238"/>
      <c r="N423" s="238"/>
      <c r="O423" s="238"/>
      <c r="P423" s="238"/>
      <c r="Q423" s="238"/>
      <c r="R423" s="238"/>
      <c r="S423" s="246">
        <v>0</v>
      </c>
      <c r="T423" s="245">
        <f>S423</f>
        <v>0</v>
      </c>
      <c r="U423" s="122"/>
      <c r="W423" s="1"/>
      <c r="X423" s="1"/>
      <c r="Y423" s="1"/>
    </row>
    <row r="424" spans="1:25" s="216" customFormat="1">
      <c r="A424" s="1"/>
      <c r="B424" s="1"/>
      <c r="C424" s="1"/>
      <c r="D424" s="1"/>
      <c r="E424" s="1"/>
      <c r="F424" s="1"/>
      <c r="G424" s="62" t="s">
        <v>308</v>
      </c>
      <c r="H424" s="1"/>
      <c r="I424" s="235"/>
      <c r="J424" s="238"/>
      <c r="K424" s="238"/>
      <c r="L424" s="238"/>
      <c r="M424" s="238"/>
      <c r="N424" s="238"/>
      <c r="O424" s="238"/>
      <c r="P424" s="238"/>
      <c r="Q424" s="238"/>
      <c r="R424" s="238"/>
      <c r="S424" s="241">
        <f>T424</f>
        <v>0</v>
      </c>
      <c r="T424" s="246">
        <v>0</v>
      </c>
      <c r="U424" s="122"/>
    </row>
    <row r="425" spans="1:25" s="216" customFormat="1">
      <c r="A425" s="1"/>
      <c r="B425" s="1"/>
      <c r="C425" s="1"/>
      <c r="D425" s="1"/>
      <c r="E425" s="1"/>
      <c r="F425" s="1"/>
      <c r="G425" s="62" t="s">
        <v>307</v>
      </c>
      <c r="H425" s="1"/>
      <c r="I425" s="114"/>
      <c r="J425" s="107"/>
      <c r="K425" s="107"/>
      <c r="L425" s="107"/>
      <c r="M425" s="107"/>
      <c r="N425" s="107"/>
      <c r="O425" s="107"/>
      <c r="P425" s="107"/>
      <c r="Q425" s="107"/>
      <c r="R425" s="107"/>
      <c r="S425" s="107"/>
      <c r="T425" s="246">
        <v>0</v>
      </c>
      <c r="U425" s="453">
        <f>T425</f>
        <v>0</v>
      </c>
    </row>
    <row r="426" spans="1:25">
      <c r="G426" s="62" t="s">
        <v>318</v>
      </c>
      <c r="I426" s="114"/>
      <c r="J426" s="107"/>
      <c r="K426" s="107"/>
      <c r="L426" s="107"/>
      <c r="M426" s="107"/>
      <c r="N426" s="107"/>
      <c r="O426" s="107"/>
      <c r="P426" s="107"/>
      <c r="Q426" s="107"/>
      <c r="R426" s="107"/>
      <c r="S426" s="107"/>
      <c r="T426" s="241">
        <f>U426</f>
        <v>0</v>
      </c>
      <c r="U426" s="454">
        <v>0</v>
      </c>
      <c r="W426" s="1"/>
      <c r="X426" s="1"/>
      <c r="Y426" s="1"/>
    </row>
    <row r="427" spans="1:25">
      <c r="G427" s="62" t="s">
        <v>319</v>
      </c>
      <c r="I427" s="49"/>
      <c r="J427" s="194"/>
      <c r="K427" s="194"/>
      <c r="L427" s="194"/>
      <c r="M427" s="194"/>
      <c r="N427" s="194"/>
      <c r="O427" s="194"/>
      <c r="P427" s="194"/>
      <c r="Q427" s="194"/>
      <c r="R427" s="194"/>
      <c r="S427" s="194"/>
      <c r="T427" s="194"/>
      <c r="U427" s="455">
        <v>0</v>
      </c>
      <c r="W427" s="1"/>
      <c r="X427" s="1"/>
      <c r="Y427" s="1"/>
    </row>
    <row r="428" spans="1:25">
      <c r="B428" s="1" t="s">
        <v>179</v>
      </c>
      <c r="G428" s="26" t="s">
        <v>17</v>
      </c>
      <c r="I428" s="7"/>
      <c r="J428" s="7"/>
      <c r="K428" s="7"/>
      <c r="L428" s="7"/>
      <c r="M428" s="7"/>
      <c r="N428" s="7"/>
      <c r="O428" s="7">
        <f>O413-O414-O415</f>
        <v>0</v>
      </c>
      <c r="P428" s="247">
        <f>P415-P416-P417</f>
        <v>-129</v>
      </c>
      <c r="Q428" s="247">
        <f>Q417-Q418-Q419+Q420</f>
        <v>3052</v>
      </c>
      <c r="R428" s="247">
        <f>R419-R420</f>
        <v>-2923</v>
      </c>
      <c r="S428" s="7">
        <f>S421-S422+S423-S424</f>
        <v>0</v>
      </c>
      <c r="T428" s="7">
        <f>T423-T424-T425+T426</f>
        <v>0</v>
      </c>
      <c r="U428" s="7">
        <f>U425-U426-U427</f>
        <v>0</v>
      </c>
      <c r="W428" s="1"/>
      <c r="X428" s="1"/>
      <c r="Y428" s="1"/>
    </row>
    <row r="429" spans="1:25">
      <c r="G429" s="6"/>
      <c r="I429" s="154"/>
      <c r="J429" s="154"/>
      <c r="K429" s="154"/>
      <c r="L429" s="154"/>
      <c r="M429" s="154"/>
      <c r="N429" s="154"/>
      <c r="O429" s="154"/>
      <c r="P429" s="154"/>
      <c r="Q429" s="154"/>
      <c r="R429" s="154"/>
      <c r="S429" s="154"/>
      <c r="T429" s="154"/>
      <c r="U429" s="154"/>
      <c r="W429" s="1"/>
      <c r="X429" s="1"/>
      <c r="Y429" s="1"/>
    </row>
    <row r="430" spans="1:25">
      <c r="G430" s="26" t="s">
        <v>12</v>
      </c>
      <c r="H430" s="57"/>
      <c r="I430" s="155"/>
      <c r="J430" s="156"/>
      <c r="K430" s="156"/>
      <c r="L430" s="156"/>
      <c r="M430" s="156"/>
      <c r="N430" s="156"/>
      <c r="O430" s="156"/>
      <c r="P430" s="156"/>
      <c r="Q430" s="156"/>
      <c r="R430" s="156"/>
      <c r="S430" s="156"/>
      <c r="T430" s="156"/>
      <c r="U430" s="267"/>
      <c r="W430" s="1"/>
      <c r="X430" s="1"/>
      <c r="Y430" s="1"/>
    </row>
    <row r="431" spans="1:25">
      <c r="G431" s="6"/>
      <c r="I431" s="154"/>
      <c r="J431" s="154"/>
      <c r="K431" s="154"/>
      <c r="L431" s="154"/>
      <c r="M431" s="154"/>
      <c r="N431" s="154"/>
      <c r="O431" s="154"/>
      <c r="P431" s="154"/>
      <c r="Q431" s="154"/>
      <c r="R431" s="154"/>
      <c r="S431" s="154"/>
      <c r="T431" s="154"/>
      <c r="U431" s="154"/>
      <c r="W431" s="1"/>
      <c r="X431" s="1"/>
      <c r="Y431" s="1"/>
    </row>
    <row r="432" spans="1:25" ht="18.75">
      <c r="C432" s="1" t="s">
        <v>179</v>
      </c>
      <c r="D432" s="1" t="s">
        <v>193</v>
      </c>
      <c r="E432" s="1" t="s">
        <v>108</v>
      </c>
      <c r="F432" s="9" t="s">
        <v>26</v>
      </c>
      <c r="I432" s="157">
        <f t="shared" ref="I432:S432" si="174" xml:space="preserve"> I389 + I394 - I400 + I428 + I430</f>
        <v>0</v>
      </c>
      <c r="J432" s="158">
        <f t="shared" si="174"/>
        <v>0</v>
      </c>
      <c r="K432" s="158">
        <f t="shared" si="174"/>
        <v>0</v>
      </c>
      <c r="L432" s="158">
        <f t="shared" si="174"/>
        <v>0</v>
      </c>
      <c r="M432" s="158">
        <f t="shared" si="174"/>
        <v>0</v>
      </c>
      <c r="N432" s="158">
        <f t="shared" si="174"/>
        <v>0</v>
      </c>
      <c r="O432" s="158">
        <f t="shared" si="174"/>
        <v>0</v>
      </c>
      <c r="P432" s="158">
        <f t="shared" si="174"/>
        <v>0</v>
      </c>
      <c r="Q432" s="158">
        <f t="shared" si="174"/>
        <v>7063.7063072262026</v>
      </c>
      <c r="R432" s="158">
        <f t="shared" si="174"/>
        <v>1670.6933189007532</v>
      </c>
      <c r="S432" s="158">
        <f t="shared" si="174"/>
        <v>4569</v>
      </c>
      <c r="T432" s="158">
        <f t="shared" ref="T432:U432" si="175" xml:space="preserve"> T389 + T394 - T400 + T428 + T430</f>
        <v>4421</v>
      </c>
      <c r="U432" s="268">
        <f t="shared" si="175"/>
        <v>4145</v>
      </c>
      <c r="W432" s="1"/>
      <c r="X432" s="1"/>
      <c r="Y432" s="1"/>
    </row>
    <row r="433" spans="1:25" ht="15.75" thickBot="1">
      <c r="S433" s="1"/>
      <c r="W433" s="1"/>
      <c r="X433" s="1"/>
      <c r="Y433" s="1"/>
    </row>
    <row r="434" spans="1:25">
      <c r="F434" s="8"/>
      <c r="G434" s="8"/>
      <c r="H434" s="8"/>
      <c r="I434" s="8"/>
      <c r="J434" s="8"/>
      <c r="K434" s="8"/>
      <c r="L434" s="8"/>
      <c r="M434" s="8"/>
      <c r="N434" s="8"/>
      <c r="O434" s="8"/>
      <c r="P434" s="8"/>
      <c r="Q434" s="8"/>
      <c r="R434" s="8"/>
      <c r="S434" s="8"/>
      <c r="T434" s="8"/>
      <c r="U434" s="8"/>
      <c r="W434" s="1"/>
      <c r="X434" s="1"/>
      <c r="Y434" s="1"/>
    </row>
    <row r="435" spans="1:25" ht="15.75" thickBot="1">
      <c r="W435" s="1"/>
      <c r="X435" s="1"/>
      <c r="Y435" s="1"/>
    </row>
    <row r="436" spans="1:25" ht="21.75" thickBot="1">
      <c r="F436" s="13" t="s">
        <v>4</v>
      </c>
      <c r="G436" s="13"/>
      <c r="H436" s="185" t="s">
        <v>158</v>
      </c>
      <c r="I436" s="188"/>
      <c r="W436" s="1"/>
      <c r="X436" s="1"/>
      <c r="Y436" s="1"/>
    </row>
    <row r="437" spans="1:25">
      <c r="S437" s="1"/>
      <c r="W437" s="1"/>
      <c r="X437" s="1"/>
      <c r="Y437" s="1"/>
    </row>
    <row r="438" spans="1:25" ht="18.75">
      <c r="F438" s="9" t="s">
        <v>21</v>
      </c>
      <c r="G438" s="9"/>
      <c r="I438" s="2">
        <f>'Facility Detail'!$G$3260</f>
        <v>2011</v>
      </c>
      <c r="J438" s="2">
        <f>I438+1</f>
        <v>2012</v>
      </c>
      <c r="K438" s="2">
        <f>J438+1</f>
        <v>2013</v>
      </c>
      <c r="L438" s="2">
        <f t="shared" ref="L438:P438" si="176">K438+1</f>
        <v>2014</v>
      </c>
      <c r="M438" s="2">
        <f t="shared" si="176"/>
        <v>2015</v>
      </c>
      <c r="N438" s="2">
        <f t="shared" si="176"/>
        <v>2016</v>
      </c>
      <c r="O438" s="2">
        <f t="shared" si="176"/>
        <v>2017</v>
      </c>
      <c r="P438" s="2">
        <f t="shared" si="176"/>
        <v>2018</v>
      </c>
      <c r="Q438" s="2">
        <f t="shared" ref="Q438" si="177">P438+1</f>
        <v>2019</v>
      </c>
      <c r="R438" s="2">
        <f t="shared" ref="R438" si="178">Q438+1</f>
        <v>2020</v>
      </c>
      <c r="S438" s="2">
        <f>R438+1</f>
        <v>2021</v>
      </c>
      <c r="T438" s="2">
        <f>S438+1</f>
        <v>2022</v>
      </c>
      <c r="U438" s="2">
        <f>T438+1</f>
        <v>2023</v>
      </c>
      <c r="W438" s="1"/>
      <c r="X438" s="1"/>
      <c r="Y438" s="1"/>
    </row>
    <row r="439" spans="1:25">
      <c r="G439" s="62" t="str">
        <f>"Total MWh Produced / Purchased from " &amp; H436</f>
        <v>Total MWh Produced / Purchased from Campbell Hill/Three Buttes</v>
      </c>
      <c r="H439" s="57"/>
      <c r="I439" s="3"/>
      <c r="J439" s="4"/>
      <c r="K439" s="4"/>
      <c r="L439" s="4"/>
      <c r="M439" s="4">
        <v>294027</v>
      </c>
      <c r="N439" s="4">
        <v>333872</v>
      </c>
      <c r="O439" s="4">
        <v>311597</v>
      </c>
      <c r="P439" s="4">
        <v>309187.63400000002</v>
      </c>
      <c r="Q439" s="4">
        <v>146872</v>
      </c>
      <c r="R439" s="4">
        <v>342882</v>
      </c>
      <c r="S439" s="4">
        <v>301476</v>
      </c>
      <c r="T439" s="4">
        <v>317723</v>
      </c>
      <c r="U439" s="5">
        <v>333579</v>
      </c>
      <c r="W439" s="1"/>
      <c r="X439" s="1"/>
      <c r="Y439" s="1"/>
    </row>
    <row r="440" spans="1:25">
      <c r="G440" s="62" t="s">
        <v>25</v>
      </c>
      <c r="H440" s="57"/>
      <c r="I440" s="269"/>
      <c r="J440" s="41"/>
      <c r="K440" s="41"/>
      <c r="L440" s="41"/>
      <c r="M440" s="41">
        <v>1</v>
      </c>
      <c r="N440" s="41">
        <v>1</v>
      </c>
      <c r="O440" s="41">
        <v>1</v>
      </c>
      <c r="P440" s="41">
        <v>1</v>
      </c>
      <c r="Q440" s="41">
        <v>1</v>
      </c>
      <c r="R440" s="41">
        <v>1</v>
      </c>
      <c r="S440" s="41">
        <v>1</v>
      </c>
      <c r="T440" s="41">
        <v>1</v>
      </c>
      <c r="U440" s="41">
        <v>1</v>
      </c>
      <c r="W440" s="1"/>
      <c r="X440" s="1"/>
      <c r="Y440" s="1"/>
    </row>
    <row r="441" spans="1:25">
      <c r="G441" s="62" t="s">
        <v>20</v>
      </c>
      <c r="H441" s="57"/>
      <c r="I441" s="270"/>
      <c r="J441" s="36"/>
      <c r="K441" s="36"/>
      <c r="L441" s="36"/>
      <c r="M441" s="36">
        <v>8.0535999999999996E-2</v>
      </c>
      <c r="N441" s="36">
        <v>8.1698151927344531E-2</v>
      </c>
      <c r="O441" s="36">
        <v>8.0833713568703974E-2</v>
      </c>
      <c r="P441" s="36">
        <v>7.9451999999999995E-2</v>
      </c>
      <c r="Q441" s="36">
        <v>7.6724662968274293E-2</v>
      </c>
      <c r="R441" s="36">
        <v>8.1268700519883177E-2</v>
      </c>
      <c r="S441" s="36">
        <f>S2</f>
        <v>7.9696892166366717E-2</v>
      </c>
      <c r="T441" s="36">
        <f>T2</f>
        <v>7.8737918965874246E-2</v>
      </c>
      <c r="U441" s="36">
        <f>U2</f>
        <v>7.8407467372863096E-2</v>
      </c>
      <c r="W441" s="1"/>
      <c r="X441" s="1"/>
      <c r="Y441" s="1"/>
    </row>
    <row r="442" spans="1:25">
      <c r="A442" s="1" t="s">
        <v>209</v>
      </c>
      <c r="G442" s="26" t="s">
        <v>22</v>
      </c>
      <c r="H442" s="6"/>
      <c r="I442" s="30">
        <f xml:space="preserve"> ROUND(I439 * I440 * I441,0)</f>
        <v>0</v>
      </c>
      <c r="J442" s="30">
        <f t="shared" ref="J442:L442" si="179" xml:space="preserve"> ROUND(J439 * J440 * J441,0)</f>
        <v>0</v>
      </c>
      <c r="K442" s="30">
        <f t="shared" si="179"/>
        <v>0</v>
      </c>
      <c r="L442" s="30">
        <f t="shared" si="179"/>
        <v>0</v>
      </c>
      <c r="M442" s="30">
        <v>23680</v>
      </c>
      <c r="N442" s="161">
        <v>27276</v>
      </c>
      <c r="O442" s="161">
        <v>25187</v>
      </c>
      <c r="P442" s="161">
        <v>24567</v>
      </c>
      <c r="Q442" s="161">
        <f>Q439*Q441</f>
        <v>11268.704699476382</v>
      </c>
      <c r="R442" s="161">
        <f>R439*R441</f>
        <v>27865.574571658584</v>
      </c>
      <c r="S442" s="161">
        <f>ROUNDDOWN(S439*S441,0)</f>
        <v>24026</v>
      </c>
      <c r="T442" s="161">
        <f>ROUNDUP(T439*T441,0)</f>
        <v>25017</v>
      </c>
      <c r="U442" s="161">
        <f t="shared" ref="U442" si="180">ROUNDDOWN(U439*U441,0)</f>
        <v>26155</v>
      </c>
      <c r="W442" s="1"/>
      <c r="X442" s="1"/>
      <c r="Y442" s="1"/>
    </row>
    <row r="443" spans="1:25">
      <c r="I443" s="29"/>
      <c r="J443" s="29"/>
      <c r="K443" s="29"/>
      <c r="L443" s="29"/>
      <c r="M443" s="29"/>
      <c r="N443" s="20"/>
      <c r="O443" s="20"/>
      <c r="P443" s="20"/>
      <c r="Q443" s="20"/>
      <c r="R443" s="20"/>
      <c r="S443" s="20"/>
      <c r="T443" s="20"/>
      <c r="U443" s="20"/>
      <c r="W443" s="1"/>
      <c r="X443" s="1"/>
      <c r="Y443" s="1"/>
    </row>
    <row r="444" spans="1:25" ht="18.75">
      <c r="F444" s="9" t="s">
        <v>118</v>
      </c>
      <c r="I444" s="2">
        <f>'Facility Detail'!$G$3260</f>
        <v>2011</v>
      </c>
      <c r="J444" s="2">
        <f>I444+1</f>
        <v>2012</v>
      </c>
      <c r="K444" s="2">
        <f>J444+1</f>
        <v>2013</v>
      </c>
      <c r="L444" s="2">
        <f t="shared" ref="L444:P444" si="181">K444+1</f>
        <v>2014</v>
      </c>
      <c r="M444" s="2">
        <f t="shared" si="181"/>
        <v>2015</v>
      </c>
      <c r="N444" s="2">
        <f t="shared" si="181"/>
        <v>2016</v>
      </c>
      <c r="O444" s="2">
        <f t="shared" si="181"/>
        <v>2017</v>
      </c>
      <c r="P444" s="2">
        <f t="shared" si="181"/>
        <v>2018</v>
      </c>
      <c r="Q444" s="2">
        <f t="shared" ref="Q444" si="182">P444+1</f>
        <v>2019</v>
      </c>
      <c r="R444" s="2">
        <f t="shared" ref="R444" si="183">Q444+1</f>
        <v>2020</v>
      </c>
      <c r="S444" s="2">
        <f>R444+1</f>
        <v>2021</v>
      </c>
      <c r="T444" s="2">
        <f>S444+1</f>
        <v>2022</v>
      </c>
      <c r="U444" s="2">
        <f>T444+1</f>
        <v>2023</v>
      </c>
      <c r="W444" s="1"/>
      <c r="X444" s="1"/>
      <c r="Y444" s="1"/>
    </row>
    <row r="445" spans="1:25">
      <c r="G445" s="62" t="s">
        <v>10</v>
      </c>
      <c r="H445" s="57"/>
      <c r="I445" s="38">
        <f>IF($J13 = "Eligible", I442 * 'Facility Detail'!$G$3257, 0 )</f>
        <v>0</v>
      </c>
      <c r="J445" s="11">
        <f>IF($J13 = "Eligible", J442 * 'Facility Detail'!$G$3257, 0 )</f>
        <v>0</v>
      </c>
      <c r="K445" s="11">
        <f>IF($J13 = "Eligible", K442 * 'Facility Detail'!$G$3257, 0 )</f>
        <v>0</v>
      </c>
      <c r="L445" s="11">
        <f>IF($J13 = "Eligible", L442 * 'Facility Detail'!$G$3257, 0 )</f>
        <v>0</v>
      </c>
      <c r="M445" s="11">
        <f>IF($J13 = "Eligible", M442 * 'Facility Detail'!$G$3257, 0 )</f>
        <v>0</v>
      </c>
      <c r="N445" s="11">
        <f>IF($J13 = "Eligible", N442 * 'Facility Detail'!$G$3257, 0 )</f>
        <v>0</v>
      </c>
      <c r="O445" s="11">
        <f>IF($J13 = "Eligible", O442 * 'Facility Detail'!$G$3257, 0 )</f>
        <v>0</v>
      </c>
      <c r="P445" s="11">
        <f>IF($J13 = "Eligible", P442 * 'Facility Detail'!$G$3257, 0 )</f>
        <v>0</v>
      </c>
      <c r="Q445" s="11">
        <f>IF($J13 = "Eligible", Q442 * 'Facility Detail'!$G$3257, 0 )</f>
        <v>0</v>
      </c>
      <c r="R445" s="11">
        <f>IF($J13 = "Eligible", R442 * 'Facility Detail'!$G$3257, 0 )</f>
        <v>0</v>
      </c>
      <c r="S445" s="11">
        <f>IF($J13 = "Eligible", S442 * 'Facility Detail'!$G$3257, 0 )</f>
        <v>0</v>
      </c>
      <c r="T445" s="11">
        <f>IF($J13 = "Eligible", T442 * 'Facility Detail'!$G$3257, 0 )</f>
        <v>0</v>
      </c>
      <c r="U445" s="223">
        <f>IF($J13 = "Eligible", U442 * 'Facility Detail'!$G$3257, 0 )</f>
        <v>0</v>
      </c>
      <c r="W445" s="1"/>
      <c r="X445" s="1"/>
      <c r="Y445" s="1"/>
    </row>
    <row r="446" spans="1:25">
      <c r="G446" s="62" t="s">
        <v>6</v>
      </c>
      <c r="H446" s="57"/>
      <c r="I446" s="39">
        <f t="shared" ref="I446:U446" si="184">IF($K13= "Eligible", I442, 0 )</f>
        <v>0</v>
      </c>
      <c r="J446" s="193">
        <f t="shared" si="184"/>
        <v>0</v>
      </c>
      <c r="K446" s="193">
        <f t="shared" si="184"/>
        <v>0</v>
      </c>
      <c r="L446" s="193">
        <f t="shared" si="184"/>
        <v>0</v>
      </c>
      <c r="M446" s="193">
        <f t="shared" si="184"/>
        <v>0</v>
      </c>
      <c r="N446" s="193">
        <f t="shared" si="184"/>
        <v>0</v>
      </c>
      <c r="O446" s="193">
        <f t="shared" si="184"/>
        <v>0</v>
      </c>
      <c r="P446" s="193">
        <f t="shared" si="184"/>
        <v>0</v>
      </c>
      <c r="Q446" s="193">
        <f t="shared" si="184"/>
        <v>0</v>
      </c>
      <c r="R446" s="193">
        <f t="shared" si="184"/>
        <v>0</v>
      </c>
      <c r="S446" s="193">
        <f t="shared" si="184"/>
        <v>0</v>
      </c>
      <c r="T446" s="193">
        <f t="shared" si="184"/>
        <v>0</v>
      </c>
      <c r="U446" s="224">
        <f t="shared" si="184"/>
        <v>0</v>
      </c>
      <c r="W446" s="1"/>
      <c r="X446" s="1"/>
      <c r="Y446" s="1"/>
    </row>
    <row r="447" spans="1:25">
      <c r="G447" s="26" t="s">
        <v>120</v>
      </c>
      <c r="H447" s="6"/>
      <c r="I447" s="32">
        <f>SUM(I445:I446)</f>
        <v>0</v>
      </c>
      <c r="J447" s="33">
        <f t="shared" ref="J447:S447" si="185">SUM(J445:J446)</f>
        <v>0</v>
      </c>
      <c r="K447" s="33">
        <f t="shared" si="185"/>
        <v>0</v>
      </c>
      <c r="L447" s="33">
        <f t="shared" si="185"/>
        <v>0</v>
      </c>
      <c r="M447" s="33">
        <f t="shared" si="185"/>
        <v>0</v>
      </c>
      <c r="N447" s="33">
        <f t="shared" si="185"/>
        <v>0</v>
      </c>
      <c r="O447" s="33">
        <f t="shared" si="185"/>
        <v>0</v>
      </c>
      <c r="P447" s="33">
        <f t="shared" si="185"/>
        <v>0</v>
      </c>
      <c r="Q447" s="33">
        <f t="shared" si="185"/>
        <v>0</v>
      </c>
      <c r="R447" s="33">
        <f t="shared" si="185"/>
        <v>0</v>
      </c>
      <c r="S447" s="33">
        <f t="shared" si="185"/>
        <v>0</v>
      </c>
      <c r="T447" s="33">
        <f t="shared" ref="T447:U447" si="186">SUM(T445:T446)</f>
        <v>0</v>
      </c>
      <c r="U447" s="33">
        <f t="shared" si="186"/>
        <v>0</v>
      </c>
      <c r="W447" s="1"/>
      <c r="X447" s="1"/>
      <c r="Y447" s="1"/>
    </row>
    <row r="448" spans="1:25">
      <c r="I448" s="31"/>
      <c r="J448" s="24"/>
      <c r="K448" s="24"/>
      <c r="L448" s="24"/>
      <c r="M448" s="24"/>
      <c r="N448" s="24"/>
      <c r="O448" s="24"/>
      <c r="P448" s="24"/>
      <c r="Q448" s="24"/>
      <c r="R448" s="24"/>
      <c r="S448" s="24"/>
      <c r="T448" s="24"/>
      <c r="U448" s="24"/>
      <c r="W448" s="1"/>
      <c r="X448" s="1"/>
      <c r="Y448" s="1"/>
    </row>
    <row r="449" spans="6:25" ht="18.75">
      <c r="F449" s="9" t="s">
        <v>30</v>
      </c>
      <c r="I449" s="2">
        <f>'Facility Detail'!$G$3260</f>
        <v>2011</v>
      </c>
      <c r="J449" s="2">
        <f>I449+1</f>
        <v>2012</v>
      </c>
      <c r="K449" s="2">
        <f>J449+1</f>
        <v>2013</v>
      </c>
      <c r="L449" s="2">
        <f t="shared" ref="L449:P449" si="187">K449+1</f>
        <v>2014</v>
      </c>
      <c r="M449" s="2">
        <f t="shared" si="187"/>
        <v>2015</v>
      </c>
      <c r="N449" s="2">
        <f t="shared" si="187"/>
        <v>2016</v>
      </c>
      <c r="O449" s="2">
        <f t="shared" si="187"/>
        <v>2017</v>
      </c>
      <c r="P449" s="2">
        <f t="shared" si="187"/>
        <v>2018</v>
      </c>
      <c r="Q449" s="2">
        <f t="shared" ref="Q449" si="188">P449+1</f>
        <v>2019</v>
      </c>
      <c r="R449" s="2">
        <f t="shared" ref="R449" si="189">Q449+1</f>
        <v>2020</v>
      </c>
      <c r="S449" s="2">
        <f>R449+1</f>
        <v>2021</v>
      </c>
      <c r="T449" s="2">
        <f>S449+1</f>
        <v>2022</v>
      </c>
      <c r="U449" s="2">
        <f>T449+1</f>
        <v>2023</v>
      </c>
      <c r="W449" s="1"/>
      <c r="X449" s="1"/>
      <c r="Y449" s="1"/>
    </row>
    <row r="450" spans="6:25">
      <c r="G450" s="62" t="s">
        <v>47</v>
      </c>
      <c r="H450" s="57"/>
      <c r="I450" s="71"/>
      <c r="J450" s="72"/>
      <c r="K450" s="72"/>
      <c r="L450" s="72"/>
      <c r="M450" s="72"/>
      <c r="N450" s="72"/>
      <c r="O450" s="72"/>
      <c r="P450" s="72"/>
      <c r="Q450" s="72"/>
      <c r="R450" s="72"/>
      <c r="S450" s="72"/>
      <c r="T450" s="72"/>
      <c r="U450" s="73"/>
      <c r="W450" s="1"/>
      <c r="X450" s="1"/>
      <c r="Y450" s="1"/>
    </row>
    <row r="451" spans="6:25">
      <c r="G451" s="63" t="s">
        <v>23</v>
      </c>
      <c r="H451" s="135"/>
      <c r="I451" s="74"/>
      <c r="J451" s="75"/>
      <c r="K451" s="75"/>
      <c r="L451" s="75"/>
      <c r="M451" s="75"/>
      <c r="N451" s="75"/>
      <c r="O451" s="75"/>
      <c r="P451" s="75"/>
      <c r="Q451" s="75"/>
      <c r="R451" s="75"/>
      <c r="S451" s="75"/>
      <c r="T451" s="75"/>
      <c r="U451" s="76"/>
      <c r="W451" s="1"/>
      <c r="X451" s="1"/>
      <c r="Y451" s="1"/>
    </row>
    <row r="452" spans="6:25">
      <c r="G452" s="63" t="s">
        <v>89</v>
      </c>
      <c r="H452" s="134"/>
      <c r="I452" s="43"/>
      <c r="J452" s="44"/>
      <c r="K452" s="44"/>
      <c r="L452" s="44"/>
      <c r="M452" s="44"/>
      <c r="N452" s="44"/>
      <c r="O452" s="44"/>
      <c r="P452" s="44"/>
      <c r="Q452" s="44"/>
      <c r="R452" s="44"/>
      <c r="S452" s="44"/>
      <c r="T452" s="44"/>
      <c r="U452" s="45"/>
      <c r="W452" s="1"/>
      <c r="X452" s="1"/>
      <c r="Y452" s="1"/>
    </row>
    <row r="453" spans="6:25">
      <c r="G453" s="26" t="s">
        <v>90</v>
      </c>
      <c r="I453" s="7">
        <f>SUM(I450:I452)</f>
        <v>0</v>
      </c>
      <c r="J453" s="7">
        <f>SUM(J450:J452)</f>
        <v>0</v>
      </c>
      <c r="K453" s="7">
        <f>SUM(K450:K452)</f>
        <v>0</v>
      </c>
      <c r="L453" s="7">
        <f t="shared" ref="L453:O453" si="190">SUM(L450:L452)</f>
        <v>0</v>
      </c>
      <c r="M453" s="7">
        <f t="shared" si="190"/>
        <v>0</v>
      </c>
      <c r="N453" s="7">
        <f t="shared" si="190"/>
        <v>0</v>
      </c>
      <c r="O453" s="7">
        <f t="shared" si="190"/>
        <v>0</v>
      </c>
      <c r="P453" s="7">
        <f t="shared" ref="P453:S453" si="191">SUM(P450:P452)</f>
        <v>0</v>
      </c>
      <c r="Q453" s="7">
        <f t="shared" si="191"/>
        <v>0</v>
      </c>
      <c r="R453" s="7">
        <f t="shared" ref="R453" si="192">SUM(R450:R452)</f>
        <v>0</v>
      </c>
      <c r="S453" s="7">
        <f t="shared" si="191"/>
        <v>0</v>
      </c>
      <c r="T453" s="7">
        <f t="shared" ref="T453:U453" si="193">SUM(T450:T452)</f>
        <v>0</v>
      </c>
      <c r="U453" s="7">
        <f t="shared" si="193"/>
        <v>0</v>
      </c>
      <c r="W453" s="1"/>
      <c r="X453" s="1"/>
      <c r="Y453" s="1"/>
    </row>
    <row r="454" spans="6:25">
      <c r="G454" s="6"/>
      <c r="I454" s="7"/>
      <c r="J454" s="7"/>
      <c r="K454" s="7"/>
      <c r="L454" s="23"/>
      <c r="M454" s="23"/>
      <c r="N454" s="23"/>
      <c r="O454" s="23"/>
      <c r="P454" s="23"/>
      <c r="Q454" s="23"/>
      <c r="R454" s="23"/>
      <c r="S454" s="23"/>
      <c r="T454" s="23"/>
      <c r="U454" s="23"/>
      <c r="W454" s="1"/>
      <c r="X454" s="1"/>
      <c r="Y454" s="1"/>
    </row>
    <row r="455" spans="6:25" ht="18.75">
      <c r="F455" s="9" t="s">
        <v>100</v>
      </c>
      <c r="I455" s="2">
        <f>'Facility Detail'!$G$3260</f>
        <v>2011</v>
      </c>
      <c r="J455" s="2">
        <f>I455+1</f>
        <v>2012</v>
      </c>
      <c r="K455" s="2">
        <f>J455+1</f>
        <v>2013</v>
      </c>
      <c r="L455" s="2">
        <f t="shared" ref="L455:P455" si="194">K455+1</f>
        <v>2014</v>
      </c>
      <c r="M455" s="2">
        <f t="shared" si="194"/>
        <v>2015</v>
      </c>
      <c r="N455" s="2">
        <f t="shared" si="194"/>
        <v>2016</v>
      </c>
      <c r="O455" s="2">
        <f t="shared" si="194"/>
        <v>2017</v>
      </c>
      <c r="P455" s="2">
        <f t="shared" si="194"/>
        <v>2018</v>
      </c>
      <c r="Q455" s="2">
        <f t="shared" ref="Q455" si="195">P455+1</f>
        <v>2019</v>
      </c>
      <c r="R455" s="2">
        <f t="shared" ref="R455" si="196">Q455+1</f>
        <v>2020</v>
      </c>
      <c r="S455" s="2">
        <f>R455+1</f>
        <v>2021</v>
      </c>
      <c r="T455" s="2">
        <f>S455+1</f>
        <v>2022</v>
      </c>
      <c r="U455" s="2">
        <f>T455+1</f>
        <v>2023</v>
      </c>
      <c r="W455" s="1"/>
      <c r="X455" s="1"/>
      <c r="Y455" s="1"/>
    </row>
    <row r="456" spans="6:25" ht="14.25" customHeight="1">
      <c r="F456" s="9"/>
      <c r="G456" s="62" t="s">
        <v>68</v>
      </c>
      <c r="I456" s="230"/>
      <c r="J456" s="231">
        <f>I456</f>
        <v>0</v>
      </c>
      <c r="K456" s="232"/>
      <c r="L456" s="232"/>
      <c r="M456" s="232"/>
      <c r="N456" s="232"/>
      <c r="O456" s="232"/>
      <c r="P456" s="232"/>
      <c r="Q456" s="232"/>
      <c r="R456" s="232"/>
      <c r="S456" s="232"/>
      <c r="T456" s="217"/>
      <c r="U456" s="47"/>
      <c r="W456" s="1"/>
      <c r="X456" s="1"/>
      <c r="Y456" s="1"/>
    </row>
    <row r="457" spans="6:25" ht="14.25" customHeight="1">
      <c r="F457" s="9"/>
      <c r="G457" s="62" t="s">
        <v>69</v>
      </c>
      <c r="I457" s="229">
        <f>J457</f>
        <v>0</v>
      </c>
      <c r="J457" s="233"/>
      <c r="K457" s="234"/>
      <c r="L457" s="234"/>
      <c r="M457" s="234"/>
      <c r="N457" s="234"/>
      <c r="O457" s="234"/>
      <c r="P457" s="234"/>
      <c r="Q457" s="234"/>
      <c r="R457" s="234"/>
      <c r="S457" s="234"/>
      <c r="T457" s="218"/>
      <c r="U457" s="128"/>
      <c r="W457" s="1"/>
      <c r="X457" s="1"/>
      <c r="Y457" s="1"/>
    </row>
    <row r="458" spans="6:25" ht="14.25" customHeight="1">
      <c r="F458" s="9"/>
      <c r="G458" s="62" t="s">
        <v>70</v>
      </c>
      <c r="I458" s="235"/>
      <c r="J458" s="233">
        <f>J442</f>
        <v>0</v>
      </c>
      <c r="K458" s="236">
        <f>J458</f>
        <v>0</v>
      </c>
      <c r="L458" s="234"/>
      <c r="M458" s="234"/>
      <c r="N458" s="234"/>
      <c r="O458" s="234"/>
      <c r="P458" s="234"/>
      <c r="Q458" s="234"/>
      <c r="R458" s="234"/>
      <c r="S458" s="234"/>
      <c r="T458" s="218"/>
      <c r="U458" s="128"/>
      <c r="W458" s="1"/>
      <c r="X458" s="1"/>
      <c r="Y458" s="1"/>
    </row>
    <row r="459" spans="6:25" ht="14.25" customHeight="1">
      <c r="F459" s="9"/>
      <c r="G459" s="62" t="s">
        <v>71</v>
      </c>
      <c r="I459" s="235"/>
      <c r="J459" s="236">
        <f>K459</f>
        <v>0</v>
      </c>
      <c r="K459" s="237"/>
      <c r="L459" s="234"/>
      <c r="M459" s="234"/>
      <c r="N459" s="234"/>
      <c r="O459" s="234"/>
      <c r="P459" s="234"/>
      <c r="Q459" s="234"/>
      <c r="R459" s="234"/>
      <c r="S459" s="234"/>
      <c r="T459" s="218"/>
      <c r="U459" s="128"/>
      <c r="W459" s="1"/>
      <c r="X459" s="1"/>
      <c r="Y459" s="1"/>
    </row>
    <row r="460" spans="6:25" ht="14.25" customHeight="1">
      <c r="F460" s="9"/>
      <c r="G460" s="62" t="s">
        <v>170</v>
      </c>
      <c r="I460" s="235"/>
      <c r="J460" s="238"/>
      <c r="K460" s="233">
        <f>K442</f>
        <v>0</v>
      </c>
      <c r="L460" s="239">
        <f>K460</f>
        <v>0</v>
      </c>
      <c r="M460" s="234"/>
      <c r="N460" s="234"/>
      <c r="O460" s="234"/>
      <c r="P460" s="234"/>
      <c r="Q460" s="234"/>
      <c r="R460" s="234"/>
      <c r="S460" s="234"/>
      <c r="T460" s="146"/>
      <c r="U460" s="122"/>
      <c r="W460" s="1"/>
      <c r="X460" s="1"/>
      <c r="Y460" s="1"/>
    </row>
    <row r="461" spans="6:25" ht="14.25" customHeight="1">
      <c r="G461" s="62" t="s">
        <v>171</v>
      </c>
      <c r="I461" s="235"/>
      <c r="J461" s="238"/>
      <c r="K461" s="236">
        <f>L461</f>
        <v>0</v>
      </c>
      <c r="L461" s="233"/>
      <c r="M461" s="234"/>
      <c r="N461" s="234"/>
      <c r="O461" s="234" t="s">
        <v>169</v>
      </c>
      <c r="P461" s="234"/>
      <c r="Q461" s="234"/>
      <c r="R461" s="234"/>
      <c r="S461" s="234"/>
      <c r="T461" s="146"/>
      <c r="U461" s="122"/>
      <c r="W461" s="1"/>
      <c r="X461" s="1"/>
      <c r="Y461" s="1"/>
    </row>
    <row r="462" spans="6:25" ht="14.25" customHeight="1">
      <c r="G462" s="62" t="s">
        <v>172</v>
      </c>
      <c r="I462" s="235"/>
      <c r="J462" s="238"/>
      <c r="K462" s="238"/>
      <c r="L462" s="233"/>
      <c r="M462" s="239">
        <f>L462</f>
        <v>0</v>
      </c>
      <c r="N462" s="238">
        <f>M462</f>
        <v>0</v>
      </c>
      <c r="O462" s="234"/>
      <c r="P462" s="234"/>
      <c r="Q462" s="234"/>
      <c r="R462" s="234"/>
      <c r="S462" s="234"/>
      <c r="T462" s="146"/>
      <c r="U462" s="122"/>
      <c r="W462" s="1"/>
      <c r="X462" s="1"/>
      <c r="Y462" s="1"/>
    </row>
    <row r="463" spans="6:25" ht="14.25" customHeight="1">
      <c r="G463" s="62" t="s">
        <v>173</v>
      </c>
      <c r="I463" s="235"/>
      <c r="J463" s="238"/>
      <c r="K463" s="238"/>
      <c r="L463" s="236"/>
      <c r="M463" s="233"/>
      <c r="N463" s="238"/>
      <c r="O463" s="234"/>
      <c r="P463" s="234"/>
      <c r="Q463" s="234"/>
      <c r="R463" s="234"/>
      <c r="S463" s="234"/>
      <c r="T463" s="146"/>
      <c r="U463" s="122"/>
      <c r="W463" s="1"/>
      <c r="X463" s="1"/>
      <c r="Y463" s="1"/>
    </row>
    <row r="464" spans="6:25" ht="14.25" customHeight="1">
      <c r="G464" s="62" t="s">
        <v>174</v>
      </c>
      <c r="I464" s="235"/>
      <c r="J464" s="238"/>
      <c r="K464" s="238"/>
      <c r="L464" s="238"/>
      <c r="M464" s="233">
        <f>M442</f>
        <v>23680</v>
      </c>
      <c r="N464" s="239">
        <f>M464</f>
        <v>23680</v>
      </c>
      <c r="O464" s="234"/>
      <c r="P464" s="234"/>
      <c r="Q464" s="234"/>
      <c r="R464" s="234"/>
      <c r="S464" s="234"/>
      <c r="T464" s="146"/>
      <c r="U464" s="122"/>
      <c r="W464" s="1"/>
      <c r="X464" s="1"/>
      <c r="Y464" s="1"/>
    </row>
    <row r="465" spans="7:25" ht="14.25" customHeight="1">
      <c r="G465" s="62" t="s">
        <v>175</v>
      </c>
      <c r="I465" s="235"/>
      <c r="J465" s="238"/>
      <c r="K465" s="238"/>
      <c r="L465" s="238"/>
      <c r="M465" s="236"/>
      <c r="N465" s="233"/>
      <c r="O465" s="234"/>
      <c r="P465" s="234"/>
      <c r="Q465" s="234"/>
      <c r="R465" s="234"/>
      <c r="S465" s="234"/>
      <c r="T465" s="146"/>
      <c r="U465" s="122"/>
      <c r="W465" s="1"/>
      <c r="X465" s="1"/>
      <c r="Y465" s="1"/>
    </row>
    <row r="466" spans="7:25" ht="14.25" customHeight="1">
      <c r="G466" s="62" t="s">
        <v>176</v>
      </c>
      <c r="I466" s="235"/>
      <c r="J466" s="238"/>
      <c r="K466" s="238"/>
      <c r="L466" s="238"/>
      <c r="M466" s="238"/>
      <c r="N466" s="240">
        <v>0</v>
      </c>
      <c r="O466" s="241">
        <f>N466</f>
        <v>0</v>
      </c>
      <c r="P466" s="234"/>
      <c r="Q466" s="234"/>
      <c r="R466" s="234"/>
      <c r="S466" s="234"/>
      <c r="T466" s="146"/>
      <c r="U466" s="122"/>
      <c r="W466" s="1"/>
      <c r="X466" s="1"/>
      <c r="Y466" s="1"/>
    </row>
    <row r="467" spans="7:25" ht="14.25" customHeight="1">
      <c r="G467" s="62" t="s">
        <v>167</v>
      </c>
      <c r="I467" s="235"/>
      <c r="J467" s="238"/>
      <c r="K467" s="238"/>
      <c r="L467" s="238"/>
      <c r="M467" s="238"/>
      <c r="N467" s="242"/>
      <c r="O467" s="243"/>
      <c r="P467" s="234"/>
      <c r="Q467" s="234"/>
      <c r="R467" s="234"/>
      <c r="S467" s="234"/>
      <c r="T467" s="146"/>
      <c r="U467" s="122"/>
      <c r="W467" s="1"/>
      <c r="X467" s="1"/>
      <c r="Y467" s="1"/>
    </row>
    <row r="468" spans="7:25" ht="14.25" customHeight="1">
      <c r="G468" s="62" t="s">
        <v>168</v>
      </c>
      <c r="I468" s="235"/>
      <c r="J468" s="238"/>
      <c r="K468" s="238"/>
      <c r="L468" s="238"/>
      <c r="M468" s="238"/>
      <c r="N468" s="238"/>
      <c r="O468" s="243">
        <f>O442</f>
        <v>25187</v>
      </c>
      <c r="P468" s="241">
        <f>O468</f>
        <v>25187</v>
      </c>
      <c r="Q468" s="234"/>
      <c r="R468" s="234"/>
      <c r="S468" s="234"/>
      <c r="T468" s="146"/>
      <c r="U468" s="122"/>
      <c r="W468" s="1"/>
      <c r="X468" s="1"/>
      <c r="Y468" s="1"/>
    </row>
    <row r="469" spans="7:25" ht="14.25" customHeight="1">
      <c r="G469" s="62" t="s">
        <v>185</v>
      </c>
      <c r="I469" s="235"/>
      <c r="J469" s="238"/>
      <c r="K469" s="238"/>
      <c r="L469" s="238"/>
      <c r="M469" s="238"/>
      <c r="N469" s="238"/>
      <c r="O469" s="241"/>
      <c r="P469" s="243"/>
      <c r="Q469" s="234"/>
      <c r="R469" s="234"/>
      <c r="S469" s="234"/>
      <c r="T469" s="146"/>
      <c r="U469" s="122"/>
      <c r="W469" s="1"/>
      <c r="X469" s="1"/>
      <c r="Y469" s="1"/>
    </row>
    <row r="470" spans="7:25" ht="14.25" customHeight="1">
      <c r="G470" s="62" t="s">
        <v>186</v>
      </c>
      <c r="I470" s="235"/>
      <c r="J470" s="238"/>
      <c r="K470" s="238"/>
      <c r="L470" s="238"/>
      <c r="M470" s="238"/>
      <c r="N470" s="238"/>
      <c r="O470" s="238"/>
      <c r="P470" s="243">
        <v>0</v>
      </c>
      <c r="Q470" s="236">
        <f>P470</f>
        <v>0</v>
      </c>
      <c r="R470" s="234"/>
      <c r="S470" s="234"/>
      <c r="T470" s="146"/>
      <c r="U470" s="122"/>
      <c r="W470" s="1"/>
      <c r="X470" s="1"/>
      <c r="Y470" s="1"/>
    </row>
    <row r="471" spans="7:25" ht="14.25" customHeight="1">
      <c r="G471" s="62" t="s">
        <v>187</v>
      </c>
      <c r="I471" s="235"/>
      <c r="J471" s="238"/>
      <c r="K471" s="238"/>
      <c r="L471" s="238"/>
      <c r="M471" s="238"/>
      <c r="N471" s="238"/>
      <c r="O471" s="238"/>
      <c r="P471" s="241"/>
      <c r="Q471" s="244"/>
      <c r="R471" s="234"/>
      <c r="S471" s="234"/>
      <c r="T471" s="146"/>
      <c r="U471" s="122"/>
      <c r="W471" s="1"/>
      <c r="X471" s="1"/>
      <c r="Y471" s="1"/>
    </row>
    <row r="472" spans="7:25" ht="14.25" customHeight="1">
      <c r="G472" s="62" t="s">
        <v>188</v>
      </c>
      <c r="I472" s="235"/>
      <c r="J472" s="238"/>
      <c r="K472" s="238"/>
      <c r="L472" s="238"/>
      <c r="M472" s="238"/>
      <c r="N472" s="238"/>
      <c r="O472" s="238"/>
      <c r="P472" s="238"/>
      <c r="Q472" s="243"/>
      <c r="R472" s="245">
        <f>P472</f>
        <v>0</v>
      </c>
      <c r="S472" s="234"/>
      <c r="T472" s="146"/>
      <c r="U472" s="122"/>
      <c r="W472" s="1"/>
      <c r="X472" s="1"/>
      <c r="Y472" s="1"/>
    </row>
    <row r="473" spans="7:25">
      <c r="G473" s="62" t="s">
        <v>189</v>
      </c>
      <c r="I473" s="235"/>
      <c r="J473" s="238"/>
      <c r="K473" s="238"/>
      <c r="L473" s="238"/>
      <c r="M473" s="238"/>
      <c r="N473" s="238"/>
      <c r="O473" s="238"/>
      <c r="P473" s="238"/>
      <c r="Q473" s="245"/>
      <c r="R473" s="246"/>
      <c r="S473" s="234"/>
      <c r="T473" s="146"/>
      <c r="U473" s="122"/>
      <c r="W473" s="1"/>
      <c r="X473" s="1"/>
      <c r="Y473" s="1"/>
    </row>
    <row r="474" spans="7:25">
      <c r="G474" s="62" t="s">
        <v>190</v>
      </c>
      <c r="I474" s="235"/>
      <c r="J474" s="238"/>
      <c r="K474" s="238"/>
      <c r="L474" s="238"/>
      <c r="M474" s="238"/>
      <c r="N474" s="238"/>
      <c r="O474" s="238"/>
      <c r="P474" s="238"/>
      <c r="Q474" s="238"/>
      <c r="R474" s="246"/>
      <c r="S474" s="245">
        <f>Q472</f>
        <v>0</v>
      </c>
      <c r="T474" s="146"/>
      <c r="U474" s="122"/>
      <c r="W474" s="1"/>
      <c r="X474" s="1"/>
      <c r="Y474" s="1"/>
    </row>
    <row r="475" spans="7:25">
      <c r="G475" s="62" t="s">
        <v>199</v>
      </c>
      <c r="I475" s="235"/>
      <c r="J475" s="238"/>
      <c r="K475" s="238"/>
      <c r="L475" s="238"/>
      <c r="M475" s="238"/>
      <c r="N475" s="238"/>
      <c r="O475" s="238"/>
      <c r="P475" s="238"/>
      <c r="Q475" s="238"/>
      <c r="R475" s="241">
        <f>S475</f>
        <v>20000</v>
      </c>
      <c r="S475" s="246">
        <v>20000</v>
      </c>
      <c r="T475" s="146"/>
      <c r="U475" s="122"/>
      <c r="W475" s="1"/>
      <c r="X475" s="1"/>
      <c r="Y475" s="1"/>
    </row>
    <row r="476" spans="7:25">
      <c r="G476" s="62" t="s">
        <v>200</v>
      </c>
      <c r="I476" s="235"/>
      <c r="J476" s="238"/>
      <c r="K476" s="238"/>
      <c r="L476" s="238"/>
      <c r="M476" s="238"/>
      <c r="N476" s="238"/>
      <c r="O476" s="238"/>
      <c r="P476" s="238"/>
      <c r="Q476" s="238"/>
      <c r="R476" s="238"/>
      <c r="S476" s="246"/>
      <c r="T476" s="245"/>
      <c r="U476" s="122"/>
      <c r="W476" s="1"/>
      <c r="X476" s="1"/>
      <c r="Y476" s="1"/>
    </row>
    <row r="477" spans="7:25">
      <c r="G477" s="62" t="s">
        <v>308</v>
      </c>
      <c r="I477" s="235"/>
      <c r="J477" s="238"/>
      <c r="K477" s="238"/>
      <c r="L477" s="238"/>
      <c r="M477" s="238"/>
      <c r="N477" s="238"/>
      <c r="O477" s="238"/>
      <c r="P477" s="238"/>
      <c r="Q477" s="238"/>
      <c r="R477" s="238"/>
      <c r="S477" s="241"/>
      <c r="T477" s="246"/>
      <c r="U477" s="122"/>
      <c r="W477" s="1"/>
      <c r="X477" s="1"/>
      <c r="Y477" s="1"/>
    </row>
    <row r="478" spans="7:25">
      <c r="G478" s="62" t="s">
        <v>307</v>
      </c>
      <c r="I478" s="114"/>
      <c r="J478" s="107"/>
      <c r="K478" s="107"/>
      <c r="L478" s="107"/>
      <c r="M478" s="107"/>
      <c r="N478" s="107"/>
      <c r="O478" s="107"/>
      <c r="P478" s="107"/>
      <c r="Q478" s="107"/>
      <c r="R478" s="107"/>
      <c r="S478" s="107"/>
      <c r="T478" s="246"/>
      <c r="U478" s="453"/>
      <c r="W478" s="1"/>
      <c r="X478" s="1"/>
      <c r="Y478" s="1"/>
    </row>
    <row r="479" spans="7:25">
      <c r="G479" s="62" t="s">
        <v>318</v>
      </c>
      <c r="I479" s="114"/>
      <c r="J479" s="107"/>
      <c r="K479" s="107"/>
      <c r="L479" s="107"/>
      <c r="M479" s="107"/>
      <c r="N479" s="107"/>
      <c r="O479" s="107"/>
      <c r="P479" s="107"/>
      <c r="Q479" s="107"/>
      <c r="R479" s="107"/>
      <c r="S479" s="107"/>
      <c r="T479" s="241"/>
      <c r="U479" s="454"/>
      <c r="W479" s="1"/>
      <c r="X479" s="1"/>
      <c r="Y479" s="1"/>
    </row>
    <row r="480" spans="7:25">
      <c r="G480" s="62" t="s">
        <v>319</v>
      </c>
      <c r="I480" s="49"/>
      <c r="J480" s="194"/>
      <c r="K480" s="194"/>
      <c r="L480" s="194"/>
      <c r="M480" s="194"/>
      <c r="N480" s="194"/>
      <c r="O480" s="194"/>
      <c r="P480" s="194"/>
      <c r="Q480" s="194"/>
      <c r="R480" s="194"/>
      <c r="S480" s="194"/>
      <c r="T480" s="194"/>
      <c r="U480" s="455"/>
      <c r="W480" s="1"/>
      <c r="X480" s="1"/>
      <c r="Y480" s="1"/>
    </row>
    <row r="481" spans="1:25">
      <c r="B481" s="1" t="s">
        <v>209</v>
      </c>
      <c r="G481" s="26" t="s">
        <v>17</v>
      </c>
      <c r="I481" s="7">
        <f xml:space="preserve"> I460 - I456</f>
        <v>0</v>
      </c>
      <c r="J481" s="7">
        <f xml:space="preserve"> J456 + J464 - J461 - J460</f>
        <v>0</v>
      </c>
      <c r="K481" s="7">
        <f>K461 - K464</f>
        <v>0</v>
      </c>
      <c r="L481" s="7">
        <f>L461 - L464</f>
        <v>0</v>
      </c>
      <c r="M481" s="7">
        <f>M462-M463-M464</f>
        <v>-23680</v>
      </c>
      <c r="N481" s="7">
        <f>N464-N465-N466</f>
        <v>23680</v>
      </c>
      <c r="O481" s="7">
        <f>O466-O467-O468</f>
        <v>-25187</v>
      </c>
      <c r="P481" s="247">
        <f>P468-P469-P470</f>
        <v>25187</v>
      </c>
      <c r="Q481" s="247">
        <f>Q470-Q471-Q472</f>
        <v>0</v>
      </c>
      <c r="R481" s="247">
        <f>R475</f>
        <v>20000</v>
      </c>
      <c r="S481" s="7">
        <f>S474-S475-S476</f>
        <v>-20000</v>
      </c>
      <c r="T481" s="7">
        <f>T476-T477-T478</f>
        <v>0</v>
      </c>
      <c r="U481" s="7">
        <f>U476-U477-U478</f>
        <v>0</v>
      </c>
      <c r="W481" s="1"/>
      <c r="X481" s="1"/>
      <c r="Y481" s="1"/>
    </row>
    <row r="482" spans="1:25">
      <c r="G482" s="6"/>
      <c r="I482" s="154"/>
      <c r="J482" s="154"/>
      <c r="K482" s="154"/>
      <c r="L482" s="154"/>
      <c r="M482" s="154"/>
      <c r="N482" s="154"/>
      <c r="O482" s="154"/>
      <c r="P482" s="154"/>
      <c r="Q482" s="154"/>
      <c r="R482" s="154"/>
      <c r="S482" s="154"/>
      <c r="T482" s="154"/>
      <c r="U482" s="154"/>
      <c r="W482" s="1"/>
      <c r="X482" s="1"/>
      <c r="Y482" s="1"/>
    </row>
    <row r="483" spans="1:25">
      <c r="G483" s="26" t="s">
        <v>12</v>
      </c>
      <c r="H483" s="57"/>
      <c r="I483" s="155"/>
      <c r="J483" s="156"/>
      <c r="K483" s="156"/>
      <c r="L483" s="156"/>
      <c r="M483" s="156"/>
      <c r="N483" s="156"/>
      <c r="O483" s="156"/>
      <c r="P483" s="156"/>
      <c r="Q483" s="156"/>
      <c r="R483" s="156"/>
      <c r="S483" s="156"/>
      <c r="T483" s="156"/>
      <c r="U483" s="267"/>
      <c r="W483" s="1"/>
      <c r="X483" s="1"/>
      <c r="Y483" s="1"/>
    </row>
    <row r="484" spans="1:25">
      <c r="G484" s="6"/>
      <c r="I484" s="154"/>
      <c r="J484" s="154"/>
      <c r="K484" s="154"/>
      <c r="L484" s="154"/>
      <c r="M484" s="154"/>
      <c r="N484" s="154"/>
      <c r="O484" s="154"/>
      <c r="P484" s="154"/>
      <c r="Q484" s="154"/>
      <c r="R484" s="154"/>
      <c r="S484" s="154"/>
      <c r="T484" s="154"/>
      <c r="U484" s="154"/>
      <c r="W484" s="1"/>
      <c r="X484" s="1"/>
      <c r="Y484" s="1"/>
    </row>
    <row r="485" spans="1:25" ht="18.75">
      <c r="C485" s="1" t="s">
        <v>209</v>
      </c>
      <c r="D485" s="1" t="s">
        <v>159</v>
      </c>
      <c r="E485" s="1" t="s">
        <v>107</v>
      </c>
      <c r="F485" s="9" t="s">
        <v>26</v>
      </c>
      <c r="H485" s="57"/>
      <c r="I485" s="157">
        <f t="shared" ref="I485:S485" si="197" xml:space="preserve"> I442 + I447 - I453 + I481 + I483</f>
        <v>0</v>
      </c>
      <c r="J485" s="158">
        <f t="shared" si="197"/>
        <v>0</v>
      </c>
      <c r="K485" s="158">
        <f t="shared" si="197"/>
        <v>0</v>
      </c>
      <c r="L485" s="158">
        <f t="shared" si="197"/>
        <v>0</v>
      </c>
      <c r="M485" s="158">
        <f t="shared" si="197"/>
        <v>0</v>
      </c>
      <c r="N485" s="158">
        <f t="shared" si="197"/>
        <v>50956</v>
      </c>
      <c r="O485" s="158">
        <f t="shared" si="197"/>
        <v>0</v>
      </c>
      <c r="P485" s="158">
        <f t="shared" si="197"/>
        <v>49754</v>
      </c>
      <c r="Q485" s="158">
        <f t="shared" si="197"/>
        <v>11268.704699476382</v>
      </c>
      <c r="R485" s="158">
        <f t="shared" si="197"/>
        <v>47865.574571658581</v>
      </c>
      <c r="S485" s="158">
        <f t="shared" si="197"/>
        <v>4026</v>
      </c>
      <c r="T485" s="158">
        <f t="shared" ref="T485:U485" si="198" xml:space="preserve"> T442 + T447 - T453 + T481 + T483</f>
        <v>25017</v>
      </c>
      <c r="U485" s="268">
        <f t="shared" si="198"/>
        <v>26155</v>
      </c>
      <c r="W485" s="1"/>
      <c r="X485" s="1"/>
      <c r="Y485" s="1"/>
    </row>
    <row r="486" spans="1:25">
      <c r="G486" s="6"/>
      <c r="I486" s="7"/>
      <c r="J486" s="7"/>
      <c r="K486" s="7"/>
      <c r="L486" s="23"/>
      <c r="M486" s="23"/>
      <c r="N486" s="23"/>
      <c r="O486" s="23"/>
      <c r="P486" s="23"/>
      <c r="Q486" s="23"/>
      <c r="R486" s="23"/>
      <c r="S486" s="23"/>
      <c r="T486" s="23"/>
      <c r="U486" s="23"/>
      <c r="W486" s="1"/>
      <c r="X486" s="1"/>
      <c r="Y486" s="1"/>
    </row>
    <row r="487" spans="1:25" ht="15.75" thickBot="1">
      <c r="S487" s="1"/>
      <c r="W487" s="1"/>
      <c r="X487" s="1"/>
      <c r="Y487" s="1"/>
    </row>
    <row r="488" spans="1:25" ht="15.75" thickBot="1">
      <c r="F488" s="8"/>
      <c r="G488" s="8"/>
      <c r="H488" s="8"/>
      <c r="I488" s="8"/>
      <c r="J488" s="8"/>
      <c r="K488" s="8"/>
      <c r="L488" s="8"/>
      <c r="M488" s="8"/>
      <c r="N488" s="8"/>
      <c r="O488" s="8"/>
      <c r="P488" s="8"/>
      <c r="Q488" s="8"/>
      <c r="R488" s="8"/>
      <c r="S488" s="8"/>
      <c r="T488" s="8"/>
      <c r="U488" s="8"/>
      <c r="W488" s="1"/>
      <c r="X488" s="1"/>
      <c r="Y488" s="1"/>
    </row>
    <row r="489" spans="1:25" ht="21.75" thickBot="1">
      <c r="F489" s="13" t="s">
        <v>4</v>
      </c>
      <c r="G489" s="13"/>
      <c r="H489" s="185" t="s">
        <v>210</v>
      </c>
      <c r="I489" s="183"/>
      <c r="S489" s="1"/>
      <c r="W489" s="1"/>
      <c r="X489" s="1"/>
      <c r="Y489" s="1"/>
    </row>
    <row r="490" spans="1:25">
      <c r="S490" s="1"/>
      <c r="W490" s="1"/>
      <c r="X490" s="1"/>
      <c r="Y490" s="1"/>
    </row>
    <row r="491" spans="1:25" ht="18.75">
      <c r="F491" s="9" t="s">
        <v>21</v>
      </c>
      <c r="G491" s="9"/>
      <c r="I491" s="2">
        <v>2011</v>
      </c>
      <c r="J491" s="2">
        <f>I491+1</f>
        <v>2012</v>
      </c>
      <c r="K491" s="2">
        <f t="shared" ref="K491" si="199">J491+1</f>
        <v>2013</v>
      </c>
      <c r="L491" s="2">
        <f t="shared" ref="L491" si="200">K491+1</f>
        <v>2014</v>
      </c>
      <c r="M491" s="2">
        <f t="shared" ref="M491" si="201">L491+1</f>
        <v>2015</v>
      </c>
      <c r="N491" s="2">
        <f t="shared" ref="N491" si="202">M491+1</f>
        <v>2016</v>
      </c>
      <c r="O491" s="2">
        <f t="shared" ref="O491" si="203">N491+1</f>
        <v>2017</v>
      </c>
      <c r="P491" s="2">
        <f t="shared" ref="P491" si="204">O491+1</f>
        <v>2018</v>
      </c>
      <c r="Q491" s="2">
        <f t="shared" ref="Q491" si="205">P491+1</f>
        <v>2019</v>
      </c>
      <c r="R491" s="2">
        <f t="shared" ref="R491" si="206">Q491+1</f>
        <v>2020</v>
      </c>
      <c r="S491" s="2">
        <f>R491+1</f>
        <v>2021</v>
      </c>
      <c r="T491" s="2">
        <f>S491+1</f>
        <v>2022</v>
      </c>
      <c r="U491" s="2">
        <f>T491+1</f>
        <v>2023</v>
      </c>
      <c r="W491" s="1"/>
      <c r="X491" s="1"/>
      <c r="Y491" s="1"/>
    </row>
    <row r="492" spans="1:25">
      <c r="G492" s="62" t="str">
        <f>"Total MWh Produced / Purchased from " &amp; H489</f>
        <v>Total MWh Produced / Purchased from Cedar Springs Wind I</v>
      </c>
      <c r="H492" s="57"/>
      <c r="I492" s="3"/>
      <c r="J492" s="4"/>
      <c r="K492" s="4"/>
      <c r="L492" s="4"/>
      <c r="M492" s="4"/>
      <c r="N492" s="4"/>
      <c r="O492" s="4">
        <v>0</v>
      </c>
      <c r="P492" s="4"/>
      <c r="Q492" s="4"/>
      <c r="R492" s="4"/>
      <c r="S492" s="4">
        <v>762074</v>
      </c>
      <c r="T492" s="4">
        <v>821086</v>
      </c>
      <c r="U492" s="5">
        <v>771241</v>
      </c>
      <c r="W492" s="1"/>
      <c r="X492" s="1"/>
      <c r="Y492" s="1"/>
    </row>
    <row r="493" spans="1:25">
      <c r="G493" s="62" t="s">
        <v>25</v>
      </c>
      <c r="H493" s="57"/>
      <c r="I493" s="269"/>
      <c r="J493" s="41"/>
      <c r="K493" s="41"/>
      <c r="L493" s="41"/>
      <c r="M493" s="41"/>
      <c r="N493" s="41"/>
      <c r="O493" s="41"/>
      <c r="P493" s="41"/>
      <c r="Q493" s="41"/>
      <c r="R493" s="41"/>
      <c r="S493" s="41">
        <v>1</v>
      </c>
      <c r="T493" s="41">
        <v>1</v>
      </c>
      <c r="U493" s="41">
        <v>1</v>
      </c>
      <c r="W493" s="1"/>
      <c r="X493" s="1"/>
      <c r="Y493" s="1"/>
    </row>
    <row r="494" spans="1:25">
      <c r="G494" s="62" t="s">
        <v>20</v>
      </c>
      <c r="H494" s="57"/>
      <c r="I494" s="270"/>
      <c r="J494" s="36"/>
      <c r="K494" s="36"/>
      <c r="L494" s="36"/>
      <c r="M494" s="36"/>
      <c r="N494" s="36"/>
      <c r="O494" s="36"/>
      <c r="P494" s="36"/>
      <c r="Q494" s="36"/>
      <c r="R494" s="36"/>
      <c r="S494" s="36">
        <f>S2</f>
        <v>7.9696892166366717E-2</v>
      </c>
      <c r="T494" s="36">
        <f>T2</f>
        <v>7.8737918965874246E-2</v>
      </c>
      <c r="U494" s="36">
        <f>U2</f>
        <v>7.8407467372863096E-2</v>
      </c>
      <c r="W494" s="1"/>
      <c r="X494" s="1"/>
      <c r="Y494" s="1"/>
    </row>
    <row r="495" spans="1:25">
      <c r="A495" s="1" t="s">
        <v>210</v>
      </c>
      <c r="G495" s="26" t="s">
        <v>22</v>
      </c>
      <c r="H495" s="6"/>
      <c r="I495" s="30">
        <v>0</v>
      </c>
      <c r="J495" s="30">
        <v>0</v>
      </c>
      <c r="K495" s="30">
        <v>0</v>
      </c>
      <c r="L495" s="30">
        <v>0</v>
      </c>
      <c r="M495" s="30">
        <v>0</v>
      </c>
      <c r="N495" s="161">
        <v>0</v>
      </c>
      <c r="O495" s="161">
        <f t="shared" ref="O495:R495" si="207">O492*O494</f>
        <v>0</v>
      </c>
      <c r="P495" s="161">
        <f t="shared" si="207"/>
        <v>0</v>
      </c>
      <c r="Q495" s="161">
        <f t="shared" si="207"/>
        <v>0</v>
      </c>
      <c r="R495" s="161">
        <f t="shared" si="207"/>
        <v>0</v>
      </c>
      <c r="S495" s="161">
        <f>ROUND(S492*S494,0)</f>
        <v>60735</v>
      </c>
      <c r="T495" s="161">
        <f>ROUNDUP(T492*T494,0)</f>
        <v>64651</v>
      </c>
      <c r="U495" s="161">
        <f t="shared" ref="U495" si="208">ROUNDDOWN(U492*U494,0)</f>
        <v>60471</v>
      </c>
      <c r="W495" s="1"/>
      <c r="X495" s="1"/>
      <c r="Y495" s="1"/>
    </row>
    <row r="496" spans="1:25">
      <c r="I496" s="29"/>
      <c r="J496" s="29"/>
      <c r="K496" s="29"/>
      <c r="L496" s="29"/>
      <c r="M496" s="29"/>
      <c r="N496" s="20"/>
      <c r="O496" s="20"/>
      <c r="P496" s="20"/>
      <c r="Q496" s="20"/>
      <c r="R496" s="20"/>
      <c r="S496" s="20"/>
      <c r="T496" s="20"/>
      <c r="U496" s="20"/>
      <c r="W496" s="1"/>
      <c r="X496" s="1"/>
      <c r="Y496" s="1"/>
    </row>
    <row r="497" spans="6:25" ht="18.75">
      <c r="F497" s="9" t="s">
        <v>118</v>
      </c>
      <c r="I497" s="2">
        <v>2011</v>
      </c>
      <c r="J497" s="2">
        <f>I497+1</f>
        <v>2012</v>
      </c>
      <c r="K497" s="2">
        <f t="shared" ref="K497" si="209">J497+1</f>
        <v>2013</v>
      </c>
      <c r="L497" s="2">
        <f t="shared" ref="L497" si="210">K497+1</f>
        <v>2014</v>
      </c>
      <c r="M497" s="2">
        <f t="shared" ref="M497" si="211">L497+1</f>
        <v>2015</v>
      </c>
      <c r="N497" s="2">
        <f t="shared" ref="N497" si="212">M497+1</f>
        <v>2016</v>
      </c>
      <c r="O497" s="2">
        <f t="shared" ref="O497" si="213">N497+1</f>
        <v>2017</v>
      </c>
      <c r="P497" s="2">
        <f t="shared" ref="P497" si="214">O497+1</f>
        <v>2018</v>
      </c>
      <c r="Q497" s="2">
        <f t="shared" ref="Q497" si="215">P497+1</f>
        <v>2019</v>
      </c>
      <c r="R497" s="2">
        <f t="shared" ref="R497" si="216">Q497+1</f>
        <v>2020</v>
      </c>
      <c r="S497" s="2">
        <f>R497+1</f>
        <v>2021</v>
      </c>
      <c r="T497" s="2">
        <f>S497+1</f>
        <v>2022</v>
      </c>
      <c r="U497" s="2">
        <f>T497+1</f>
        <v>2023</v>
      </c>
      <c r="W497" s="1"/>
      <c r="X497" s="1"/>
      <c r="Y497" s="1"/>
    </row>
    <row r="498" spans="6:25">
      <c r="G498" s="62" t="s">
        <v>10</v>
      </c>
      <c r="H498" s="57"/>
      <c r="I498" s="38">
        <f>IF($J14 = "Eligible", I495 * 'Facility Detail'!$G$3257, 0 )</f>
        <v>0</v>
      </c>
      <c r="J498" s="11">
        <f>IF($J14 = "Eligible", J495 * 'Facility Detail'!$G$3257, 0 )</f>
        <v>0</v>
      </c>
      <c r="K498" s="11">
        <f>IF($J14 = "Eligible", K495 * 'Facility Detail'!$G$3257, 0 )</f>
        <v>0</v>
      </c>
      <c r="L498" s="11">
        <f>IF($J14 = "Eligible", L495 * 'Facility Detail'!$G$3257, 0 )</f>
        <v>0</v>
      </c>
      <c r="M498" s="11">
        <f>IF($J14 = "Eligible", M495 * 'Facility Detail'!$G$3257, 0 )</f>
        <v>0</v>
      </c>
      <c r="N498" s="11">
        <f>IF($J14 = "Eligible", N495 * 'Facility Detail'!$G$3257, 0 )</f>
        <v>0</v>
      </c>
      <c r="O498" s="11">
        <f>IF($J14 = "Eligible", O495 * 'Facility Detail'!$G$3257, 0 )</f>
        <v>0</v>
      </c>
      <c r="P498" s="11">
        <f>IF($J14 = "Eligible", P495 * 'Facility Detail'!$G$3257, 0 )</f>
        <v>0</v>
      </c>
      <c r="Q498" s="11">
        <f>IF($J14 = "Eligible", Q495 * 'Facility Detail'!$G$3257, 0 )</f>
        <v>0</v>
      </c>
      <c r="R498" s="11">
        <f>IF($J14 = "Eligible", R495 * 'Facility Detail'!$G$3257, 0 )</f>
        <v>0</v>
      </c>
      <c r="S498" s="11">
        <f>IF($J14 = "Eligible", S495 * 'Facility Detail'!$G$3257, 0 )</f>
        <v>0</v>
      </c>
      <c r="T498" s="11">
        <f>IF($J14 = "Eligible", T495 * 'Facility Detail'!$G$3257, 0 )</f>
        <v>0</v>
      </c>
      <c r="U498" s="223">
        <f>IF($J14 = "Eligible", U495 * 'Facility Detail'!$G$3257, 0 )</f>
        <v>0</v>
      </c>
      <c r="W498" s="1"/>
      <c r="X498" s="1"/>
      <c r="Y498" s="1"/>
    </row>
    <row r="499" spans="6:25">
      <c r="G499" s="62" t="s">
        <v>6</v>
      </c>
      <c r="H499" s="57"/>
      <c r="I499" s="39">
        <f t="shared" ref="I499:U499" si="217">IF($K14= "Eligible", I495, 0 )</f>
        <v>0</v>
      </c>
      <c r="J499" s="193">
        <f t="shared" si="217"/>
        <v>0</v>
      </c>
      <c r="K499" s="193">
        <f t="shared" si="217"/>
        <v>0</v>
      </c>
      <c r="L499" s="193">
        <f t="shared" si="217"/>
        <v>0</v>
      </c>
      <c r="M499" s="193">
        <f t="shared" si="217"/>
        <v>0</v>
      </c>
      <c r="N499" s="193">
        <f t="shared" si="217"/>
        <v>0</v>
      </c>
      <c r="O499" s="193">
        <f t="shared" si="217"/>
        <v>0</v>
      </c>
      <c r="P499" s="193">
        <f t="shared" si="217"/>
        <v>0</v>
      </c>
      <c r="Q499" s="193">
        <f t="shared" si="217"/>
        <v>0</v>
      </c>
      <c r="R499" s="193">
        <f t="shared" si="217"/>
        <v>0</v>
      </c>
      <c r="S499" s="193">
        <f t="shared" si="217"/>
        <v>0</v>
      </c>
      <c r="T499" s="193">
        <f t="shared" si="217"/>
        <v>0</v>
      </c>
      <c r="U499" s="224">
        <f t="shared" si="217"/>
        <v>0</v>
      </c>
      <c r="W499" s="1"/>
      <c r="X499" s="1"/>
      <c r="Y499" s="1"/>
    </row>
    <row r="500" spans="6:25">
      <c r="G500" s="26" t="s">
        <v>120</v>
      </c>
      <c r="H500" s="6"/>
      <c r="I500" s="32">
        <f>SUM(I498:I499)</f>
        <v>0</v>
      </c>
      <c r="J500" s="33">
        <f t="shared" ref="J500:S500" si="218">SUM(J498:J499)</f>
        <v>0</v>
      </c>
      <c r="K500" s="33">
        <f t="shared" si="218"/>
        <v>0</v>
      </c>
      <c r="L500" s="33">
        <f t="shared" si="218"/>
        <v>0</v>
      </c>
      <c r="M500" s="33">
        <f t="shared" si="218"/>
        <v>0</v>
      </c>
      <c r="N500" s="33">
        <f t="shared" si="218"/>
        <v>0</v>
      </c>
      <c r="O500" s="33">
        <f t="shared" si="218"/>
        <v>0</v>
      </c>
      <c r="P500" s="33">
        <f t="shared" si="218"/>
        <v>0</v>
      </c>
      <c r="Q500" s="33">
        <f t="shared" si="218"/>
        <v>0</v>
      </c>
      <c r="R500" s="33">
        <f t="shared" si="218"/>
        <v>0</v>
      </c>
      <c r="S500" s="33">
        <f t="shared" si="218"/>
        <v>0</v>
      </c>
      <c r="T500" s="33">
        <f t="shared" ref="T500:U500" si="219">SUM(T498:T499)</f>
        <v>0</v>
      </c>
      <c r="U500" s="33">
        <f t="shared" si="219"/>
        <v>0</v>
      </c>
      <c r="W500" s="1"/>
      <c r="X500" s="1"/>
      <c r="Y500" s="1"/>
    </row>
    <row r="501" spans="6:25">
      <c r="I501" s="31"/>
      <c r="J501" s="24"/>
      <c r="K501" s="24"/>
      <c r="L501" s="24"/>
      <c r="M501" s="24"/>
      <c r="N501" s="24"/>
      <c r="O501" s="24"/>
      <c r="P501" s="24"/>
      <c r="Q501" s="24"/>
      <c r="R501" s="24"/>
      <c r="S501" s="24"/>
      <c r="T501" s="24"/>
      <c r="U501" s="24"/>
      <c r="W501" s="1"/>
      <c r="X501" s="1"/>
      <c r="Y501" s="1"/>
    </row>
    <row r="502" spans="6:25" ht="18.75">
      <c r="F502" s="9" t="s">
        <v>30</v>
      </c>
      <c r="I502" s="2">
        <v>2011</v>
      </c>
      <c r="J502" s="2">
        <f>I502+1</f>
        <v>2012</v>
      </c>
      <c r="K502" s="2">
        <f t="shared" ref="K502" si="220">J502+1</f>
        <v>2013</v>
      </c>
      <c r="L502" s="2">
        <f t="shared" ref="L502" si="221">K502+1</f>
        <v>2014</v>
      </c>
      <c r="M502" s="2">
        <f t="shared" ref="M502" si="222">L502+1</f>
        <v>2015</v>
      </c>
      <c r="N502" s="2">
        <f t="shared" ref="N502" si="223">M502+1</f>
        <v>2016</v>
      </c>
      <c r="O502" s="2">
        <f t="shared" ref="O502" si="224">N502+1</f>
        <v>2017</v>
      </c>
      <c r="P502" s="2">
        <f t="shared" ref="P502" si="225">O502+1</f>
        <v>2018</v>
      </c>
      <c r="Q502" s="2">
        <f t="shared" ref="Q502" si="226">P502+1</f>
        <v>2019</v>
      </c>
      <c r="R502" s="2">
        <f t="shared" ref="R502" si="227">Q502+1</f>
        <v>2020</v>
      </c>
      <c r="S502" s="2">
        <f>R502+1</f>
        <v>2021</v>
      </c>
      <c r="T502" s="2">
        <f>S502+1</f>
        <v>2022</v>
      </c>
      <c r="U502" s="2">
        <f>T502+1</f>
        <v>2023</v>
      </c>
      <c r="W502" s="1"/>
      <c r="X502" s="1"/>
      <c r="Y502" s="1"/>
    </row>
    <row r="503" spans="6:25">
      <c r="G503" s="62" t="s">
        <v>47</v>
      </c>
      <c r="H503" s="57"/>
      <c r="I503" s="71"/>
      <c r="J503" s="72"/>
      <c r="K503" s="72"/>
      <c r="L503" s="72"/>
      <c r="M503" s="72"/>
      <c r="N503" s="72"/>
      <c r="O503" s="72"/>
      <c r="P503" s="72"/>
      <c r="Q503" s="72"/>
      <c r="R503" s="72"/>
      <c r="S503" s="72"/>
      <c r="T503" s="72"/>
      <c r="U503" s="73"/>
      <c r="W503" s="1"/>
      <c r="X503" s="1"/>
      <c r="Y503" s="1"/>
    </row>
    <row r="504" spans="6:25">
      <c r="G504" s="63" t="s">
        <v>23</v>
      </c>
      <c r="H504" s="135"/>
      <c r="I504" s="74"/>
      <c r="J504" s="75"/>
      <c r="K504" s="75"/>
      <c r="L504" s="75"/>
      <c r="M504" s="75"/>
      <c r="N504" s="75"/>
      <c r="O504" s="75"/>
      <c r="P504" s="75"/>
      <c r="Q504" s="75"/>
      <c r="R504" s="75"/>
      <c r="S504" s="75"/>
      <c r="T504" s="75"/>
      <c r="U504" s="76"/>
      <c r="W504" s="1"/>
      <c r="X504" s="1"/>
      <c r="Y504" s="1"/>
    </row>
    <row r="505" spans="6:25">
      <c r="G505" s="63" t="s">
        <v>89</v>
      </c>
      <c r="H505" s="134"/>
      <c r="I505" s="43"/>
      <c r="J505" s="44"/>
      <c r="K505" s="44"/>
      <c r="L505" s="44"/>
      <c r="M505" s="44"/>
      <c r="N505" s="44"/>
      <c r="O505" s="44"/>
      <c r="P505" s="44"/>
      <c r="Q505" s="44"/>
      <c r="R505" s="44"/>
      <c r="S505" s="44"/>
      <c r="T505" s="44"/>
      <c r="U505" s="45"/>
      <c r="W505" s="1"/>
      <c r="X505" s="1"/>
      <c r="Y505" s="1"/>
    </row>
    <row r="506" spans="6:25">
      <c r="G506" s="26" t="s">
        <v>90</v>
      </c>
      <c r="I506" s="7">
        <v>0</v>
      </c>
      <c r="J506" s="7">
        <v>0</v>
      </c>
      <c r="K506" s="7">
        <v>0</v>
      </c>
      <c r="L506" s="7">
        <v>0</v>
      </c>
      <c r="M506" s="7">
        <v>0</v>
      </c>
      <c r="N506" s="7">
        <v>0</v>
      </c>
      <c r="O506" s="7">
        <v>0</v>
      </c>
      <c r="P506" s="7">
        <v>0</v>
      </c>
      <c r="Q506" s="7">
        <v>0</v>
      </c>
      <c r="R506" s="7">
        <v>0</v>
      </c>
      <c r="S506" s="7">
        <v>0</v>
      </c>
      <c r="T506" s="7">
        <v>0</v>
      </c>
      <c r="U506" s="7">
        <v>0</v>
      </c>
      <c r="W506" s="1"/>
      <c r="X506" s="1"/>
      <c r="Y506" s="1"/>
    </row>
    <row r="507" spans="6:25">
      <c r="G507" s="6"/>
      <c r="I507" s="7"/>
      <c r="J507" s="7"/>
      <c r="K507" s="7"/>
      <c r="L507" s="23"/>
      <c r="M507" s="23"/>
      <c r="N507" s="23"/>
      <c r="O507" s="23"/>
      <c r="P507" s="23"/>
      <c r="Q507" s="23"/>
      <c r="R507" s="23"/>
      <c r="S507" s="23"/>
      <c r="T507" s="23"/>
      <c r="U507" s="23"/>
      <c r="W507" s="1"/>
      <c r="X507" s="1"/>
      <c r="Y507" s="1"/>
    </row>
    <row r="508" spans="6:25" ht="18.75">
      <c r="F508" s="9" t="s">
        <v>100</v>
      </c>
      <c r="I508" s="2">
        <f>'Facility Detail'!$G$3260</f>
        <v>2011</v>
      </c>
      <c r="J508" s="2">
        <f>I508+1</f>
        <v>2012</v>
      </c>
      <c r="K508" s="2">
        <f t="shared" ref="K508" si="228">J508+1</f>
        <v>2013</v>
      </c>
      <c r="L508" s="2">
        <f t="shared" ref="L508" si="229">K508+1</f>
        <v>2014</v>
      </c>
      <c r="M508" s="2">
        <f t="shared" ref="M508" si="230">L508+1</f>
        <v>2015</v>
      </c>
      <c r="N508" s="2">
        <f t="shared" ref="N508" si="231">M508+1</f>
        <v>2016</v>
      </c>
      <c r="O508" s="2">
        <f t="shared" ref="O508" si="232">N508+1</f>
        <v>2017</v>
      </c>
      <c r="P508" s="2">
        <f t="shared" ref="P508" si="233">O508+1</f>
        <v>2018</v>
      </c>
      <c r="Q508" s="2">
        <f t="shared" ref="Q508" si="234">P508+1</f>
        <v>2019</v>
      </c>
      <c r="R508" s="2">
        <f t="shared" ref="R508" si="235">Q508+1</f>
        <v>2020</v>
      </c>
      <c r="S508" s="2">
        <f>R508+1</f>
        <v>2021</v>
      </c>
      <c r="T508" s="2">
        <f>S508+1</f>
        <v>2022</v>
      </c>
      <c r="U508" s="2">
        <f>T508+1</f>
        <v>2023</v>
      </c>
      <c r="W508" s="1"/>
      <c r="X508" s="1"/>
      <c r="Y508" s="1"/>
    </row>
    <row r="509" spans="6:25">
      <c r="G509" s="62" t="s">
        <v>68</v>
      </c>
      <c r="H509" s="57"/>
      <c r="I509" s="3"/>
      <c r="J509" s="46">
        <f>I509</f>
        <v>0</v>
      </c>
      <c r="K509" s="106"/>
      <c r="L509" s="106"/>
      <c r="M509" s="106"/>
      <c r="N509" s="106"/>
      <c r="O509" s="106"/>
      <c r="P509" s="106"/>
      <c r="Q509" s="106"/>
      <c r="R509" s="106"/>
      <c r="S509" s="106"/>
      <c r="T509" s="217"/>
      <c r="U509" s="47"/>
      <c r="W509" s="1"/>
      <c r="X509" s="1"/>
      <c r="Y509" s="1"/>
    </row>
    <row r="510" spans="6:25">
      <c r="G510" s="62" t="s">
        <v>69</v>
      </c>
      <c r="H510" s="57"/>
      <c r="I510" s="127">
        <f>J510</f>
        <v>0</v>
      </c>
      <c r="J510" s="10"/>
      <c r="K510" s="60"/>
      <c r="L510" s="60"/>
      <c r="M510" s="60"/>
      <c r="N510" s="60"/>
      <c r="O510" s="60"/>
      <c r="P510" s="60"/>
      <c r="Q510" s="60"/>
      <c r="R510" s="60"/>
      <c r="S510" s="60"/>
      <c r="T510" s="218"/>
      <c r="U510" s="128"/>
      <c r="W510" s="1"/>
      <c r="X510" s="1"/>
      <c r="Y510" s="1"/>
    </row>
    <row r="511" spans="6:25">
      <c r="G511" s="62" t="s">
        <v>70</v>
      </c>
      <c r="H511" s="57"/>
      <c r="I511" s="48"/>
      <c r="J511" s="10">
        <f>J495</f>
        <v>0</v>
      </c>
      <c r="K511" s="56">
        <f>J511</f>
        <v>0</v>
      </c>
      <c r="L511" s="60"/>
      <c r="M511" s="60"/>
      <c r="N511" s="60"/>
      <c r="O511" s="60"/>
      <c r="P511" s="60"/>
      <c r="Q511" s="60"/>
      <c r="R511" s="60"/>
      <c r="S511" s="60"/>
      <c r="T511" s="218"/>
      <c r="U511" s="128"/>
      <c r="W511" s="1"/>
      <c r="X511" s="1"/>
      <c r="Y511" s="1"/>
    </row>
    <row r="512" spans="6:25">
      <c r="G512" s="62" t="s">
        <v>71</v>
      </c>
      <c r="H512" s="57"/>
      <c r="I512" s="48"/>
      <c r="J512" s="56">
        <f>K512</f>
        <v>0</v>
      </c>
      <c r="K512" s="10"/>
      <c r="L512" s="60"/>
      <c r="M512" s="60"/>
      <c r="N512" s="60"/>
      <c r="O512" s="60"/>
      <c r="P512" s="60"/>
      <c r="Q512" s="60"/>
      <c r="R512" s="60"/>
      <c r="S512" s="60"/>
      <c r="T512" s="218"/>
      <c r="U512" s="128"/>
      <c r="W512" s="1"/>
      <c r="X512" s="1"/>
      <c r="Y512" s="1"/>
    </row>
    <row r="513" spans="7:25">
      <c r="G513" s="62" t="s">
        <v>170</v>
      </c>
      <c r="I513" s="48"/>
      <c r="J513" s="118"/>
      <c r="K513" s="10">
        <f>K495</f>
        <v>0</v>
      </c>
      <c r="L513" s="119">
        <f>K513</f>
        <v>0</v>
      </c>
      <c r="M513" s="60"/>
      <c r="N513" s="60"/>
      <c r="O513" s="60"/>
      <c r="P513" s="60"/>
      <c r="Q513" s="60"/>
      <c r="R513" s="60"/>
      <c r="S513" s="60"/>
      <c r="T513" s="146"/>
      <c r="U513" s="122"/>
      <c r="W513" s="1"/>
      <c r="X513" s="1"/>
      <c r="Y513" s="1"/>
    </row>
    <row r="514" spans="7:25">
      <c r="G514" s="62" t="s">
        <v>171</v>
      </c>
      <c r="I514" s="48"/>
      <c r="J514" s="118"/>
      <c r="K514" s="56">
        <f>L514</f>
        <v>0</v>
      </c>
      <c r="L514" s="10"/>
      <c r="M514" s="60"/>
      <c r="N514" s="60"/>
      <c r="O514" s="60"/>
      <c r="P514" s="60"/>
      <c r="Q514" s="60"/>
      <c r="R514" s="60"/>
      <c r="S514" s="60"/>
      <c r="T514" s="146"/>
      <c r="U514" s="122"/>
      <c r="W514" s="1"/>
      <c r="X514" s="1"/>
      <c r="Y514" s="1"/>
    </row>
    <row r="515" spans="7:25">
      <c r="G515" s="62" t="s">
        <v>172</v>
      </c>
      <c r="I515" s="48"/>
      <c r="J515" s="118"/>
      <c r="K515" s="118"/>
      <c r="L515" s="10">
        <f>L495</f>
        <v>0</v>
      </c>
      <c r="M515" s="119">
        <f>L515</f>
        <v>0</v>
      </c>
      <c r="N515" s="118">
        <f>M515</f>
        <v>0</v>
      </c>
      <c r="O515" s="60"/>
      <c r="P515" s="60"/>
      <c r="Q515" s="60"/>
      <c r="R515" s="60"/>
      <c r="S515" s="60"/>
      <c r="T515" s="146"/>
      <c r="U515" s="122"/>
      <c r="W515" s="1"/>
      <c r="X515" s="1"/>
      <c r="Y515" s="1"/>
    </row>
    <row r="516" spans="7:25">
      <c r="G516" s="62" t="s">
        <v>173</v>
      </c>
      <c r="I516" s="48"/>
      <c r="J516" s="118"/>
      <c r="K516" s="118"/>
      <c r="L516" s="56"/>
      <c r="M516" s="10"/>
      <c r="N516" s="118"/>
      <c r="O516" s="60"/>
      <c r="P516" s="60"/>
      <c r="Q516" s="60"/>
      <c r="R516" s="60"/>
      <c r="S516" s="60"/>
      <c r="T516" s="146"/>
      <c r="U516" s="122"/>
      <c r="W516" s="1"/>
      <c r="X516" s="1"/>
      <c r="Y516" s="1"/>
    </row>
    <row r="517" spans="7:25">
      <c r="G517" s="62" t="s">
        <v>174</v>
      </c>
      <c r="I517" s="48"/>
      <c r="J517" s="118"/>
      <c r="K517" s="118"/>
      <c r="L517" s="118"/>
      <c r="M517" s="10">
        <v>0</v>
      </c>
      <c r="N517" s="119">
        <f>M517</f>
        <v>0</v>
      </c>
      <c r="O517" s="60"/>
      <c r="P517" s="60"/>
      <c r="Q517" s="60"/>
      <c r="R517" s="60"/>
      <c r="S517" s="60"/>
      <c r="T517" s="146"/>
      <c r="U517" s="122"/>
      <c r="W517" s="1"/>
      <c r="X517" s="1"/>
      <c r="Y517" s="1"/>
    </row>
    <row r="518" spans="7:25">
      <c r="G518" s="62" t="s">
        <v>175</v>
      </c>
      <c r="I518" s="48"/>
      <c r="J518" s="118"/>
      <c r="K518" s="118"/>
      <c r="L518" s="118"/>
      <c r="M518" s="56"/>
      <c r="N518" s="10"/>
      <c r="O518" s="60"/>
      <c r="P518" s="60"/>
      <c r="Q518" s="60"/>
      <c r="R518" s="60"/>
      <c r="S518" s="60"/>
      <c r="T518" s="146"/>
      <c r="U518" s="122"/>
      <c r="W518" s="1"/>
      <c r="X518" s="1"/>
      <c r="Y518" s="1"/>
    </row>
    <row r="519" spans="7:25">
      <c r="G519" s="62" t="s">
        <v>176</v>
      </c>
      <c r="I519" s="48"/>
      <c r="J519" s="118"/>
      <c r="K519" s="118"/>
      <c r="L519" s="118"/>
      <c r="M519" s="118"/>
      <c r="N519" s="149">
        <f>N495</f>
        <v>0</v>
      </c>
      <c r="O519" s="120">
        <f>N519</f>
        <v>0</v>
      </c>
      <c r="P519" s="60"/>
      <c r="Q519" s="60"/>
      <c r="R519" s="60"/>
      <c r="S519" s="60"/>
      <c r="T519" s="146"/>
      <c r="U519" s="122"/>
      <c r="W519" s="1"/>
      <c r="X519" s="1"/>
      <c r="Y519" s="1"/>
    </row>
    <row r="520" spans="7:25">
      <c r="G520" s="62" t="s">
        <v>167</v>
      </c>
      <c r="I520" s="48"/>
      <c r="J520" s="118"/>
      <c r="K520" s="118"/>
      <c r="L520" s="118"/>
      <c r="M520" s="118"/>
      <c r="N520" s="150"/>
      <c r="O520" s="121"/>
      <c r="P520" s="60"/>
      <c r="Q520" s="60"/>
      <c r="R520" s="60"/>
      <c r="S520" s="60"/>
      <c r="T520" s="146"/>
      <c r="U520" s="122"/>
      <c r="W520" s="1"/>
      <c r="X520" s="1"/>
      <c r="Y520" s="1"/>
    </row>
    <row r="521" spans="7:25">
      <c r="G521" s="62" t="s">
        <v>168</v>
      </c>
      <c r="I521" s="48"/>
      <c r="J521" s="118"/>
      <c r="K521" s="118"/>
      <c r="L521" s="118"/>
      <c r="M521" s="118"/>
      <c r="N521" s="118"/>
      <c r="O521" s="121">
        <f>O495</f>
        <v>0</v>
      </c>
      <c r="P521" s="120">
        <f>O521</f>
        <v>0</v>
      </c>
      <c r="Q521" s="60"/>
      <c r="R521" s="60"/>
      <c r="S521" s="60"/>
      <c r="T521" s="146"/>
      <c r="U521" s="122"/>
      <c r="W521" s="1"/>
      <c r="X521" s="1"/>
      <c r="Y521" s="1"/>
    </row>
    <row r="522" spans="7:25">
      <c r="G522" s="62" t="s">
        <v>185</v>
      </c>
      <c r="I522" s="48"/>
      <c r="J522" s="118"/>
      <c r="K522" s="118"/>
      <c r="L522" s="118"/>
      <c r="M522" s="118"/>
      <c r="N522" s="118"/>
      <c r="O522" s="120"/>
      <c r="P522" s="121"/>
      <c r="Q522" s="60"/>
      <c r="R522" s="60"/>
      <c r="S522" s="60"/>
      <c r="T522" s="146"/>
      <c r="U522" s="122"/>
      <c r="W522" s="1"/>
      <c r="X522" s="1"/>
      <c r="Y522" s="1"/>
    </row>
    <row r="523" spans="7:25">
      <c r="G523" s="62" t="s">
        <v>186</v>
      </c>
      <c r="I523" s="48"/>
      <c r="J523" s="118"/>
      <c r="K523" s="118"/>
      <c r="L523" s="118"/>
      <c r="M523" s="118"/>
      <c r="N523" s="118"/>
      <c r="O523" s="118"/>
      <c r="P523" s="121">
        <f>P495</f>
        <v>0</v>
      </c>
      <c r="Q523" s="56">
        <f>P523</f>
        <v>0</v>
      </c>
      <c r="R523" s="60"/>
      <c r="S523" s="60"/>
      <c r="T523" s="146"/>
      <c r="U523" s="122"/>
      <c r="W523" s="1"/>
      <c r="X523" s="1"/>
      <c r="Y523" s="1"/>
    </row>
    <row r="524" spans="7:25">
      <c r="G524" s="62" t="s">
        <v>187</v>
      </c>
      <c r="I524" s="48"/>
      <c r="J524" s="118"/>
      <c r="K524" s="118"/>
      <c r="L524" s="118"/>
      <c r="M524" s="118"/>
      <c r="N524" s="118"/>
      <c r="O524" s="118"/>
      <c r="P524" s="120"/>
      <c r="Q524" s="306"/>
      <c r="R524" s="60"/>
      <c r="S524" s="60"/>
      <c r="T524" s="146"/>
      <c r="U524" s="122"/>
      <c r="W524" s="1"/>
      <c r="X524" s="1"/>
      <c r="Y524" s="1"/>
    </row>
    <row r="525" spans="7:25">
      <c r="G525" s="62" t="s">
        <v>188</v>
      </c>
      <c r="I525" s="48"/>
      <c r="J525" s="118"/>
      <c r="K525" s="118"/>
      <c r="L525" s="118"/>
      <c r="M525" s="118"/>
      <c r="N525" s="118"/>
      <c r="O525" s="118"/>
      <c r="P525" s="118"/>
      <c r="Q525" s="121"/>
      <c r="R525" s="151"/>
      <c r="S525" s="60"/>
      <c r="T525" s="146"/>
      <c r="U525" s="122"/>
      <c r="W525" s="1"/>
      <c r="X525" s="1"/>
      <c r="Y525" s="1"/>
    </row>
    <row r="526" spans="7:25">
      <c r="G526" s="62" t="s">
        <v>189</v>
      </c>
      <c r="I526" s="48"/>
      <c r="J526" s="118"/>
      <c r="K526" s="118"/>
      <c r="L526" s="118"/>
      <c r="M526" s="118"/>
      <c r="N526" s="118"/>
      <c r="O526" s="118"/>
      <c r="P526" s="118"/>
      <c r="Q526" s="151"/>
      <c r="R526" s="173"/>
      <c r="S526" s="60"/>
      <c r="T526" s="146"/>
      <c r="U526" s="122"/>
      <c r="W526" s="1"/>
      <c r="X526" s="1"/>
      <c r="Y526" s="1"/>
    </row>
    <row r="527" spans="7:25">
      <c r="G527" s="62" t="s">
        <v>190</v>
      </c>
      <c r="I527" s="48"/>
      <c r="J527" s="118"/>
      <c r="K527" s="118"/>
      <c r="L527" s="118"/>
      <c r="M527" s="118"/>
      <c r="N527" s="118"/>
      <c r="O527" s="118"/>
      <c r="P527" s="118"/>
      <c r="Q527" s="118"/>
      <c r="R527" s="173">
        <v>0</v>
      </c>
      <c r="S527" s="151">
        <f>R527</f>
        <v>0</v>
      </c>
      <c r="T527" s="146"/>
      <c r="U527" s="122"/>
      <c r="W527" s="1"/>
      <c r="X527" s="1"/>
      <c r="Y527" s="1"/>
    </row>
    <row r="528" spans="7:25">
      <c r="G528" s="62" t="s">
        <v>199</v>
      </c>
      <c r="I528" s="48"/>
      <c r="J528" s="118"/>
      <c r="K528" s="118"/>
      <c r="L528" s="118"/>
      <c r="M528" s="118"/>
      <c r="N528" s="118"/>
      <c r="O528" s="118"/>
      <c r="P528" s="118"/>
      <c r="Q528" s="118"/>
      <c r="R528" s="120">
        <v>20000</v>
      </c>
      <c r="S528" s="173">
        <v>20000</v>
      </c>
      <c r="T528" s="146"/>
      <c r="U528" s="122"/>
      <c r="W528" s="1"/>
      <c r="X528" s="1"/>
      <c r="Y528" s="1"/>
    </row>
    <row r="529" spans="2:25">
      <c r="G529" s="62" t="s">
        <v>200</v>
      </c>
      <c r="I529" s="48"/>
      <c r="J529" s="118"/>
      <c r="K529" s="118"/>
      <c r="L529" s="118"/>
      <c r="M529" s="118"/>
      <c r="N529" s="118"/>
      <c r="O529" s="118"/>
      <c r="P529" s="118"/>
      <c r="Q529" s="118"/>
      <c r="R529" s="118"/>
      <c r="S529" s="173"/>
      <c r="T529" s="151">
        <f>S529</f>
        <v>0</v>
      </c>
      <c r="U529" s="122"/>
      <c r="W529" s="1"/>
      <c r="X529" s="1"/>
      <c r="Y529" s="1"/>
    </row>
    <row r="530" spans="2:25">
      <c r="G530" s="62" t="s">
        <v>308</v>
      </c>
      <c r="I530" s="48"/>
      <c r="J530" s="118"/>
      <c r="K530" s="118"/>
      <c r="L530" s="118"/>
      <c r="M530" s="118"/>
      <c r="N530" s="118"/>
      <c r="O530" s="118"/>
      <c r="P530" s="118"/>
      <c r="Q530" s="118"/>
      <c r="R530" s="118"/>
      <c r="S530" s="120">
        <f>T530</f>
        <v>0</v>
      </c>
      <c r="T530" s="173"/>
      <c r="U530" s="122"/>
      <c r="W530" s="1"/>
      <c r="X530" s="1"/>
      <c r="Y530" s="1"/>
    </row>
    <row r="531" spans="2:25">
      <c r="G531" s="62" t="s">
        <v>307</v>
      </c>
      <c r="I531" s="114"/>
      <c r="J531" s="107"/>
      <c r="K531" s="107"/>
      <c r="L531" s="107"/>
      <c r="M531" s="107"/>
      <c r="N531" s="107"/>
      <c r="O531" s="107"/>
      <c r="P531" s="107"/>
      <c r="Q531" s="107"/>
      <c r="R531" s="107"/>
      <c r="S531" s="107"/>
      <c r="T531" s="173"/>
      <c r="U531" s="456">
        <f>T531</f>
        <v>0</v>
      </c>
      <c r="W531" s="1"/>
      <c r="X531" s="1"/>
      <c r="Y531" s="1"/>
    </row>
    <row r="532" spans="2:25">
      <c r="G532" s="62" t="s">
        <v>318</v>
      </c>
      <c r="I532" s="114"/>
      <c r="J532" s="107"/>
      <c r="K532" s="107"/>
      <c r="L532" s="107"/>
      <c r="M532" s="107"/>
      <c r="N532" s="107"/>
      <c r="O532" s="107"/>
      <c r="P532" s="107"/>
      <c r="Q532" s="107"/>
      <c r="R532" s="107"/>
      <c r="S532" s="107"/>
      <c r="T532" s="120">
        <f>U532</f>
        <v>0</v>
      </c>
      <c r="U532" s="457"/>
      <c r="W532" s="1"/>
      <c r="X532" s="1"/>
      <c r="Y532" s="1"/>
    </row>
    <row r="533" spans="2:25">
      <c r="G533" s="62" t="s">
        <v>319</v>
      </c>
      <c r="I533" s="49"/>
      <c r="J533" s="194"/>
      <c r="K533" s="194"/>
      <c r="L533" s="194"/>
      <c r="M533" s="194"/>
      <c r="N533" s="194"/>
      <c r="O533" s="194"/>
      <c r="P533" s="194"/>
      <c r="Q533" s="194"/>
      <c r="R533" s="194"/>
      <c r="S533" s="194"/>
      <c r="T533" s="194"/>
      <c r="U533" s="458"/>
      <c r="W533" s="1"/>
      <c r="X533" s="1"/>
      <c r="Y533" s="1"/>
    </row>
    <row r="534" spans="2:25">
      <c r="B534" s="1" t="s">
        <v>210</v>
      </c>
      <c r="G534" s="26" t="s">
        <v>17</v>
      </c>
      <c r="I534" s="7"/>
      <c r="J534" s="7"/>
      <c r="K534" s="7"/>
      <c r="L534" s="7"/>
      <c r="M534" s="7"/>
      <c r="N534" s="7"/>
      <c r="O534" s="7">
        <f>O519-O520-O521</f>
        <v>0</v>
      </c>
      <c r="P534" s="154">
        <f>P521-P522-P523</f>
        <v>0</v>
      </c>
      <c r="Q534" s="154">
        <f>Q523-Q524-Q525+Q526</f>
        <v>0</v>
      </c>
      <c r="R534" s="154">
        <f>R528</f>
        <v>20000</v>
      </c>
      <c r="S534" s="7">
        <f>S527-S528-S529</f>
        <v>-20000</v>
      </c>
      <c r="T534" s="7">
        <f>T529-T530-T531</f>
        <v>0</v>
      </c>
      <c r="U534" s="7">
        <f>U531-U532-U533</f>
        <v>0</v>
      </c>
      <c r="W534" s="1"/>
      <c r="X534" s="1"/>
      <c r="Y534" s="1"/>
    </row>
    <row r="535" spans="2:25">
      <c r="G535" s="6"/>
      <c r="I535" s="154"/>
      <c r="J535" s="154"/>
      <c r="K535" s="154"/>
      <c r="L535" s="154"/>
      <c r="M535" s="154"/>
      <c r="N535" s="154"/>
      <c r="O535" s="154"/>
      <c r="P535" s="154"/>
      <c r="Q535" s="154"/>
      <c r="R535" s="154"/>
      <c r="S535" s="154"/>
      <c r="T535" s="154"/>
      <c r="U535" s="154"/>
      <c r="W535" s="1"/>
      <c r="X535" s="1"/>
      <c r="Y535" s="1"/>
    </row>
    <row r="536" spans="2:25">
      <c r="G536" s="26" t="s">
        <v>12</v>
      </c>
      <c r="H536" s="57"/>
      <c r="I536" s="155"/>
      <c r="J536" s="156"/>
      <c r="K536" s="156"/>
      <c r="L536" s="156"/>
      <c r="M536" s="156"/>
      <c r="N536" s="156"/>
      <c r="O536" s="156"/>
      <c r="P536" s="156"/>
      <c r="Q536" s="156"/>
      <c r="R536" s="156"/>
      <c r="S536" s="156"/>
      <c r="T536" s="156"/>
      <c r="U536" s="267"/>
      <c r="W536" s="1"/>
      <c r="X536" s="1"/>
      <c r="Y536" s="1"/>
    </row>
    <row r="537" spans="2:25">
      <c r="G537" s="6"/>
      <c r="I537" s="154"/>
      <c r="J537" s="154"/>
      <c r="K537" s="154"/>
      <c r="L537" s="154"/>
      <c r="M537" s="154"/>
      <c r="N537" s="154"/>
      <c r="O537" s="154"/>
      <c r="P537" s="154"/>
      <c r="Q537" s="154"/>
      <c r="R537" s="154"/>
      <c r="S537" s="154"/>
      <c r="T537" s="154"/>
      <c r="U537" s="154"/>
      <c r="W537" s="1"/>
      <c r="X537" s="1"/>
      <c r="Y537" s="1"/>
    </row>
    <row r="538" spans="2:25" ht="18.75">
      <c r="C538" s="1" t="s">
        <v>210</v>
      </c>
      <c r="D538" s="1" t="s">
        <v>239</v>
      </c>
      <c r="E538" s="1" t="s">
        <v>107</v>
      </c>
      <c r="F538" s="9" t="s">
        <v>26</v>
      </c>
      <c r="I538" s="157">
        <f t="shared" ref="I538:R538" si="236" xml:space="preserve"> I495 + I500 - I506 + I534 + I536</f>
        <v>0</v>
      </c>
      <c r="J538" s="158">
        <f t="shared" si="236"/>
        <v>0</v>
      </c>
      <c r="K538" s="158">
        <f t="shared" si="236"/>
        <v>0</v>
      </c>
      <c r="L538" s="158">
        <f t="shared" si="236"/>
        <v>0</v>
      </c>
      <c r="M538" s="158">
        <f t="shared" si="236"/>
        <v>0</v>
      </c>
      <c r="N538" s="158">
        <f t="shared" si="236"/>
        <v>0</v>
      </c>
      <c r="O538" s="158">
        <f t="shared" si="236"/>
        <v>0</v>
      </c>
      <c r="P538" s="158">
        <f t="shared" si="236"/>
        <v>0</v>
      </c>
      <c r="Q538" s="158">
        <f t="shared" si="236"/>
        <v>0</v>
      </c>
      <c r="R538" s="158">
        <f t="shared" si="236"/>
        <v>20000</v>
      </c>
      <c r="S538" s="158">
        <f xml:space="preserve"> S495+S534</f>
        <v>40735</v>
      </c>
      <c r="T538" s="158">
        <f xml:space="preserve"> T495+T534</f>
        <v>64651</v>
      </c>
      <c r="U538" s="268">
        <f xml:space="preserve"> U495+U534</f>
        <v>60471</v>
      </c>
      <c r="W538" s="1"/>
      <c r="X538" s="1"/>
      <c r="Y538" s="1"/>
    </row>
    <row r="539" spans="2:25" ht="15.75" thickBot="1">
      <c r="S539" s="1"/>
      <c r="W539" s="1"/>
      <c r="X539" s="1"/>
      <c r="Y539" s="1"/>
    </row>
    <row r="540" spans="2:25" ht="15.75" thickBot="1">
      <c r="F540" s="8"/>
      <c r="G540" s="8"/>
      <c r="H540" s="8"/>
      <c r="I540" s="8"/>
      <c r="J540" s="8"/>
      <c r="K540" s="8"/>
      <c r="L540" s="8"/>
      <c r="M540" s="8"/>
      <c r="N540" s="8"/>
      <c r="O540" s="8"/>
      <c r="P540" s="8"/>
      <c r="Q540" s="8"/>
      <c r="R540" s="8"/>
      <c r="S540" s="8"/>
      <c r="T540" s="8"/>
      <c r="U540" s="8"/>
      <c r="W540" s="1"/>
      <c r="X540" s="1"/>
      <c r="Y540" s="1"/>
    </row>
    <row r="541" spans="2:25" ht="21.75" thickBot="1">
      <c r="F541" s="13" t="s">
        <v>4</v>
      </c>
      <c r="G541" s="13"/>
      <c r="H541" s="185" t="s">
        <v>211</v>
      </c>
      <c r="I541" s="183"/>
      <c r="W541" s="1"/>
      <c r="X541" s="1"/>
      <c r="Y541" s="1"/>
    </row>
    <row r="542" spans="2:25">
      <c r="S542" s="1"/>
      <c r="W542" s="1"/>
      <c r="X542" s="1"/>
      <c r="Y542" s="1"/>
    </row>
    <row r="543" spans="2:25" ht="18.75">
      <c r="F543" s="9" t="s">
        <v>21</v>
      </c>
      <c r="G543" s="9"/>
      <c r="I543" s="2">
        <v>2011</v>
      </c>
      <c r="J543" s="2">
        <f>I543+1</f>
        <v>2012</v>
      </c>
      <c r="K543" s="2">
        <f t="shared" ref="K543" si="237">J543+1</f>
        <v>2013</v>
      </c>
      <c r="L543" s="2">
        <f t="shared" ref="L543" si="238">K543+1</f>
        <v>2014</v>
      </c>
      <c r="M543" s="2">
        <f t="shared" ref="M543" si="239">L543+1</f>
        <v>2015</v>
      </c>
      <c r="N543" s="2">
        <f t="shared" ref="N543" si="240">M543+1</f>
        <v>2016</v>
      </c>
      <c r="O543" s="2">
        <f t="shared" ref="O543" si="241">N543+1</f>
        <v>2017</v>
      </c>
      <c r="P543" s="2">
        <f t="shared" ref="P543" si="242">O543+1</f>
        <v>2018</v>
      </c>
      <c r="Q543" s="2">
        <f t="shared" ref="Q543" si="243">P543+1</f>
        <v>2019</v>
      </c>
      <c r="R543" s="2">
        <f t="shared" ref="R543" si="244">Q543+1</f>
        <v>2020</v>
      </c>
      <c r="S543" s="2">
        <f>R543+1</f>
        <v>2021</v>
      </c>
      <c r="T543" s="2">
        <f>S543+1</f>
        <v>2022</v>
      </c>
      <c r="U543" s="2">
        <f>T543+1</f>
        <v>2023</v>
      </c>
      <c r="W543" s="1"/>
      <c r="X543" s="1"/>
      <c r="Y543" s="1"/>
    </row>
    <row r="544" spans="2:25">
      <c r="G544" s="62" t="str">
        <f>"Total MWh Produced / Purchased from " &amp; H541</f>
        <v>Total MWh Produced / Purchased from Cedar Springs Wind II</v>
      </c>
      <c r="H544" s="57"/>
      <c r="I544" s="3"/>
      <c r="J544" s="4"/>
      <c r="K544" s="4"/>
      <c r="L544" s="4"/>
      <c r="M544" s="4"/>
      <c r="N544" s="4"/>
      <c r="O544" s="4">
        <v>0</v>
      </c>
      <c r="P544" s="4"/>
      <c r="Q544" s="4"/>
      <c r="R544" s="4"/>
      <c r="S544" s="4">
        <v>670071</v>
      </c>
      <c r="T544" s="4">
        <v>603521</v>
      </c>
      <c r="U544" s="5">
        <v>736604</v>
      </c>
      <c r="W544" s="1"/>
      <c r="X544" s="1"/>
      <c r="Y544" s="1"/>
    </row>
    <row r="545" spans="1:25">
      <c r="G545" s="62" t="s">
        <v>25</v>
      </c>
      <c r="H545" s="57"/>
      <c r="I545" s="269"/>
      <c r="J545" s="41"/>
      <c r="K545" s="41"/>
      <c r="L545" s="41"/>
      <c r="M545" s="41"/>
      <c r="N545" s="41"/>
      <c r="O545" s="41"/>
      <c r="P545" s="41"/>
      <c r="Q545" s="41"/>
      <c r="R545" s="41"/>
      <c r="S545" s="41">
        <v>1</v>
      </c>
      <c r="T545" s="41">
        <v>1</v>
      </c>
      <c r="U545" s="41">
        <v>1</v>
      </c>
      <c r="W545" s="1"/>
      <c r="X545" s="1"/>
      <c r="Y545" s="1"/>
    </row>
    <row r="546" spans="1:25">
      <c r="G546" s="62" t="s">
        <v>20</v>
      </c>
      <c r="H546" s="57"/>
      <c r="I546" s="270"/>
      <c r="J546" s="36"/>
      <c r="K546" s="36"/>
      <c r="L546" s="36"/>
      <c r="M546" s="36"/>
      <c r="N546" s="36"/>
      <c r="O546" s="36"/>
      <c r="P546" s="36"/>
      <c r="Q546" s="36"/>
      <c r="R546" s="36"/>
      <c r="S546" s="36">
        <f>S2</f>
        <v>7.9696892166366717E-2</v>
      </c>
      <c r="T546" s="36">
        <f>T2</f>
        <v>7.8737918965874246E-2</v>
      </c>
      <c r="U546" s="36">
        <f>U2</f>
        <v>7.8407467372863096E-2</v>
      </c>
      <c r="W546" s="1"/>
      <c r="X546" s="1"/>
      <c r="Y546" s="1"/>
    </row>
    <row r="547" spans="1:25">
      <c r="A547" s="1" t="s">
        <v>211</v>
      </c>
      <c r="G547" s="26" t="s">
        <v>22</v>
      </c>
      <c r="H547" s="6"/>
      <c r="I547" s="30">
        <v>0</v>
      </c>
      <c r="J547" s="30">
        <v>0</v>
      </c>
      <c r="K547" s="30">
        <v>0</v>
      </c>
      <c r="L547" s="30">
        <v>0</v>
      </c>
      <c r="M547" s="30">
        <v>0</v>
      </c>
      <c r="N547" s="161">
        <v>0</v>
      </c>
      <c r="O547" s="161">
        <f t="shared" ref="O547:R547" si="245">O544*O546</f>
        <v>0</v>
      </c>
      <c r="P547" s="161">
        <f t="shared" si="245"/>
        <v>0</v>
      </c>
      <c r="Q547" s="161">
        <f t="shared" si="245"/>
        <v>0</v>
      </c>
      <c r="R547" s="161">
        <f t="shared" si="245"/>
        <v>0</v>
      </c>
      <c r="S547" s="161">
        <f>ROUND(S544*S546,0)</f>
        <v>53403</v>
      </c>
      <c r="T547" s="161">
        <f>ROUNDUP(T544*T546,0)</f>
        <v>47520</v>
      </c>
      <c r="U547" s="161">
        <f t="shared" ref="U547" si="246">ROUNDDOWN(U544*U546,0)</f>
        <v>57755</v>
      </c>
      <c r="W547" s="1"/>
      <c r="X547" s="1"/>
      <c r="Y547" s="1"/>
    </row>
    <row r="548" spans="1:25">
      <c r="I548" s="29"/>
      <c r="J548" s="29"/>
      <c r="K548" s="29"/>
      <c r="L548" s="29"/>
      <c r="M548" s="29"/>
      <c r="N548" s="20"/>
      <c r="O548" s="20"/>
      <c r="P548" s="20"/>
      <c r="Q548" s="20"/>
      <c r="R548" s="20"/>
      <c r="S548" s="20"/>
      <c r="T548" s="20"/>
      <c r="U548" s="20"/>
      <c r="W548" s="1"/>
      <c r="X548" s="1"/>
      <c r="Y548" s="1"/>
    </row>
    <row r="549" spans="1:25" ht="18.75">
      <c r="F549" s="9" t="s">
        <v>118</v>
      </c>
      <c r="I549" s="2">
        <v>2011</v>
      </c>
      <c r="J549" s="2">
        <f>I549+1</f>
        <v>2012</v>
      </c>
      <c r="K549" s="2">
        <f t="shared" ref="K549" si="247">J549+1</f>
        <v>2013</v>
      </c>
      <c r="L549" s="2">
        <f t="shared" ref="L549" si="248">K549+1</f>
        <v>2014</v>
      </c>
      <c r="M549" s="2">
        <f t="shared" ref="M549" si="249">L549+1</f>
        <v>2015</v>
      </c>
      <c r="N549" s="2">
        <f t="shared" ref="N549" si="250">M549+1</f>
        <v>2016</v>
      </c>
      <c r="O549" s="2">
        <f t="shared" ref="O549" si="251">N549+1</f>
        <v>2017</v>
      </c>
      <c r="P549" s="2">
        <f t="shared" ref="P549" si="252">O549+1</f>
        <v>2018</v>
      </c>
      <c r="Q549" s="2">
        <f t="shared" ref="Q549" si="253">P549+1</f>
        <v>2019</v>
      </c>
      <c r="R549" s="2">
        <f t="shared" ref="R549" si="254">Q549+1</f>
        <v>2020</v>
      </c>
      <c r="S549" s="2">
        <f>R549+1</f>
        <v>2021</v>
      </c>
      <c r="T549" s="2">
        <f>S549+1</f>
        <v>2022</v>
      </c>
      <c r="U549" s="2">
        <f>T549+1</f>
        <v>2023</v>
      </c>
      <c r="W549" s="1"/>
      <c r="X549" s="1"/>
      <c r="Y549" s="1"/>
    </row>
    <row r="550" spans="1:25">
      <c r="G550" s="62" t="s">
        <v>10</v>
      </c>
      <c r="H550" s="57"/>
      <c r="I550" s="38">
        <f>IF($J15 = "Eligible", I547 * 'Facility Detail'!$G$3257, 0 )</f>
        <v>0</v>
      </c>
      <c r="J550" s="11">
        <f>IF($J15 = "Eligible", J547 * 'Facility Detail'!$G$3257, 0 )</f>
        <v>0</v>
      </c>
      <c r="K550" s="11">
        <f>IF($J15 = "Eligible", K547 * 'Facility Detail'!$G$3257, 0 )</f>
        <v>0</v>
      </c>
      <c r="L550" s="11">
        <f>IF($J15 = "Eligible", L547 * 'Facility Detail'!$G$3257, 0 )</f>
        <v>0</v>
      </c>
      <c r="M550" s="11">
        <f>IF($J15 = "Eligible", M547 * 'Facility Detail'!$G$3257, 0 )</f>
        <v>0</v>
      </c>
      <c r="N550" s="11">
        <f>IF($J15 = "Eligible", N547 * 'Facility Detail'!$G$3257, 0 )</f>
        <v>0</v>
      </c>
      <c r="O550" s="11">
        <f>IF($J15 = "Eligible", O547 * 'Facility Detail'!$G$3257, 0 )</f>
        <v>0</v>
      </c>
      <c r="P550" s="11">
        <f>IF($J15 = "Eligible", P547 * 'Facility Detail'!$G$3257, 0 )</f>
        <v>0</v>
      </c>
      <c r="Q550" s="11">
        <f>IF($J15 = "Eligible", Q547 * 'Facility Detail'!$G$3257, 0 )</f>
        <v>0</v>
      </c>
      <c r="R550" s="11">
        <f>IF($J15 = "Eligible", R547 * 'Facility Detail'!$G$3257, 0 )</f>
        <v>0</v>
      </c>
      <c r="S550" s="11">
        <f>IF($J15 = "Eligible", S547 * 'Facility Detail'!$G$3257, 0 )</f>
        <v>0</v>
      </c>
      <c r="T550" s="11">
        <f>IF($J15 = "Eligible", T547 * 'Facility Detail'!$G$3257, 0 )</f>
        <v>0</v>
      </c>
      <c r="U550" s="223">
        <f>IF($J15 = "Eligible", U547 * 'Facility Detail'!$G$3257, 0 )</f>
        <v>0</v>
      </c>
      <c r="W550" s="1"/>
      <c r="X550" s="1"/>
      <c r="Y550" s="1"/>
    </row>
    <row r="551" spans="1:25">
      <c r="G551" s="62" t="s">
        <v>6</v>
      </c>
      <c r="H551" s="57"/>
      <c r="I551" s="39">
        <f t="shared" ref="I551:U551" si="255">IF($K15= "Eligible", I547, 0 )</f>
        <v>0</v>
      </c>
      <c r="J551" s="193">
        <f t="shared" si="255"/>
        <v>0</v>
      </c>
      <c r="K551" s="193">
        <f t="shared" si="255"/>
        <v>0</v>
      </c>
      <c r="L551" s="193">
        <f t="shared" si="255"/>
        <v>0</v>
      </c>
      <c r="M551" s="193">
        <f t="shared" si="255"/>
        <v>0</v>
      </c>
      <c r="N551" s="193">
        <f t="shared" si="255"/>
        <v>0</v>
      </c>
      <c r="O551" s="193">
        <f t="shared" si="255"/>
        <v>0</v>
      </c>
      <c r="P551" s="193">
        <f t="shared" si="255"/>
        <v>0</v>
      </c>
      <c r="Q551" s="193">
        <f t="shared" si="255"/>
        <v>0</v>
      </c>
      <c r="R551" s="193">
        <f t="shared" si="255"/>
        <v>0</v>
      </c>
      <c r="S551" s="193">
        <f t="shared" si="255"/>
        <v>0</v>
      </c>
      <c r="T551" s="193">
        <f t="shared" si="255"/>
        <v>0</v>
      </c>
      <c r="U551" s="224">
        <f t="shared" si="255"/>
        <v>0</v>
      </c>
      <c r="W551" s="1"/>
      <c r="X551" s="1"/>
      <c r="Y551" s="1"/>
    </row>
    <row r="552" spans="1:25">
      <c r="G552" s="26" t="s">
        <v>120</v>
      </c>
      <c r="H552" s="6"/>
      <c r="I552" s="32">
        <f>SUM(I550:I551)</f>
        <v>0</v>
      </c>
      <c r="J552" s="33">
        <f t="shared" ref="J552:S552" si="256">SUM(J550:J551)</f>
        <v>0</v>
      </c>
      <c r="K552" s="33">
        <f t="shared" si="256"/>
        <v>0</v>
      </c>
      <c r="L552" s="33">
        <f t="shared" si="256"/>
        <v>0</v>
      </c>
      <c r="M552" s="33">
        <f t="shared" si="256"/>
        <v>0</v>
      </c>
      <c r="N552" s="33">
        <f t="shared" si="256"/>
        <v>0</v>
      </c>
      <c r="O552" s="33">
        <f t="shared" si="256"/>
        <v>0</v>
      </c>
      <c r="P552" s="33">
        <f t="shared" si="256"/>
        <v>0</v>
      </c>
      <c r="Q552" s="33">
        <f t="shared" si="256"/>
        <v>0</v>
      </c>
      <c r="R552" s="33">
        <f t="shared" si="256"/>
        <v>0</v>
      </c>
      <c r="S552" s="33">
        <f t="shared" si="256"/>
        <v>0</v>
      </c>
      <c r="T552" s="33">
        <f t="shared" ref="T552:U552" si="257">SUM(T550:T551)</f>
        <v>0</v>
      </c>
      <c r="U552" s="33">
        <f t="shared" si="257"/>
        <v>0</v>
      </c>
      <c r="W552" s="1"/>
      <c r="X552" s="1"/>
      <c r="Y552" s="1"/>
    </row>
    <row r="553" spans="1:25">
      <c r="I553" s="31"/>
      <c r="J553" s="24"/>
      <c r="K553" s="24"/>
      <c r="L553" s="24"/>
      <c r="M553" s="24"/>
      <c r="N553" s="24"/>
      <c r="O553" s="24"/>
      <c r="P553" s="24"/>
      <c r="Q553" s="24"/>
      <c r="R553" s="24"/>
      <c r="S553" s="24"/>
      <c r="T553" s="24"/>
      <c r="U553" s="24"/>
      <c r="W553" s="1"/>
      <c r="X553" s="1"/>
      <c r="Y553" s="1"/>
    </row>
    <row r="554" spans="1:25" ht="18.75">
      <c r="F554" s="9" t="s">
        <v>30</v>
      </c>
      <c r="I554" s="2">
        <v>2011</v>
      </c>
      <c r="J554" s="2">
        <f>I554+1</f>
        <v>2012</v>
      </c>
      <c r="K554" s="2">
        <f t="shared" ref="K554" si="258">J554+1</f>
        <v>2013</v>
      </c>
      <c r="L554" s="2">
        <f t="shared" ref="L554" si="259">K554+1</f>
        <v>2014</v>
      </c>
      <c r="M554" s="2">
        <f t="shared" ref="M554" si="260">L554+1</f>
        <v>2015</v>
      </c>
      <c r="N554" s="2">
        <f t="shared" ref="N554" si="261">M554+1</f>
        <v>2016</v>
      </c>
      <c r="O554" s="2">
        <f t="shared" ref="O554" si="262">N554+1</f>
        <v>2017</v>
      </c>
      <c r="P554" s="2">
        <f t="shared" ref="P554" si="263">O554+1</f>
        <v>2018</v>
      </c>
      <c r="Q554" s="2">
        <f t="shared" ref="Q554" si="264">P554+1</f>
        <v>2019</v>
      </c>
      <c r="R554" s="2">
        <f t="shared" ref="R554" si="265">Q554+1</f>
        <v>2020</v>
      </c>
      <c r="S554" s="2">
        <f>R554+1</f>
        <v>2021</v>
      </c>
      <c r="T554" s="2">
        <f>S554+1</f>
        <v>2022</v>
      </c>
      <c r="U554" s="2">
        <f>T554+1</f>
        <v>2023</v>
      </c>
      <c r="W554" s="1"/>
      <c r="X554" s="1"/>
      <c r="Y554" s="1"/>
    </row>
    <row r="555" spans="1:25">
      <c r="G555" s="62" t="s">
        <v>47</v>
      </c>
      <c r="H555" s="57"/>
      <c r="I555" s="71"/>
      <c r="J555" s="72"/>
      <c r="K555" s="72"/>
      <c r="L555" s="72"/>
      <c r="M555" s="72"/>
      <c r="N555" s="72"/>
      <c r="O555" s="72"/>
      <c r="P555" s="72"/>
      <c r="Q555" s="72"/>
      <c r="R555" s="72"/>
      <c r="S555" s="72"/>
      <c r="T555" s="72"/>
      <c r="U555" s="73"/>
      <c r="W555" s="1"/>
      <c r="X555" s="1"/>
      <c r="Y555" s="1"/>
    </row>
    <row r="556" spans="1:25">
      <c r="G556" s="63" t="s">
        <v>23</v>
      </c>
      <c r="H556" s="135"/>
      <c r="I556" s="74"/>
      <c r="J556" s="75"/>
      <c r="K556" s="75"/>
      <c r="L556" s="75"/>
      <c r="M556" s="75"/>
      <c r="N556" s="75"/>
      <c r="O556" s="75"/>
      <c r="P556" s="75"/>
      <c r="Q556" s="75"/>
      <c r="R556" s="75"/>
      <c r="S556" s="75"/>
      <c r="T556" s="75"/>
      <c r="U556" s="76"/>
      <c r="W556" s="1"/>
      <c r="X556" s="1"/>
      <c r="Y556" s="1"/>
    </row>
    <row r="557" spans="1:25">
      <c r="G557" s="63" t="s">
        <v>89</v>
      </c>
      <c r="H557" s="134"/>
      <c r="I557" s="43"/>
      <c r="J557" s="44"/>
      <c r="K557" s="44"/>
      <c r="L557" s="44"/>
      <c r="M557" s="44"/>
      <c r="N557" s="44"/>
      <c r="O557" s="44"/>
      <c r="P557" s="44"/>
      <c r="Q557" s="44"/>
      <c r="R557" s="44"/>
      <c r="S557" s="44"/>
      <c r="T557" s="44"/>
      <c r="U557" s="45"/>
      <c r="W557" s="1"/>
      <c r="X557" s="1"/>
      <c r="Y557" s="1"/>
    </row>
    <row r="558" spans="1:25">
      <c r="G558" s="26" t="s">
        <v>90</v>
      </c>
      <c r="I558" s="7">
        <v>0</v>
      </c>
      <c r="J558" s="7">
        <v>0</v>
      </c>
      <c r="K558" s="7">
        <v>0</v>
      </c>
      <c r="L558" s="7">
        <v>0</v>
      </c>
      <c r="M558" s="7">
        <v>0</v>
      </c>
      <c r="N558" s="7">
        <v>0</v>
      </c>
      <c r="O558" s="7">
        <v>0</v>
      </c>
      <c r="P558" s="7">
        <v>0</v>
      </c>
      <c r="Q558" s="7">
        <v>0</v>
      </c>
      <c r="R558" s="7">
        <v>0</v>
      </c>
      <c r="S558" s="7">
        <v>0</v>
      </c>
      <c r="T558" s="7">
        <v>0</v>
      </c>
      <c r="U558" s="7">
        <v>0</v>
      </c>
      <c r="W558" s="1"/>
      <c r="X558" s="1"/>
      <c r="Y558" s="1"/>
    </row>
    <row r="559" spans="1:25">
      <c r="G559" s="6"/>
      <c r="I559" s="7"/>
      <c r="J559" s="7"/>
      <c r="K559" s="7"/>
      <c r="L559" s="23"/>
      <c r="M559" s="23"/>
      <c r="N559" s="23"/>
      <c r="O559" s="23"/>
      <c r="P559" s="23"/>
      <c r="Q559" s="23"/>
      <c r="R559" s="23"/>
      <c r="S559" s="23"/>
      <c r="T559" s="23"/>
      <c r="U559" s="23"/>
      <c r="W559" s="1"/>
      <c r="X559" s="1"/>
      <c r="Y559" s="1"/>
    </row>
    <row r="560" spans="1:25" ht="18.75">
      <c r="F560" s="9" t="s">
        <v>100</v>
      </c>
      <c r="I560" s="2">
        <f>'Facility Detail'!$G$3260</f>
        <v>2011</v>
      </c>
      <c r="J560" s="2">
        <f>I560+1</f>
        <v>2012</v>
      </c>
      <c r="K560" s="2">
        <f t="shared" ref="K560" si="266">J560+1</f>
        <v>2013</v>
      </c>
      <c r="L560" s="2">
        <f t="shared" ref="L560" si="267">K560+1</f>
        <v>2014</v>
      </c>
      <c r="M560" s="2">
        <f t="shared" ref="M560" si="268">L560+1</f>
        <v>2015</v>
      </c>
      <c r="N560" s="2">
        <f t="shared" ref="N560" si="269">M560+1</f>
        <v>2016</v>
      </c>
      <c r="O560" s="2">
        <f t="shared" ref="O560" si="270">N560+1</f>
        <v>2017</v>
      </c>
      <c r="P560" s="2">
        <f t="shared" ref="P560" si="271">O560+1</f>
        <v>2018</v>
      </c>
      <c r="Q560" s="2">
        <f t="shared" ref="Q560" si="272">P560+1</f>
        <v>2019</v>
      </c>
      <c r="R560" s="2">
        <f t="shared" ref="R560" si="273">Q560+1</f>
        <v>2020</v>
      </c>
      <c r="S560" s="2">
        <f>R560+1</f>
        <v>2021</v>
      </c>
      <c r="T560" s="2">
        <f>S560+1</f>
        <v>2022</v>
      </c>
      <c r="U560" s="2">
        <f>T560+1</f>
        <v>2023</v>
      </c>
      <c r="W560" s="1"/>
      <c r="X560" s="1"/>
      <c r="Y560" s="1"/>
    </row>
    <row r="561" spans="7:25">
      <c r="G561" s="62" t="s">
        <v>68</v>
      </c>
      <c r="H561" s="57"/>
      <c r="I561" s="3"/>
      <c r="J561" s="46">
        <f>I561</f>
        <v>0</v>
      </c>
      <c r="K561" s="106"/>
      <c r="L561" s="106"/>
      <c r="M561" s="106"/>
      <c r="N561" s="106"/>
      <c r="O561" s="106"/>
      <c r="P561" s="106"/>
      <c r="Q561" s="106"/>
      <c r="R561" s="106"/>
      <c r="S561" s="106"/>
      <c r="T561" s="217"/>
      <c r="U561" s="47"/>
      <c r="W561" s="1"/>
      <c r="X561" s="1"/>
      <c r="Y561" s="1"/>
    </row>
    <row r="562" spans="7:25">
      <c r="G562" s="62" t="s">
        <v>69</v>
      </c>
      <c r="H562" s="57"/>
      <c r="I562" s="127">
        <f>J562</f>
        <v>0</v>
      </c>
      <c r="J562" s="10"/>
      <c r="K562" s="60"/>
      <c r="L562" s="60"/>
      <c r="M562" s="60"/>
      <c r="N562" s="60"/>
      <c r="O562" s="60"/>
      <c r="P562" s="60"/>
      <c r="Q562" s="60"/>
      <c r="R562" s="60"/>
      <c r="S562" s="60"/>
      <c r="T562" s="218"/>
      <c r="U562" s="128"/>
      <c r="W562" s="1"/>
      <c r="X562" s="1"/>
      <c r="Y562" s="1"/>
    </row>
    <row r="563" spans="7:25">
      <c r="G563" s="62" t="s">
        <v>70</v>
      </c>
      <c r="H563" s="57"/>
      <c r="I563" s="48"/>
      <c r="J563" s="10">
        <f>J547</f>
        <v>0</v>
      </c>
      <c r="K563" s="56">
        <f>J563</f>
        <v>0</v>
      </c>
      <c r="L563" s="60"/>
      <c r="M563" s="60"/>
      <c r="N563" s="60"/>
      <c r="O563" s="60"/>
      <c r="P563" s="60"/>
      <c r="Q563" s="60"/>
      <c r="R563" s="60"/>
      <c r="S563" s="60"/>
      <c r="T563" s="218"/>
      <c r="U563" s="128"/>
      <c r="W563" s="1"/>
      <c r="X563" s="1"/>
      <c r="Y563" s="1"/>
    </row>
    <row r="564" spans="7:25">
      <c r="G564" s="62" t="s">
        <v>71</v>
      </c>
      <c r="H564" s="57"/>
      <c r="I564" s="48"/>
      <c r="J564" s="56">
        <f>K564</f>
        <v>0</v>
      </c>
      <c r="K564" s="10"/>
      <c r="L564" s="60"/>
      <c r="M564" s="60"/>
      <c r="N564" s="60"/>
      <c r="O564" s="60"/>
      <c r="P564" s="60"/>
      <c r="Q564" s="60"/>
      <c r="R564" s="60"/>
      <c r="S564" s="60"/>
      <c r="T564" s="218"/>
      <c r="U564" s="128"/>
      <c r="W564" s="1"/>
      <c r="X564" s="1"/>
      <c r="Y564" s="1"/>
    </row>
    <row r="565" spans="7:25">
      <c r="G565" s="62" t="s">
        <v>170</v>
      </c>
      <c r="I565" s="48"/>
      <c r="J565" s="118"/>
      <c r="K565" s="10">
        <f>K547</f>
        <v>0</v>
      </c>
      <c r="L565" s="119">
        <f>K565</f>
        <v>0</v>
      </c>
      <c r="M565" s="60"/>
      <c r="N565" s="60"/>
      <c r="O565" s="60"/>
      <c r="P565" s="60"/>
      <c r="Q565" s="60"/>
      <c r="R565" s="60"/>
      <c r="S565" s="60"/>
      <c r="T565" s="146"/>
      <c r="U565" s="122"/>
      <c r="W565" s="1"/>
      <c r="X565" s="1"/>
      <c r="Y565" s="1"/>
    </row>
    <row r="566" spans="7:25">
      <c r="G566" s="62" t="s">
        <v>171</v>
      </c>
      <c r="I566" s="48"/>
      <c r="J566" s="118"/>
      <c r="K566" s="56">
        <f>L566</f>
        <v>0</v>
      </c>
      <c r="L566" s="10"/>
      <c r="M566" s="60"/>
      <c r="N566" s="60"/>
      <c r="O566" s="60"/>
      <c r="P566" s="60"/>
      <c r="Q566" s="60"/>
      <c r="R566" s="60"/>
      <c r="S566" s="60"/>
      <c r="T566" s="146"/>
      <c r="U566" s="122"/>
      <c r="W566" s="1"/>
      <c r="X566" s="1"/>
      <c r="Y566" s="1"/>
    </row>
    <row r="567" spans="7:25">
      <c r="G567" s="62" t="s">
        <v>172</v>
      </c>
      <c r="I567" s="48"/>
      <c r="J567" s="118"/>
      <c r="K567" s="118"/>
      <c r="L567" s="10">
        <f>L547</f>
        <v>0</v>
      </c>
      <c r="M567" s="119">
        <f>L567</f>
        <v>0</v>
      </c>
      <c r="N567" s="118">
        <f>M567</f>
        <v>0</v>
      </c>
      <c r="O567" s="60"/>
      <c r="P567" s="60"/>
      <c r="Q567" s="60"/>
      <c r="R567" s="60"/>
      <c r="S567" s="60"/>
      <c r="T567" s="146"/>
      <c r="U567" s="122"/>
      <c r="W567" s="1"/>
      <c r="X567" s="1"/>
      <c r="Y567" s="1"/>
    </row>
    <row r="568" spans="7:25">
      <c r="G568" s="62" t="s">
        <v>173</v>
      </c>
      <c r="I568" s="48"/>
      <c r="J568" s="118"/>
      <c r="K568" s="118"/>
      <c r="L568" s="56"/>
      <c r="M568" s="10"/>
      <c r="N568" s="118"/>
      <c r="O568" s="60"/>
      <c r="P568" s="60"/>
      <c r="Q568" s="60"/>
      <c r="R568" s="60"/>
      <c r="S568" s="60"/>
      <c r="T568" s="146"/>
      <c r="U568" s="122"/>
      <c r="W568" s="1"/>
      <c r="X568" s="1"/>
      <c r="Y568" s="1"/>
    </row>
    <row r="569" spans="7:25">
      <c r="G569" s="62" t="s">
        <v>174</v>
      </c>
      <c r="I569" s="48"/>
      <c r="J569" s="118"/>
      <c r="K569" s="118"/>
      <c r="L569" s="118"/>
      <c r="M569" s="10">
        <v>0</v>
      </c>
      <c r="N569" s="119">
        <f>M569</f>
        <v>0</v>
      </c>
      <c r="O569" s="60"/>
      <c r="P569" s="60"/>
      <c r="Q569" s="60"/>
      <c r="R569" s="60"/>
      <c r="S569" s="60"/>
      <c r="T569" s="146"/>
      <c r="U569" s="122"/>
      <c r="W569" s="1"/>
      <c r="X569" s="1"/>
      <c r="Y569" s="1"/>
    </row>
    <row r="570" spans="7:25">
      <c r="G570" s="62" t="s">
        <v>175</v>
      </c>
      <c r="I570" s="48"/>
      <c r="J570" s="118"/>
      <c r="K570" s="118"/>
      <c r="L570" s="118"/>
      <c r="M570" s="56"/>
      <c r="N570" s="10"/>
      <c r="O570" s="60"/>
      <c r="P570" s="60"/>
      <c r="Q570" s="60"/>
      <c r="R570" s="60"/>
      <c r="S570" s="60"/>
      <c r="T570" s="146"/>
      <c r="U570" s="122"/>
      <c r="W570" s="1"/>
      <c r="X570" s="1"/>
      <c r="Y570" s="1"/>
    </row>
    <row r="571" spans="7:25">
      <c r="G571" s="62" t="s">
        <v>176</v>
      </c>
      <c r="I571" s="48"/>
      <c r="J571" s="118"/>
      <c r="K571" s="118"/>
      <c r="L571" s="118"/>
      <c r="M571" s="118"/>
      <c r="N571" s="149">
        <f>N547</f>
        <v>0</v>
      </c>
      <c r="O571" s="120">
        <f>N571</f>
        <v>0</v>
      </c>
      <c r="P571" s="60"/>
      <c r="Q571" s="60"/>
      <c r="R571" s="60"/>
      <c r="S571" s="60"/>
      <c r="T571" s="146"/>
      <c r="U571" s="122"/>
      <c r="W571" s="1"/>
      <c r="X571" s="1"/>
      <c r="Y571" s="1"/>
    </row>
    <row r="572" spans="7:25">
      <c r="G572" s="62" t="s">
        <v>167</v>
      </c>
      <c r="I572" s="48"/>
      <c r="J572" s="118"/>
      <c r="K572" s="118"/>
      <c r="L572" s="118"/>
      <c r="M572" s="118"/>
      <c r="N572" s="150"/>
      <c r="O572" s="121"/>
      <c r="P572" s="60"/>
      <c r="Q572" s="60"/>
      <c r="R572" s="60"/>
      <c r="S572" s="60"/>
      <c r="T572" s="146"/>
      <c r="U572" s="122"/>
      <c r="W572" s="1"/>
      <c r="X572" s="1"/>
      <c r="Y572" s="1"/>
    </row>
    <row r="573" spans="7:25">
      <c r="G573" s="62" t="s">
        <v>168</v>
      </c>
      <c r="I573" s="48"/>
      <c r="J573" s="118"/>
      <c r="K573" s="118"/>
      <c r="L573" s="118"/>
      <c r="M573" s="118"/>
      <c r="N573" s="118"/>
      <c r="O573" s="121">
        <f>O547</f>
        <v>0</v>
      </c>
      <c r="P573" s="120">
        <f>O573</f>
        <v>0</v>
      </c>
      <c r="Q573" s="60"/>
      <c r="R573" s="60"/>
      <c r="S573" s="60"/>
      <c r="T573" s="146"/>
      <c r="U573" s="122"/>
      <c r="W573" s="1"/>
      <c r="X573" s="1"/>
      <c r="Y573" s="1"/>
    </row>
    <row r="574" spans="7:25">
      <c r="G574" s="62" t="s">
        <v>185</v>
      </c>
      <c r="I574" s="48"/>
      <c r="J574" s="118"/>
      <c r="K574" s="118"/>
      <c r="L574" s="118"/>
      <c r="M574" s="118"/>
      <c r="N574" s="118"/>
      <c r="O574" s="120"/>
      <c r="P574" s="121"/>
      <c r="Q574" s="60"/>
      <c r="R574" s="60"/>
      <c r="S574" s="60"/>
      <c r="T574" s="146"/>
      <c r="U574" s="122"/>
      <c r="W574" s="1"/>
      <c r="X574" s="1"/>
      <c r="Y574" s="1"/>
    </row>
    <row r="575" spans="7:25">
      <c r="G575" s="62" t="s">
        <v>186</v>
      </c>
      <c r="I575" s="48"/>
      <c r="J575" s="118"/>
      <c r="K575" s="118"/>
      <c r="L575" s="118"/>
      <c r="M575" s="118"/>
      <c r="N575" s="118"/>
      <c r="O575" s="118"/>
      <c r="P575" s="121">
        <f>P547</f>
        <v>0</v>
      </c>
      <c r="Q575" s="56">
        <f>P575</f>
        <v>0</v>
      </c>
      <c r="R575" s="60"/>
      <c r="S575" s="60"/>
      <c r="T575" s="146"/>
      <c r="U575" s="122"/>
      <c r="W575" s="1"/>
      <c r="X575" s="1"/>
      <c r="Y575" s="1"/>
    </row>
    <row r="576" spans="7:25">
      <c r="G576" s="62" t="s">
        <v>187</v>
      </c>
      <c r="I576" s="48"/>
      <c r="J576" s="118"/>
      <c r="K576" s="118"/>
      <c r="L576" s="118"/>
      <c r="M576" s="118"/>
      <c r="N576" s="118"/>
      <c r="O576" s="118"/>
      <c r="P576" s="120"/>
      <c r="Q576" s="306"/>
      <c r="R576" s="60"/>
      <c r="S576" s="60"/>
      <c r="T576" s="146"/>
      <c r="U576" s="122"/>
      <c r="W576" s="1"/>
      <c r="X576" s="1"/>
      <c r="Y576" s="1"/>
    </row>
    <row r="577" spans="2:25">
      <c r="G577" s="62" t="s">
        <v>188</v>
      </c>
      <c r="I577" s="48"/>
      <c r="J577" s="118"/>
      <c r="K577" s="118"/>
      <c r="L577" s="118"/>
      <c r="M577" s="118"/>
      <c r="N577" s="118"/>
      <c r="O577" s="118"/>
      <c r="P577" s="118"/>
      <c r="Q577" s="121"/>
      <c r="R577" s="151"/>
      <c r="S577" s="60"/>
      <c r="T577" s="146"/>
      <c r="U577" s="122"/>
      <c r="W577" s="1"/>
      <c r="X577" s="1"/>
      <c r="Y577" s="1"/>
    </row>
    <row r="578" spans="2:25">
      <c r="G578" s="62" t="s">
        <v>189</v>
      </c>
      <c r="I578" s="48"/>
      <c r="J578" s="118"/>
      <c r="K578" s="118"/>
      <c r="L578" s="118"/>
      <c r="M578" s="118"/>
      <c r="N578" s="118"/>
      <c r="O578" s="118"/>
      <c r="P578" s="118"/>
      <c r="Q578" s="151"/>
      <c r="R578" s="173"/>
      <c r="S578" s="60"/>
      <c r="T578" s="146"/>
      <c r="U578" s="122"/>
      <c r="W578" s="1"/>
      <c r="X578" s="1"/>
      <c r="Y578" s="1"/>
    </row>
    <row r="579" spans="2:25">
      <c r="G579" s="62" t="s">
        <v>190</v>
      </c>
      <c r="I579" s="48"/>
      <c r="J579" s="118"/>
      <c r="K579" s="118"/>
      <c r="L579" s="118"/>
      <c r="M579" s="118"/>
      <c r="N579" s="118"/>
      <c r="O579" s="118"/>
      <c r="P579" s="118"/>
      <c r="Q579" s="118"/>
      <c r="R579" s="173">
        <v>0</v>
      </c>
      <c r="S579" s="151">
        <f>R579</f>
        <v>0</v>
      </c>
      <c r="T579" s="146"/>
      <c r="U579" s="122"/>
      <c r="W579" s="1"/>
      <c r="X579" s="1"/>
      <c r="Y579" s="1"/>
    </row>
    <row r="580" spans="2:25">
      <c r="G580" s="62" t="s">
        <v>199</v>
      </c>
      <c r="I580" s="48"/>
      <c r="J580" s="118"/>
      <c r="K580" s="118"/>
      <c r="L580" s="118"/>
      <c r="M580" s="118"/>
      <c r="N580" s="118"/>
      <c r="O580" s="118"/>
      <c r="P580" s="118"/>
      <c r="Q580" s="118"/>
      <c r="R580" s="120">
        <f>S580</f>
        <v>20000</v>
      </c>
      <c r="S580" s="173">
        <v>20000</v>
      </c>
      <c r="T580" s="146"/>
      <c r="U580" s="122"/>
      <c r="W580" s="1"/>
      <c r="X580" s="1"/>
      <c r="Y580" s="1"/>
    </row>
    <row r="581" spans="2:25">
      <c r="G581" s="62" t="s">
        <v>200</v>
      </c>
      <c r="I581" s="48"/>
      <c r="J581" s="118"/>
      <c r="K581" s="118"/>
      <c r="L581" s="118"/>
      <c r="M581" s="118"/>
      <c r="N581" s="118"/>
      <c r="O581" s="118"/>
      <c r="P581" s="118"/>
      <c r="Q581" s="118"/>
      <c r="R581" s="118"/>
      <c r="S581" s="173">
        <v>0</v>
      </c>
      <c r="T581" s="151">
        <f>S581</f>
        <v>0</v>
      </c>
      <c r="U581" s="122"/>
      <c r="W581" s="1"/>
      <c r="X581" s="1"/>
      <c r="Y581" s="1"/>
    </row>
    <row r="582" spans="2:25">
      <c r="G582" s="62" t="s">
        <v>308</v>
      </c>
      <c r="I582" s="48"/>
      <c r="J582" s="118"/>
      <c r="K582" s="118"/>
      <c r="L582" s="118"/>
      <c r="M582" s="118"/>
      <c r="N582" s="118"/>
      <c r="O582" s="118"/>
      <c r="P582" s="118"/>
      <c r="Q582" s="118"/>
      <c r="R582" s="118"/>
      <c r="S582" s="120">
        <f>T582</f>
        <v>0</v>
      </c>
      <c r="T582" s="173">
        <v>0</v>
      </c>
      <c r="U582" s="122"/>
      <c r="W582" s="1"/>
      <c r="X582" s="1"/>
      <c r="Y582" s="1"/>
    </row>
    <row r="583" spans="2:25">
      <c r="G583" s="62" t="s">
        <v>307</v>
      </c>
      <c r="I583" s="114"/>
      <c r="J583" s="107"/>
      <c r="K583" s="107"/>
      <c r="L583" s="107"/>
      <c r="M583" s="107"/>
      <c r="N583" s="107"/>
      <c r="O583" s="107"/>
      <c r="P583" s="107"/>
      <c r="Q583" s="107"/>
      <c r="R583" s="107"/>
      <c r="S583" s="107"/>
      <c r="T583" s="173"/>
      <c r="U583" s="456">
        <f>T583</f>
        <v>0</v>
      </c>
      <c r="W583" s="1"/>
      <c r="X583" s="1"/>
      <c r="Y583" s="1"/>
    </row>
    <row r="584" spans="2:25">
      <c r="G584" s="62" t="s">
        <v>318</v>
      </c>
      <c r="I584" s="114"/>
      <c r="J584" s="107"/>
      <c r="K584" s="107"/>
      <c r="L584" s="107"/>
      <c r="M584" s="107"/>
      <c r="N584" s="107"/>
      <c r="O584" s="107"/>
      <c r="P584" s="107"/>
      <c r="Q584" s="107"/>
      <c r="R584" s="107"/>
      <c r="S584" s="107"/>
      <c r="T584" s="120">
        <f>U584</f>
        <v>0</v>
      </c>
      <c r="U584" s="457">
        <v>0</v>
      </c>
      <c r="W584" s="1"/>
      <c r="X584" s="1"/>
      <c r="Y584" s="1"/>
    </row>
    <row r="585" spans="2:25">
      <c r="G585" s="62" t="s">
        <v>319</v>
      </c>
      <c r="I585" s="49"/>
      <c r="J585" s="194"/>
      <c r="K585" s="194"/>
      <c r="L585" s="194"/>
      <c r="M585" s="194"/>
      <c r="N585" s="194"/>
      <c r="O585" s="194"/>
      <c r="P585" s="194"/>
      <c r="Q585" s="194"/>
      <c r="R585" s="194"/>
      <c r="S585" s="194"/>
      <c r="T585" s="194"/>
      <c r="U585" s="458">
        <v>0</v>
      </c>
      <c r="W585" s="1"/>
      <c r="X585" s="1"/>
      <c r="Y585" s="1"/>
    </row>
    <row r="586" spans="2:25">
      <c r="B586" s="1" t="s">
        <v>211</v>
      </c>
      <c r="G586" s="26" t="s">
        <v>17</v>
      </c>
      <c r="I586" s="7"/>
      <c r="J586" s="7"/>
      <c r="K586" s="7"/>
      <c r="L586" s="7"/>
      <c r="M586" s="7"/>
      <c r="N586" s="7"/>
      <c r="O586" s="7">
        <f>O571-O572-O573</f>
        <v>0</v>
      </c>
      <c r="P586" s="154">
        <f>P573-P574-P575</f>
        <v>0</v>
      </c>
      <c r="Q586" s="154">
        <f>Q575-Q576-Q577+Q578</f>
        <v>0</v>
      </c>
      <c r="R586" s="154">
        <f>R580</f>
        <v>20000</v>
      </c>
      <c r="S586" s="7">
        <f>S579-S580-S581</f>
        <v>-20000</v>
      </c>
      <c r="T586" s="7">
        <f>T581-T582-T583</f>
        <v>0</v>
      </c>
      <c r="U586" s="7">
        <f>U583-U584-U585</f>
        <v>0</v>
      </c>
      <c r="W586" s="1"/>
      <c r="X586" s="1"/>
      <c r="Y586" s="1"/>
    </row>
    <row r="587" spans="2:25">
      <c r="G587" s="6"/>
      <c r="I587" s="154"/>
      <c r="J587" s="154"/>
      <c r="K587" s="154"/>
      <c r="L587" s="154"/>
      <c r="M587" s="154"/>
      <c r="N587" s="154"/>
      <c r="O587" s="154"/>
      <c r="P587" s="154"/>
      <c r="Q587" s="154"/>
      <c r="R587" s="154"/>
      <c r="S587" s="154"/>
      <c r="T587" s="154"/>
      <c r="U587" s="154"/>
      <c r="W587" s="1"/>
      <c r="X587" s="1"/>
      <c r="Y587" s="1"/>
    </row>
    <row r="588" spans="2:25">
      <c r="G588" s="26" t="s">
        <v>12</v>
      </c>
      <c r="H588" s="57"/>
      <c r="I588" s="155"/>
      <c r="J588" s="156"/>
      <c r="K588" s="156"/>
      <c r="L588" s="156"/>
      <c r="M588" s="156"/>
      <c r="N588" s="156"/>
      <c r="O588" s="156"/>
      <c r="P588" s="156"/>
      <c r="Q588" s="156"/>
      <c r="R588" s="156"/>
      <c r="S588" s="156"/>
      <c r="T588" s="156"/>
      <c r="U588" s="267"/>
      <c r="W588" s="1"/>
      <c r="X588" s="1"/>
      <c r="Y588" s="1"/>
    </row>
    <row r="589" spans="2:25">
      <c r="G589" s="6"/>
      <c r="I589" s="154"/>
      <c r="J589" s="154"/>
      <c r="K589" s="154"/>
      <c r="L589" s="154"/>
      <c r="M589" s="154"/>
      <c r="N589" s="154"/>
      <c r="O589" s="154"/>
      <c r="P589" s="154"/>
      <c r="Q589" s="154"/>
      <c r="R589" s="154"/>
      <c r="S589" s="154"/>
      <c r="T589" s="154"/>
      <c r="U589" s="154"/>
      <c r="W589" s="1"/>
      <c r="X589" s="1"/>
      <c r="Y589" s="1"/>
    </row>
    <row r="590" spans="2:25" ht="18.75">
      <c r="C590" s="1" t="s">
        <v>211</v>
      </c>
      <c r="D590" s="1" t="s">
        <v>304</v>
      </c>
      <c r="E590" s="1" t="s">
        <v>107</v>
      </c>
      <c r="F590" s="9" t="s">
        <v>26</v>
      </c>
      <c r="I590" s="157">
        <f t="shared" ref="I590:R590" si="274" xml:space="preserve"> I547 + I552 - I558 + I586 + I588</f>
        <v>0</v>
      </c>
      <c r="J590" s="158">
        <f t="shared" si="274"/>
        <v>0</v>
      </c>
      <c r="K590" s="158">
        <f t="shared" si="274"/>
        <v>0</v>
      </c>
      <c r="L590" s="158">
        <f t="shared" si="274"/>
        <v>0</v>
      </c>
      <c r="M590" s="158">
        <f t="shared" si="274"/>
        <v>0</v>
      </c>
      <c r="N590" s="158">
        <f t="shared" si="274"/>
        <v>0</v>
      </c>
      <c r="O590" s="158">
        <f t="shared" si="274"/>
        <v>0</v>
      </c>
      <c r="P590" s="158">
        <f t="shared" si="274"/>
        <v>0</v>
      </c>
      <c r="Q590" s="158">
        <f t="shared" si="274"/>
        <v>0</v>
      </c>
      <c r="R590" s="158">
        <f t="shared" si="274"/>
        <v>20000</v>
      </c>
      <c r="S590" s="158">
        <f xml:space="preserve"> S547+S586</f>
        <v>33403</v>
      </c>
      <c r="T590" s="158">
        <f xml:space="preserve"> T547+T586</f>
        <v>47520</v>
      </c>
      <c r="U590" s="268">
        <f xml:space="preserve"> U547+U586</f>
        <v>57755</v>
      </c>
      <c r="W590" s="1"/>
      <c r="X590" s="1"/>
      <c r="Y590" s="1"/>
    </row>
    <row r="591" spans="2:25" ht="15.75" thickBot="1">
      <c r="W591" s="1"/>
      <c r="X591" s="1"/>
      <c r="Y591" s="1"/>
    </row>
    <row r="592" spans="2:25" ht="15.75" thickBot="1">
      <c r="F592" s="8"/>
      <c r="G592" s="8"/>
      <c r="H592" s="8"/>
      <c r="I592" s="8"/>
      <c r="J592" s="8"/>
      <c r="K592" s="8"/>
      <c r="L592" s="8"/>
      <c r="M592" s="8"/>
      <c r="N592" s="8"/>
      <c r="O592" s="8"/>
      <c r="P592" s="8"/>
      <c r="Q592" s="8"/>
      <c r="R592" s="8"/>
      <c r="S592" s="290"/>
      <c r="T592" s="8"/>
      <c r="U592" s="8"/>
      <c r="W592" s="1"/>
      <c r="X592" s="1"/>
      <c r="Y592" s="1"/>
    </row>
    <row r="593" spans="1:25" ht="21.75" thickBot="1">
      <c r="F593" s="13" t="s">
        <v>4</v>
      </c>
      <c r="G593" s="13"/>
      <c r="H593" s="185" t="s">
        <v>212</v>
      </c>
      <c r="I593" s="183"/>
      <c r="W593" s="1"/>
      <c r="X593" s="1"/>
      <c r="Y593" s="1"/>
    </row>
    <row r="594" spans="1:25">
      <c r="W594" s="1"/>
      <c r="X594" s="1"/>
      <c r="Y594" s="1"/>
    </row>
    <row r="595" spans="1:25" ht="18.75">
      <c r="F595" s="9" t="s">
        <v>21</v>
      </c>
      <c r="G595" s="9"/>
      <c r="I595" s="2">
        <v>2011</v>
      </c>
      <c r="J595" s="2">
        <f>I595+1</f>
        <v>2012</v>
      </c>
      <c r="K595" s="2">
        <f t="shared" ref="K595" si="275">J595+1</f>
        <v>2013</v>
      </c>
      <c r="L595" s="2">
        <f t="shared" ref="L595" si="276">K595+1</f>
        <v>2014</v>
      </c>
      <c r="M595" s="2">
        <f t="shared" ref="M595" si="277">L595+1</f>
        <v>2015</v>
      </c>
      <c r="N595" s="2">
        <f t="shared" ref="N595" si="278">M595+1</f>
        <v>2016</v>
      </c>
      <c r="O595" s="2">
        <f t="shared" ref="O595" si="279">N595+1</f>
        <v>2017</v>
      </c>
      <c r="P595" s="2">
        <f t="shared" ref="P595" si="280">O595+1</f>
        <v>2018</v>
      </c>
      <c r="Q595" s="2">
        <f t="shared" ref="Q595" si="281">P595+1</f>
        <v>2019</v>
      </c>
      <c r="R595" s="2">
        <f t="shared" ref="R595" si="282">Q595+1</f>
        <v>2020</v>
      </c>
      <c r="S595" s="2">
        <f>R595+1</f>
        <v>2021</v>
      </c>
      <c r="T595" s="2">
        <f>S595+1</f>
        <v>2022</v>
      </c>
      <c r="U595" s="2">
        <f>T595+1</f>
        <v>2023</v>
      </c>
      <c r="W595" s="1"/>
      <c r="X595" s="1"/>
      <c r="Y595" s="1"/>
    </row>
    <row r="596" spans="1:25">
      <c r="G596" s="62" t="str">
        <f>"Total MWh Produced / Purchased from " &amp; H593</f>
        <v>Total MWh Produced / Purchased from Cedar Springs Wind III</v>
      </c>
      <c r="H596" s="57"/>
      <c r="I596" s="3"/>
      <c r="J596" s="4"/>
      <c r="K596" s="4"/>
      <c r="L596" s="4"/>
      <c r="M596" s="4"/>
      <c r="N596" s="4"/>
      <c r="O596" s="4">
        <v>0</v>
      </c>
      <c r="P596" s="4"/>
      <c r="Q596" s="4"/>
      <c r="R596" s="4"/>
      <c r="S596" s="4">
        <v>528019</v>
      </c>
      <c r="T596" s="4">
        <v>568194</v>
      </c>
      <c r="U596" s="5">
        <v>511714</v>
      </c>
      <c r="W596" s="1"/>
      <c r="X596" s="1"/>
      <c r="Y596" s="1"/>
    </row>
    <row r="597" spans="1:25">
      <c r="G597" s="62" t="s">
        <v>25</v>
      </c>
      <c r="H597" s="57"/>
      <c r="I597" s="269"/>
      <c r="J597" s="41"/>
      <c r="K597" s="41"/>
      <c r="L597" s="41"/>
      <c r="M597" s="41"/>
      <c r="N597" s="41"/>
      <c r="O597" s="41"/>
      <c r="P597" s="41"/>
      <c r="Q597" s="41"/>
      <c r="R597" s="41"/>
      <c r="S597" s="41">
        <v>1</v>
      </c>
      <c r="T597" s="41">
        <v>1</v>
      </c>
      <c r="U597" s="42">
        <v>1</v>
      </c>
      <c r="W597" s="1"/>
      <c r="X597" s="1"/>
      <c r="Y597" s="1"/>
    </row>
    <row r="598" spans="1:25">
      <c r="G598" s="62" t="s">
        <v>20</v>
      </c>
      <c r="H598" s="57"/>
      <c r="I598" s="270"/>
      <c r="J598" s="36"/>
      <c r="K598" s="36"/>
      <c r="L598" s="36"/>
      <c r="M598" s="36"/>
      <c r="N598" s="36"/>
      <c r="O598" s="36"/>
      <c r="P598" s="36"/>
      <c r="Q598" s="36"/>
      <c r="R598" s="36"/>
      <c r="S598" s="36">
        <f>S2</f>
        <v>7.9696892166366717E-2</v>
      </c>
      <c r="T598" s="36">
        <f>T2</f>
        <v>7.8737918965874246E-2</v>
      </c>
      <c r="U598" s="36">
        <f>U2</f>
        <v>7.8407467372863096E-2</v>
      </c>
      <c r="W598" s="1"/>
      <c r="X598" s="1"/>
      <c r="Y598" s="1"/>
    </row>
    <row r="599" spans="1:25">
      <c r="A599" s="1" t="s">
        <v>212</v>
      </c>
      <c r="G599" s="26" t="s">
        <v>22</v>
      </c>
      <c r="H599" s="6"/>
      <c r="I599" s="30">
        <v>0</v>
      </c>
      <c r="J599" s="30">
        <v>0</v>
      </c>
      <c r="K599" s="30">
        <v>0</v>
      </c>
      <c r="L599" s="30">
        <v>0</v>
      </c>
      <c r="M599" s="30">
        <v>0</v>
      </c>
      <c r="N599" s="161">
        <v>0</v>
      </c>
      <c r="O599" s="161">
        <f t="shared" ref="O599:R599" si="283">O596*O598</f>
        <v>0</v>
      </c>
      <c r="P599" s="161">
        <f t="shared" si="283"/>
        <v>0</v>
      </c>
      <c r="Q599" s="161">
        <f t="shared" si="283"/>
        <v>0</v>
      </c>
      <c r="R599" s="161">
        <f t="shared" si="283"/>
        <v>0</v>
      </c>
      <c r="S599" s="161">
        <f>ROUNDDOWN(S596*S598,0)</f>
        <v>42081</v>
      </c>
      <c r="T599" s="161">
        <f t="shared" ref="T599:U599" si="284">ROUNDDOWN(T596*T598,0)</f>
        <v>44738</v>
      </c>
      <c r="U599" s="161">
        <f t="shared" si="284"/>
        <v>40122</v>
      </c>
      <c r="W599" s="1"/>
      <c r="X599" s="1"/>
      <c r="Y599" s="1"/>
    </row>
    <row r="600" spans="1:25">
      <c r="I600" s="29"/>
      <c r="J600" s="29"/>
      <c r="K600" s="29"/>
      <c r="L600" s="29"/>
      <c r="M600" s="29"/>
      <c r="N600" s="20"/>
      <c r="O600" s="20"/>
      <c r="P600" s="20"/>
      <c r="Q600" s="20"/>
      <c r="R600" s="20"/>
      <c r="S600" s="20"/>
      <c r="T600" s="20"/>
      <c r="U600" s="20"/>
      <c r="W600" s="1"/>
      <c r="X600" s="1"/>
      <c r="Y600" s="1"/>
    </row>
    <row r="601" spans="1:25" ht="18.75">
      <c r="F601" s="9" t="s">
        <v>118</v>
      </c>
      <c r="I601" s="2">
        <v>2011</v>
      </c>
      <c r="J601" s="2">
        <f>I601+1</f>
        <v>2012</v>
      </c>
      <c r="K601" s="2">
        <f t="shared" ref="K601" si="285">J601+1</f>
        <v>2013</v>
      </c>
      <c r="L601" s="2">
        <f t="shared" ref="L601" si="286">K601+1</f>
        <v>2014</v>
      </c>
      <c r="M601" s="2">
        <f t="shared" ref="M601" si="287">L601+1</f>
        <v>2015</v>
      </c>
      <c r="N601" s="2">
        <f t="shared" ref="N601" si="288">M601+1</f>
        <v>2016</v>
      </c>
      <c r="O601" s="2">
        <f t="shared" ref="O601" si="289">N601+1</f>
        <v>2017</v>
      </c>
      <c r="P601" s="2">
        <f t="shared" ref="P601" si="290">O601+1</f>
        <v>2018</v>
      </c>
      <c r="Q601" s="2">
        <f t="shared" ref="Q601" si="291">P601+1</f>
        <v>2019</v>
      </c>
      <c r="R601" s="2">
        <f t="shared" ref="R601" si="292">Q601+1</f>
        <v>2020</v>
      </c>
      <c r="S601" s="2">
        <f>R601+1</f>
        <v>2021</v>
      </c>
      <c r="T601" s="2">
        <f>S601+1</f>
        <v>2022</v>
      </c>
      <c r="U601" s="2">
        <f>T601+1</f>
        <v>2023</v>
      </c>
      <c r="W601" s="1"/>
      <c r="X601" s="1"/>
      <c r="Y601" s="1"/>
    </row>
    <row r="602" spans="1:25">
      <c r="G602" s="62" t="s">
        <v>10</v>
      </c>
      <c r="H602" s="57"/>
      <c r="I602" s="38">
        <f>IF($J16 = "Eligible", I599 * 'Facility Detail'!$G$3257, 0 )</f>
        <v>0</v>
      </c>
      <c r="J602" s="11">
        <f>IF($J16 = "Eligible", J599 * 'Facility Detail'!$G$3257, 0 )</f>
        <v>0</v>
      </c>
      <c r="K602" s="11">
        <f>IF($J16 = "Eligible", K599 * 'Facility Detail'!$G$3257, 0 )</f>
        <v>0</v>
      </c>
      <c r="L602" s="11">
        <f>IF($J16 = "Eligible", L599 * 'Facility Detail'!$G$3257, 0 )</f>
        <v>0</v>
      </c>
      <c r="M602" s="11">
        <f>IF($J16 = "Eligible", M599 * 'Facility Detail'!$G$3257, 0 )</f>
        <v>0</v>
      </c>
      <c r="N602" s="11">
        <f>IF($J16 = "Eligible", N599 * 'Facility Detail'!$G$3257, 0 )</f>
        <v>0</v>
      </c>
      <c r="O602" s="11">
        <f>IF($J16 = "Eligible", O599 * 'Facility Detail'!$G$3257, 0 )</f>
        <v>0</v>
      </c>
      <c r="P602" s="11">
        <f>IF($J16 = "Eligible", P599 * 'Facility Detail'!$G$3257, 0 )</f>
        <v>0</v>
      </c>
      <c r="Q602" s="11">
        <f>IF($J16 = "Eligible", Q599 * 'Facility Detail'!$G$3257, 0 )</f>
        <v>0</v>
      </c>
      <c r="R602" s="11">
        <f>IF($J16 = "Eligible", R599 * 'Facility Detail'!$G$3257, 0 )</f>
        <v>0</v>
      </c>
      <c r="S602" s="11">
        <f>IF($J16 = "Eligible", S599 * 'Facility Detail'!$G$3257, 0 )</f>
        <v>0</v>
      </c>
      <c r="T602" s="11">
        <f>IF($J16 = "Eligible", T599 * 'Facility Detail'!$G$3257, 0 )</f>
        <v>0</v>
      </c>
      <c r="U602" s="223">
        <f>IF($J16 = "Eligible", U599 * 'Facility Detail'!$G$3257, 0 )</f>
        <v>0</v>
      </c>
      <c r="W602" s="1"/>
      <c r="X602" s="1"/>
      <c r="Y602" s="1"/>
    </row>
    <row r="603" spans="1:25">
      <c r="G603" s="62" t="s">
        <v>6</v>
      </c>
      <c r="H603" s="57"/>
      <c r="I603" s="39">
        <f t="shared" ref="I603:U603" si="293">IF($K16= "Eligible", I599, 0 )</f>
        <v>0</v>
      </c>
      <c r="J603" s="193">
        <f t="shared" si="293"/>
        <v>0</v>
      </c>
      <c r="K603" s="193">
        <f t="shared" si="293"/>
        <v>0</v>
      </c>
      <c r="L603" s="193">
        <f t="shared" si="293"/>
        <v>0</v>
      </c>
      <c r="M603" s="193">
        <f t="shared" si="293"/>
        <v>0</v>
      </c>
      <c r="N603" s="193">
        <f t="shared" si="293"/>
        <v>0</v>
      </c>
      <c r="O603" s="193">
        <f t="shared" si="293"/>
        <v>0</v>
      </c>
      <c r="P603" s="193">
        <f t="shared" si="293"/>
        <v>0</v>
      </c>
      <c r="Q603" s="193">
        <f t="shared" si="293"/>
        <v>0</v>
      </c>
      <c r="R603" s="193">
        <f t="shared" si="293"/>
        <v>0</v>
      </c>
      <c r="S603" s="193">
        <f t="shared" si="293"/>
        <v>0</v>
      </c>
      <c r="T603" s="193">
        <f t="shared" si="293"/>
        <v>0</v>
      </c>
      <c r="U603" s="224">
        <f t="shared" si="293"/>
        <v>0</v>
      </c>
      <c r="W603" s="1"/>
      <c r="X603" s="1"/>
      <c r="Y603" s="1"/>
    </row>
    <row r="604" spans="1:25">
      <c r="G604" s="26" t="s">
        <v>120</v>
      </c>
      <c r="H604" s="6"/>
      <c r="I604" s="32">
        <f>SUM(I602:I603)</f>
        <v>0</v>
      </c>
      <c r="J604" s="33">
        <f t="shared" ref="J604:S604" si="294">SUM(J602:J603)</f>
        <v>0</v>
      </c>
      <c r="K604" s="33">
        <f t="shared" si="294"/>
        <v>0</v>
      </c>
      <c r="L604" s="33">
        <f t="shared" si="294"/>
        <v>0</v>
      </c>
      <c r="M604" s="33">
        <f t="shared" si="294"/>
        <v>0</v>
      </c>
      <c r="N604" s="33">
        <f t="shared" si="294"/>
        <v>0</v>
      </c>
      <c r="O604" s="33">
        <f t="shared" si="294"/>
        <v>0</v>
      </c>
      <c r="P604" s="33">
        <f t="shared" si="294"/>
        <v>0</v>
      </c>
      <c r="Q604" s="33">
        <f t="shared" si="294"/>
        <v>0</v>
      </c>
      <c r="R604" s="33">
        <f t="shared" si="294"/>
        <v>0</v>
      </c>
      <c r="S604" s="33">
        <f t="shared" si="294"/>
        <v>0</v>
      </c>
      <c r="T604" s="33">
        <f t="shared" ref="T604:U604" si="295">SUM(T602:T603)</f>
        <v>0</v>
      </c>
      <c r="U604" s="33">
        <f t="shared" si="295"/>
        <v>0</v>
      </c>
      <c r="W604" s="1"/>
      <c r="X604" s="1"/>
      <c r="Y604" s="1"/>
    </row>
    <row r="605" spans="1:25">
      <c r="I605" s="31"/>
      <c r="J605" s="24"/>
      <c r="K605" s="24"/>
      <c r="L605" s="24"/>
      <c r="M605" s="24"/>
      <c r="N605" s="24"/>
      <c r="O605" s="24"/>
      <c r="P605" s="24"/>
      <c r="Q605" s="24"/>
      <c r="R605" s="24"/>
      <c r="S605" s="24"/>
      <c r="T605" s="24"/>
      <c r="U605" s="24"/>
      <c r="W605" s="1"/>
      <c r="X605" s="1"/>
      <c r="Y605" s="1"/>
    </row>
    <row r="606" spans="1:25" ht="18.75">
      <c r="F606" s="9" t="s">
        <v>30</v>
      </c>
      <c r="I606" s="2">
        <v>2011</v>
      </c>
      <c r="J606" s="2">
        <f>I606+1</f>
        <v>2012</v>
      </c>
      <c r="K606" s="2">
        <f t="shared" ref="K606" si="296">J606+1</f>
        <v>2013</v>
      </c>
      <c r="L606" s="2">
        <f t="shared" ref="L606" si="297">K606+1</f>
        <v>2014</v>
      </c>
      <c r="M606" s="2">
        <f t="shared" ref="M606" si="298">L606+1</f>
        <v>2015</v>
      </c>
      <c r="N606" s="2">
        <f t="shared" ref="N606" si="299">M606+1</f>
        <v>2016</v>
      </c>
      <c r="O606" s="2">
        <f t="shared" ref="O606" si="300">N606+1</f>
        <v>2017</v>
      </c>
      <c r="P606" s="2">
        <f t="shared" ref="P606" si="301">O606+1</f>
        <v>2018</v>
      </c>
      <c r="Q606" s="2">
        <f t="shared" ref="Q606" si="302">P606+1</f>
        <v>2019</v>
      </c>
      <c r="R606" s="2">
        <f t="shared" ref="R606" si="303">Q606+1</f>
        <v>2020</v>
      </c>
      <c r="S606" s="2">
        <f>R606+1</f>
        <v>2021</v>
      </c>
      <c r="T606" s="2">
        <f>S606+1</f>
        <v>2022</v>
      </c>
      <c r="U606" s="2">
        <f>T606+1</f>
        <v>2023</v>
      </c>
      <c r="W606" s="1"/>
      <c r="X606" s="1"/>
      <c r="Y606" s="1"/>
    </row>
    <row r="607" spans="1:25">
      <c r="G607" s="62" t="s">
        <v>47</v>
      </c>
      <c r="H607" s="57"/>
      <c r="I607" s="71"/>
      <c r="J607" s="72"/>
      <c r="K607" s="72"/>
      <c r="L607" s="72"/>
      <c r="M607" s="72"/>
      <c r="N607" s="72"/>
      <c r="O607" s="72"/>
      <c r="P607" s="72"/>
      <c r="Q607" s="72"/>
      <c r="R607" s="72"/>
      <c r="S607" s="72"/>
      <c r="T607" s="72"/>
      <c r="U607" s="73"/>
      <c r="W607" s="1"/>
      <c r="X607" s="1"/>
      <c r="Y607" s="1"/>
    </row>
    <row r="608" spans="1:25">
      <c r="G608" s="63" t="s">
        <v>23</v>
      </c>
      <c r="H608" s="135"/>
      <c r="I608" s="74"/>
      <c r="J608" s="75"/>
      <c r="K608" s="75"/>
      <c r="L608" s="75"/>
      <c r="M608" s="75"/>
      <c r="N608" s="75"/>
      <c r="O608" s="75"/>
      <c r="P608" s="75"/>
      <c r="Q608" s="75"/>
      <c r="R608" s="75"/>
      <c r="S608" s="75"/>
      <c r="T608" s="75"/>
      <c r="U608" s="76"/>
      <c r="W608" s="1"/>
      <c r="X608" s="1"/>
      <c r="Y608" s="1"/>
    </row>
    <row r="609" spans="6:25">
      <c r="G609" s="63" t="s">
        <v>89</v>
      </c>
      <c r="H609" s="134"/>
      <c r="I609" s="43"/>
      <c r="J609" s="44"/>
      <c r="K609" s="44"/>
      <c r="L609" s="44"/>
      <c r="M609" s="44"/>
      <c r="N609" s="44"/>
      <c r="O609" s="44"/>
      <c r="P609" s="44"/>
      <c r="Q609" s="44"/>
      <c r="R609" s="44"/>
      <c r="S609" s="44"/>
      <c r="T609" s="44"/>
      <c r="U609" s="45"/>
      <c r="W609" s="1"/>
      <c r="X609" s="1"/>
      <c r="Y609" s="1"/>
    </row>
    <row r="610" spans="6:25">
      <c r="G610" s="26" t="s">
        <v>90</v>
      </c>
      <c r="I610" s="7">
        <v>0</v>
      </c>
      <c r="J610" s="7">
        <v>0</v>
      </c>
      <c r="K610" s="7">
        <v>0</v>
      </c>
      <c r="L610" s="7">
        <v>0</v>
      </c>
      <c r="M610" s="7">
        <v>0</v>
      </c>
      <c r="N610" s="7">
        <v>0</v>
      </c>
      <c r="O610" s="7">
        <v>0</v>
      </c>
      <c r="P610" s="7">
        <v>0</v>
      </c>
      <c r="Q610" s="7">
        <v>0</v>
      </c>
      <c r="R610" s="7">
        <v>0</v>
      </c>
      <c r="S610" s="7">
        <v>0</v>
      </c>
      <c r="T610" s="7">
        <v>0</v>
      </c>
      <c r="U610" s="7">
        <v>0</v>
      </c>
      <c r="W610" s="1"/>
      <c r="X610" s="1"/>
      <c r="Y610" s="1"/>
    </row>
    <row r="611" spans="6:25">
      <c r="G611" s="6"/>
      <c r="I611" s="7"/>
      <c r="J611" s="7"/>
      <c r="K611" s="7"/>
      <c r="L611" s="23"/>
      <c r="M611" s="23"/>
      <c r="N611" s="23"/>
      <c r="O611" s="23"/>
      <c r="P611" s="23"/>
      <c r="Q611" s="23"/>
      <c r="R611" s="23"/>
      <c r="S611" s="23"/>
      <c r="T611" s="23"/>
      <c r="U611" s="23"/>
      <c r="W611" s="1"/>
      <c r="X611" s="1"/>
      <c r="Y611" s="1"/>
    </row>
    <row r="612" spans="6:25" ht="18.75">
      <c r="F612" s="9" t="s">
        <v>100</v>
      </c>
      <c r="I612" s="2">
        <f>'Facility Detail'!$G$3260</f>
        <v>2011</v>
      </c>
      <c r="J612" s="2">
        <f>I612+1</f>
        <v>2012</v>
      </c>
      <c r="K612" s="2">
        <f t="shared" ref="K612" si="304">J612+1</f>
        <v>2013</v>
      </c>
      <c r="L612" s="2">
        <f t="shared" ref="L612" si="305">K612+1</f>
        <v>2014</v>
      </c>
      <c r="M612" s="2">
        <f t="shared" ref="M612" si="306">L612+1</f>
        <v>2015</v>
      </c>
      <c r="N612" s="2">
        <f t="shared" ref="N612" si="307">M612+1</f>
        <v>2016</v>
      </c>
      <c r="O612" s="2">
        <f t="shared" ref="O612" si="308">N612+1</f>
        <v>2017</v>
      </c>
      <c r="P612" s="2">
        <f t="shared" ref="P612" si="309">O612+1</f>
        <v>2018</v>
      </c>
      <c r="Q612" s="2">
        <f t="shared" ref="Q612" si="310">P612+1</f>
        <v>2019</v>
      </c>
      <c r="R612" s="2">
        <f t="shared" ref="R612" si="311">Q612+1</f>
        <v>2020</v>
      </c>
      <c r="S612" s="2">
        <f>R612+1</f>
        <v>2021</v>
      </c>
      <c r="T612" s="2">
        <f>S612+1</f>
        <v>2022</v>
      </c>
      <c r="U612" s="2">
        <f>T612+1</f>
        <v>2023</v>
      </c>
      <c r="W612" s="1"/>
      <c r="X612" s="1"/>
      <c r="Y612" s="1"/>
    </row>
    <row r="613" spans="6:25">
      <c r="G613" s="62" t="s">
        <v>68</v>
      </c>
      <c r="H613" s="57"/>
      <c r="I613" s="3"/>
      <c r="J613" s="46">
        <f>I613</f>
        <v>0</v>
      </c>
      <c r="K613" s="106"/>
      <c r="L613" s="106"/>
      <c r="M613" s="106"/>
      <c r="N613" s="106"/>
      <c r="O613" s="106"/>
      <c r="P613" s="106"/>
      <c r="Q613" s="106"/>
      <c r="R613" s="106"/>
      <c r="S613" s="106"/>
      <c r="T613" s="217"/>
      <c r="U613" s="47"/>
      <c r="W613" s="1"/>
      <c r="X613" s="1"/>
      <c r="Y613" s="1"/>
    </row>
    <row r="614" spans="6:25">
      <c r="G614" s="62" t="s">
        <v>69</v>
      </c>
      <c r="H614" s="57"/>
      <c r="I614" s="127">
        <f>J614</f>
        <v>0</v>
      </c>
      <c r="J614" s="10"/>
      <c r="K614" s="60"/>
      <c r="L614" s="60"/>
      <c r="M614" s="60"/>
      <c r="N614" s="60"/>
      <c r="O614" s="60"/>
      <c r="P614" s="60"/>
      <c r="Q614" s="60"/>
      <c r="R614" s="60"/>
      <c r="S614" s="60"/>
      <c r="T614" s="218"/>
      <c r="U614" s="128"/>
      <c r="W614" s="1"/>
      <c r="X614" s="1"/>
      <c r="Y614" s="1"/>
    </row>
    <row r="615" spans="6:25">
      <c r="G615" s="62" t="s">
        <v>70</v>
      </c>
      <c r="H615" s="57"/>
      <c r="I615" s="48"/>
      <c r="J615" s="10">
        <f>J599</f>
        <v>0</v>
      </c>
      <c r="K615" s="56">
        <f>J615</f>
        <v>0</v>
      </c>
      <c r="L615" s="60"/>
      <c r="M615" s="60"/>
      <c r="N615" s="60"/>
      <c r="O615" s="60"/>
      <c r="P615" s="60"/>
      <c r="Q615" s="60"/>
      <c r="R615" s="60"/>
      <c r="S615" s="60"/>
      <c r="T615" s="218"/>
      <c r="U615" s="128"/>
      <c r="W615" s="1"/>
      <c r="X615" s="1"/>
      <c r="Y615" s="1"/>
    </row>
    <row r="616" spans="6:25">
      <c r="G616" s="62" t="s">
        <v>71</v>
      </c>
      <c r="H616" s="57"/>
      <c r="I616" s="48"/>
      <c r="J616" s="56">
        <f>K616</f>
        <v>0</v>
      </c>
      <c r="K616" s="10"/>
      <c r="L616" s="60"/>
      <c r="M616" s="60"/>
      <c r="N616" s="60"/>
      <c r="O616" s="60"/>
      <c r="P616" s="60"/>
      <c r="Q616" s="60"/>
      <c r="R616" s="60"/>
      <c r="S616" s="60"/>
      <c r="T616" s="218"/>
      <c r="U616" s="128"/>
      <c r="W616" s="1"/>
      <c r="X616" s="1"/>
      <c r="Y616" s="1"/>
    </row>
    <row r="617" spans="6:25">
      <c r="G617" s="62" t="s">
        <v>170</v>
      </c>
      <c r="I617" s="48"/>
      <c r="J617" s="118"/>
      <c r="K617" s="10">
        <f>K599</f>
        <v>0</v>
      </c>
      <c r="L617" s="119">
        <f>K617</f>
        <v>0</v>
      </c>
      <c r="M617" s="60"/>
      <c r="N617" s="60"/>
      <c r="O617" s="60"/>
      <c r="P617" s="60"/>
      <c r="Q617" s="60"/>
      <c r="R617" s="60"/>
      <c r="S617" s="60"/>
      <c r="T617" s="146"/>
      <c r="U617" s="122"/>
      <c r="W617" s="1"/>
      <c r="X617" s="1"/>
      <c r="Y617" s="1"/>
    </row>
    <row r="618" spans="6:25">
      <c r="G618" s="62" t="s">
        <v>171</v>
      </c>
      <c r="I618" s="48"/>
      <c r="J618" s="118"/>
      <c r="K618" s="56">
        <f>L618</f>
        <v>0</v>
      </c>
      <c r="L618" s="10"/>
      <c r="M618" s="60"/>
      <c r="N618" s="60"/>
      <c r="O618" s="60"/>
      <c r="P618" s="60"/>
      <c r="Q618" s="60"/>
      <c r="R618" s="60"/>
      <c r="S618" s="60"/>
      <c r="T618" s="146"/>
      <c r="U618" s="122"/>
      <c r="W618" s="1"/>
      <c r="X618" s="1"/>
      <c r="Y618" s="1"/>
    </row>
    <row r="619" spans="6:25">
      <c r="G619" s="62" t="s">
        <v>172</v>
      </c>
      <c r="I619" s="48"/>
      <c r="J619" s="118"/>
      <c r="K619" s="118"/>
      <c r="L619" s="10">
        <f>L599</f>
        <v>0</v>
      </c>
      <c r="M619" s="119">
        <f>L619</f>
        <v>0</v>
      </c>
      <c r="N619" s="118">
        <f>M619</f>
        <v>0</v>
      </c>
      <c r="O619" s="60"/>
      <c r="P619" s="60"/>
      <c r="Q619" s="60"/>
      <c r="R619" s="60"/>
      <c r="S619" s="60"/>
      <c r="T619" s="146"/>
      <c r="U619" s="122"/>
      <c r="W619" s="1"/>
      <c r="X619" s="1"/>
      <c r="Y619" s="1"/>
    </row>
    <row r="620" spans="6:25">
      <c r="G620" s="62" t="s">
        <v>173</v>
      </c>
      <c r="I620" s="48"/>
      <c r="J620" s="118"/>
      <c r="K620" s="118"/>
      <c r="L620" s="56"/>
      <c r="M620" s="10"/>
      <c r="N620" s="118"/>
      <c r="O620" s="60"/>
      <c r="P620" s="60"/>
      <c r="Q620" s="60"/>
      <c r="R620" s="60"/>
      <c r="S620" s="60"/>
      <c r="T620" s="146"/>
      <c r="U620" s="122"/>
      <c r="W620" s="1"/>
      <c r="X620" s="1"/>
      <c r="Y620" s="1"/>
    </row>
    <row r="621" spans="6:25">
      <c r="G621" s="62" t="s">
        <v>174</v>
      </c>
      <c r="I621" s="48"/>
      <c r="J621" s="118"/>
      <c r="K621" s="118"/>
      <c r="L621" s="118"/>
      <c r="M621" s="10">
        <v>0</v>
      </c>
      <c r="N621" s="119">
        <f>M621</f>
        <v>0</v>
      </c>
      <c r="O621" s="60"/>
      <c r="P621" s="60"/>
      <c r="Q621" s="60"/>
      <c r="R621" s="60"/>
      <c r="S621" s="60"/>
      <c r="T621" s="146"/>
      <c r="U621" s="122"/>
      <c r="W621" s="1"/>
      <c r="X621" s="1"/>
      <c r="Y621" s="1"/>
    </row>
    <row r="622" spans="6:25">
      <c r="G622" s="62" t="s">
        <v>175</v>
      </c>
      <c r="I622" s="48"/>
      <c r="J622" s="118"/>
      <c r="K622" s="118"/>
      <c r="L622" s="118"/>
      <c r="M622" s="56"/>
      <c r="N622" s="10"/>
      <c r="O622" s="60"/>
      <c r="P622" s="60"/>
      <c r="Q622" s="60"/>
      <c r="R622" s="60"/>
      <c r="S622" s="60"/>
      <c r="T622" s="146"/>
      <c r="U622" s="122"/>
      <c r="W622" s="1"/>
      <c r="X622" s="1"/>
      <c r="Y622" s="1"/>
    </row>
    <row r="623" spans="6:25">
      <c r="G623" s="62" t="s">
        <v>176</v>
      </c>
      <c r="I623" s="48"/>
      <c r="J623" s="118"/>
      <c r="K623" s="118"/>
      <c r="L623" s="118"/>
      <c r="M623" s="118"/>
      <c r="N623" s="149">
        <f>N599</f>
        <v>0</v>
      </c>
      <c r="O623" s="120">
        <f>N623</f>
        <v>0</v>
      </c>
      <c r="P623" s="60"/>
      <c r="Q623" s="60"/>
      <c r="R623" s="60"/>
      <c r="S623" s="60"/>
      <c r="T623" s="146"/>
      <c r="U623" s="122"/>
      <c r="W623" s="1"/>
      <c r="X623" s="1"/>
      <c r="Y623" s="1"/>
    </row>
    <row r="624" spans="6:25">
      <c r="G624" s="62" t="s">
        <v>167</v>
      </c>
      <c r="I624" s="48"/>
      <c r="J624" s="118"/>
      <c r="K624" s="118"/>
      <c r="L624" s="118"/>
      <c r="M624" s="118"/>
      <c r="N624" s="150"/>
      <c r="O624" s="121"/>
      <c r="P624" s="60"/>
      <c r="Q624" s="60"/>
      <c r="R624" s="60"/>
      <c r="S624" s="60"/>
      <c r="T624" s="146"/>
      <c r="U624" s="122"/>
      <c r="W624" s="1"/>
      <c r="X624" s="1"/>
      <c r="Y624" s="1"/>
    </row>
    <row r="625" spans="2:25">
      <c r="G625" s="62" t="s">
        <v>168</v>
      </c>
      <c r="I625" s="48"/>
      <c r="J625" s="118"/>
      <c r="K625" s="118"/>
      <c r="L625" s="118"/>
      <c r="M625" s="118"/>
      <c r="N625" s="118"/>
      <c r="O625" s="121">
        <f>O599</f>
        <v>0</v>
      </c>
      <c r="P625" s="120">
        <f>O625</f>
        <v>0</v>
      </c>
      <c r="Q625" s="60"/>
      <c r="R625" s="60"/>
      <c r="S625" s="60"/>
      <c r="T625" s="146"/>
      <c r="U625" s="122"/>
      <c r="W625" s="1"/>
      <c r="X625" s="1"/>
      <c r="Y625" s="1"/>
    </row>
    <row r="626" spans="2:25">
      <c r="G626" s="62" t="s">
        <v>185</v>
      </c>
      <c r="I626" s="48"/>
      <c r="J626" s="118"/>
      <c r="K626" s="118"/>
      <c r="L626" s="118"/>
      <c r="M626" s="118"/>
      <c r="N626" s="118"/>
      <c r="O626" s="120"/>
      <c r="P626" s="121"/>
      <c r="Q626" s="60"/>
      <c r="R626" s="60"/>
      <c r="S626" s="60"/>
      <c r="T626" s="146"/>
      <c r="U626" s="122"/>
      <c r="W626" s="1"/>
      <c r="X626" s="1"/>
      <c r="Y626" s="1"/>
    </row>
    <row r="627" spans="2:25">
      <c r="G627" s="62" t="s">
        <v>186</v>
      </c>
      <c r="I627" s="48"/>
      <c r="J627" s="118"/>
      <c r="K627" s="118"/>
      <c r="L627" s="118"/>
      <c r="M627" s="118"/>
      <c r="N627" s="118"/>
      <c r="O627" s="118"/>
      <c r="P627" s="121">
        <f>P599</f>
        <v>0</v>
      </c>
      <c r="Q627" s="56">
        <f>P627</f>
        <v>0</v>
      </c>
      <c r="R627" s="60"/>
      <c r="S627" s="60"/>
      <c r="T627" s="146"/>
      <c r="U627" s="122"/>
      <c r="W627" s="1"/>
      <c r="X627" s="1"/>
      <c r="Y627" s="1"/>
    </row>
    <row r="628" spans="2:25">
      <c r="G628" s="62" t="s">
        <v>187</v>
      </c>
      <c r="I628" s="48"/>
      <c r="J628" s="118"/>
      <c r="K628" s="118"/>
      <c r="L628" s="118"/>
      <c r="M628" s="118"/>
      <c r="N628" s="118"/>
      <c r="O628" s="118"/>
      <c r="P628" s="120"/>
      <c r="Q628" s="306"/>
      <c r="R628" s="60"/>
      <c r="S628" s="60"/>
      <c r="T628" s="146"/>
      <c r="U628" s="122"/>
      <c r="W628" s="1"/>
      <c r="X628" s="1"/>
      <c r="Y628" s="1"/>
    </row>
    <row r="629" spans="2:25">
      <c r="G629" s="62" t="s">
        <v>188</v>
      </c>
      <c r="I629" s="48"/>
      <c r="J629" s="118"/>
      <c r="K629" s="118"/>
      <c r="L629" s="118"/>
      <c r="M629" s="118"/>
      <c r="N629" s="118"/>
      <c r="O629" s="118"/>
      <c r="P629" s="118"/>
      <c r="Q629" s="121"/>
      <c r="R629" s="151"/>
      <c r="S629" s="60"/>
      <c r="T629" s="146"/>
      <c r="U629" s="122"/>
      <c r="W629" s="1"/>
      <c r="X629" s="1"/>
      <c r="Y629" s="1"/>
    </row>
    <row r="630" spans="2:25">
      <c r="G630" s="62" t="s">
        <v>189</v>
      </c>
      <c r="I630" s="48"/>
      <c r="J630" s="118"/>
      <c r="K630" s="118"/>
      <c r="L630" s="118"/>
      <c r="M630" s="118"/>
      <c r="N630" s="118"/>
      <c r="O630" s="118"/>
      <c r="P630" s="118"/>
      <c r="Q630" s="151"/>
      <c r="R630" s="173"/>
      <c r="S630" s="60"/>
      <c r="T630" s="146"/>
      <c r="U630" s="122"/>
      <c r="W630" s="1"/>
      <c r="X630" s="1"/>
      <c r="Y630" s="1"/>
    </row>
    <row r="631" spans="2:25">
      <c r="G631" s="62" t="s">
        <v>190</v>
      </c>
      <c r="I631" s="48"/>
      <c r="J631" s="118"/>
      <c r="K631" s="118"/>
      <c r="L631" s="118"/>
      <c r="M631" s="118"/>
      <c r="N631" s="118"/>
      <c r="O631" s="118"/>
      <c r="P631" s="118"/>
      <c r="Q631" s="118"/>
      <c r="R631" s="173">
        <v>0</v>
      </c>
      <c r="S631" s="151">
        <f>R631</f>
        <v>0</v>
      </c>
      <c r="T631" s="146"/>
      <c r="U631" s="122"/>
      <c r="W631" s="1"/>
      <c r="X631" s="1"/>
      <c r="Y631" s="1"/>
    </row>
    <row r="632" spans="2:25">
      <c r="G632" s="62" t="s">
        <v>199</v>
      </c>
      <c r="I632" s="48"/>
      <c r="J632" s="118"/>
      <c r="K632" s="118"/>
      <c r="L632" s="118"/>
      <c r="M632" s="118"/>
      <c r="N632" s="118"/>
      <c r="O632" s="118"/>
      <c r="P632" s="118"/>
      <c r="Q632" s="118"/>
      <c r="R632" s="120">
        <v>0</v>
      </c>
      <c r="S632" s="173">
        <v>0</v>
      </c>
      <c r="T632" s="146"/>
      <c r="U632" s="122"/>
      <c r="W632" s="1"/>
      <c r="X632" s="1"/>
      <c r="Y632" s="1"/>
    </row>
    <row r="633" spans="2:25">
      <c r="G633" s="62" t="s">
        <v>200</v>
      </c>
      <c r="I633" s="48"/>
      <c r="J633" s="118"/>
      <c r="K633" s="118"/>
      <c r="L633" s="118"/>
      <c r="M633" s="118"/>
      <c r="N633" s="118"/>
      <c r="O633" s="118"/>
      <c r="P633" s="118"/>
      <c r="Q633" s="118"/>
      <c r="R633" s="118"/>
      <c r="S633" s="173">
        <v>0</v>
      </c>
      <c r="T633" s="151">
        <f>S633</f>
        <v>0</v>
      </c>
      <c r="U633" s="122"/>
      <c r="W633" s="1"/>
      <c r="X633" s="1"/>
      <c r="Y633" s="1"/>
    </row>
    <row r="634" spans="2:25">
      <c r="G634" s="62" t="s">
        <v>308</v>
      </c>
      <c r="I634" s="48"/>
      <c r="J634" s="118"/>
      <c r="K634" s="118"/>
      <c r="L634" s="118"/>
      <c r="M634" s="118"/>
      <c r="N634" s="118"/>
      <c r="O634" s="118"/>
      <c r="P634" s="118"/>
      <c r="Q634" s="118"/>
      <c r="R634" s="118"/>
      <c r="S634" s="120">
        <f>T634</f>
        <v>0</v>
      </c>
      <c r="T634" s="173">
        <v>0</v>
      </c>
      <c r="U634" s="122"/>
      <c r="W634" s="1"/>
      <c r="X634" s="1"/>
      <c r="Y634" s="1"/>
    </row>
    <row r="635" spans="2:25">
      <c r="G635" s="62" t="s">
        <v>307</v>
      </c>
      <c r="I635" s="114"/>
      <c r="J635" s="107"/>
      <c r="K635" s="107"/>
      <c r="L635" s="107"/>
      <c r="M635" s="107"/>
      <c r="N635" s="107"/>
      <c r="O635" s="107"/>
      <c r="P635" s="107"/>
      <c r="Q635" s="107"/>
      <c r="R635" s="107"/>
      <c r="S635" s="107"/>
      <c r="T635" s="173"/>
      <c r="U635" s="456">
        <f>T635</f>
        <v>0</v>
      </c>
      <c r="W635" s="1"/>
      <c r="X635" s="1"/>
      <c r="Y635" s="1"/>
    </row>
    <row r="636" spans="2:25">
      <c r="G636" s="62" t="s">
        <v>318</v>
      </c>
      <c r="I636" s="114"/>
      <c r="J636" s="107"/>
      <c r="K636" s="107"/>
      <c r="L636" s="107"/>
      <c r="M636" s="107"/>
      <c r="N636" s="107"/>
      <c r="O636" s="107"/>
      <c r="P636" s="107"/>
      <c r="Q636" s="107"/>
      <c r="R636" s="107"/>
      <c r="S636" s="107"/>
      <c r="T636" s="120">
        <f>U636</f>
        <v>0</v>
      </c>
      <c r="U636" s="457">
        <v>0</v>
      </c>
      <c r="W636" s="1"/>
      <c r="X636" s="1"/>
      <c r="Y636" s="1"/>
    </row>
    <row r="637" spans="2:25">
      <c r="G637" s="62" t="s">
        <v>319</v>
      </c>
      <c r="I637" s="49"/>
      <c r="J637" s="194"/>
      <c r="K637" s="194"/>
      <c r="L637" s="194"/>
      <c r="M637" s="194"/>
      <c r="N637" s="194"/>
      <c r="O637" s="194"/>
      <c r="P637" s="194"/>
      <c r="Q637" s="194"/>
      <c r="R637" s="194"/>
      <c r="S637" s="194"/>
      <c r="T637" s="194"/>
      <c r="U637" s="458">
        <v>0</v>
      </c>
      <c r="W637" s="1"/>
      <c r="X637" s="1"/>
      <c r="Y637" s="1"/>
    </row>
    <row r="638" spans="2:25">
      <c r="B638" s="1" t="s">
        <v>212</v>
      </c>
      <c r="G638" s="26" t="s">
        <v>17</v>
      </c>
      <c r="I638" s="7"/>
      <c r="J638" s="7"/>
      <c r="K638" s="7"/>
      <c r="L638" s="7"/>
      <c r="M638" s="7"/>
      <c r="N638" s="7"/>
      <c r="O638" s="7">
        <f>O623-O624-O625</f>
        <v>0</v>
      </c>
      <c r="P638" s="154">
        <f>P625-P626-P627</f>
        <v>0</v>
      </c>
      <c r="Q638" s="154">
        <f>Q627-Q628-Q629+Q630</f>
        <v>0</v>
      </c>
      <c r="R638" s="154">
        <f>R632</f>
        <v>0</v>
      </c>
      <c r="S638" s="7">
        <f>S631-S632+S633-S634</f>
        <v>0</v>
      </c>
      <c r="T638" s="7">
        <f>T633-T634-T635+T636</f>
        <v>0</v>
      </c>
      <c r="U638" s="7">
        <f>U635-U636-U637</f>
        <v>0</v>
      </c>
      <c r="W638" s="1"/>
      <c r="X638" s="1"/>
      <c r="Y638" s="1"/>
    </row>
    <row r="639" spans="2:25">
      <c r="G639" s="6"/>
      <c r="I639" s="154"/>
      <c r="J639" s="154"/>
      <c r="K639" s="154"/>
      <c r="L639" s="154"/>
      <c r="M639" s="154"/>
      <c r="N639" s="154"/>
      <c r="O639" s="154"/>
      <c r="P639" s="154"/>
      <c r="Q639" s="154"/>
      <c r="R639" s="154"/>
      <c r="S639" s="154"/>
      <c r="T639" s="154"/>
      <c r="U639" s="154"/>
      <c r="W639" s="1"/>
      <c r="X639" s="1"/>
      <c r="Y639" s="1"/>
    </row>
    <row r="640" spans="2:25">
      <c r="G640" s="26" t="s">
        <v>12</v>
      </c>
      <c r="H640" s="57"/>
      <c r="I640" s="155"/>
      <c r="J640" s="156"/>
      <c r="K640" s="156"/>
      <c r="L640" s="156"/>
      <c r="M640" s="156"/>
      <c r="N640" s="156"/>
      <c r="O640" s="156"/>
      <c r="P640" s="156"/>
      <c r="Q640" s="156"/>
      <c r="R640" s="156"/>
      <c r="S640" s="156"/>
      <c r="T640" s="156"/>
      <c r="U640" s="267"/>
      <c r="W640" s="1"/>
      <c r="X640" s="1"/>
      <c r="Y640" s="1"/>
    </row>
    <row r="641" spans="1:25">
      <c r="G641" s="6"/>
      <c r="I641" s="154"/>
      <c r="J641" s="154"/>
      <c r="K641" s="154"/>
      <c r="L641" s="154"/>
      <c r="M641" s="154"/>
      <c r="N641" s="154"/>
      <c r="O641" s="154"/>
      <c r="P641" s="154"/>
      <c r="Q641" s="154"/>
      <c r="R641" s="154"/>
      <c r="S641" s="154"/>
      <c r="T641" s="154"/>
      <c r="U641" s="154"/>
      <c r="W641" s="1"/>
      <c r="X641" s="1"/>
      <c r="Y641" s="1"/>
    </row>
    <row r="642" spans="1:25" ht="18.75">
      <c r="C642" s="1" t="s">
        <v>212</v>
      </c>
      <c r="D642" s="1" t="s">
        <v>240</v>
      </c>
      <c r="E642" s="1" t="s">
        <v>107</v>
      </c>
      <c r="F642" s="9" t="s">
        <v>26</v>
      </c>
      <c r="I642" s="157">
        <f t="shared" ref="I642:S642" si="312" xml:space="preserve"> I599 + I604 - I610 + I638 + I640</f>
        <v>0</v>
      </c>
      <c r="J642" s="158">
        <f t="shared" si="312"/>
        <v>0</v>
      </c>
      <c r="K642" s="158">
        <f t="shared" si="312"/>
        <v>0</v>
      </c>
      <c r="L642" s="158">
        <f t="shared" si="312"/>
        <v>0</v>
      </c>
      <c r="M642" s="158">
        <f t="shared" si="312"/>
        <v>0</v>
      </c>
      <c r="N642" s="158">
        <f t="shared" si="312"/>
        <v>0</v>
      </c>
      <c r="O642" s="158">
        <f t="shared" si="312"/>
        <v>0</v>
      </c>
      <c r="P642" s="158">
        <f t="shared" si="312"/>
        <v>0</v>
      </c>
      <c r="Q642" s="158">
        <f t="shared" si="312"/>
        <v>0</v>
      </c>
      <c r="R642" s="158">
        <f t="shared" si="312"/>
        <v>0</v>
      </c>
      <c r="S642" s="158">
        <f t="shared" si="312"/>
        <v>42081</v>
      </c>
      <c r="T642" s="158">
        <f t="shared" ref="T642:U642" si="313" xml:space="preserve"> T599 + T604 - T610 + T638 + T640</f>
        <v>44738</v>
      </c>
      <c r="U642" s="268">
        <f t="shared" si="313"/>
        <v>40122</v>
      </c>
      <c r="W642" s="1"/>
      <c r="X642" s="1"/>
      <c r="Y642" s="1"/>
    </row>
    <row r="643" spans="1:25" ht="15.75" thickBot="1">
      <c r="S643" s="1"/>
      <c r="W643" s="1"/>
      <c r="X643" s="1"/>
      <c r="Y643" s="1"/>
    </row>
    <row r="644" spans="1:25">
      <c r="F644" s="8"/>
      <c r="G644" s="8"/>
      <c r="H644" s="8"/>
      <c r="I644" s="8"/>
      <c r="J644" s="8"/>
      <c r="K644" s="8"/>
      <c r="L644" s="8"/>
      <c r="M644" s="8"/>
      <c r="N644" s="8"/>
      <c r="O644" s="8"/>
      <c r="P644" s="8"/>
      <c r="Q644" s="8"/>
      <c r="R644" s="8"/>
      <c r="S644" s="290"/>
      <c r="T644" s="8"/>
      <c r="U644" s="8"/>
      <c r="W644" s="1"/>
      <c r="X644" s="1"/>
      <c r="Y644" s="1"/>
    </row>
    <row r="645" spans="1:25" ht="15.75" thickBot="1">
      <c r="W645" s="1"/>
      <c r="X645" s="1"/>
      <c r="Y645" s="1"/>
    </row>
    <row r="646" spans="1:25" ht="21.75" thickBot="1">
      <c r="F646" s="13" t="s">
        <v>4</v>
      </c>
      <c r="G646" s="13"/>
      <c r="H646" s="185" t="str">
        <f>G17</f>
        <v>Condon Wind Power Project - Condon Wind Power Project - REC Only</v>
      </c>
      <c r="I646" s="186"/>
      <c r="J646" s="197"/>
      <c r="K646" s="197"/>
      <c r="L646" s="174"/>
      <c r="W646" s="1"/>
      <c r="X646" s="1"/>
      <c r="Y646" s="1"/>
    </row>
    <row r="647" spans="1:25">
      <c r="W647" s="1"/>
      <c r="X647" s="1"/>
      <c r="Y647" s="1"/>
    </row>
    <row r="648" spans="1:25" ht="18.75">
      <c r="F648" s="9" t="s">
        <v>21</v>
      </c>
      <c r="G648" s="9"/>
      <c r="I648" s="2">
        <f>'Facility Detail'!$I$76</f>
        <v>2011</v>
      </c>
      <c r="J648" s="2">
        <f>I648+1</f>
        <v>2012</v>
      </c>
      <c r="K648" s="2">
        <f>J648+1</f>
        <v>2013</v>
      </c>
      <c r="L648" s="2">
        <f t="shared" ref="L648:R648" si="314">K648+1</f>
        <v>2014</v>
      </c>
      <c r="M648" s="2">
        <f t="shared" si="314"/>
        <v>2015</v>
      </c>
      <c r="N648" s="2">
        <f t="shared" si="314"/>
        <v>2016</v>
      </c>
      <c r="O648" s="2">
        <f t="shared" si="314"/>
        <v>2017</v>
      </c>
      <c r="P648" s="2">
        <f t="shared" si="314"/>
        <v>2018</v>
      </c>
      <c r="Q648" s="2">
        <f t="shared" si="314"/>
        <v>2019</v>
      </c>
      <c r="R648" s="2">
        <f t="shared" si="314"/>
        <v>2020</v>
      </c>
      <c r="S648" s="304">
        <f>R648+1</f>
        <v>2021</v>
      </c>
      <c r="T648" s="2">
        <f>S648+1</f>
        <v>2022</v>
      </c>
      <c r="U648" s="2">
        <f>T648+1</f>
        <v>2023</v>
      </c>
      <c r="W648" s="1"/>
      <c r="X648" s="1"/>
      <c r="Y648" s="1"/>
    </row>
    <row r="649" spans="1:25">
      <c r="G649" s="62" t="str">
        <f>"Total MWh Produced / Purchased from " &amp; H646</f>
        <v>Total MWh Produced / Purchased from Condon Wind Power Project - Condon Wind Power Project - REC Only</v>
      </c>
      <c r="H649" s="57"/>
      <c r="I649" s="3"/>
      <c r="J649" s="4"/>
      <c r="K649" s="4"/>
      <c r="L649" s="4"/>
      <c r="M649" s="4"/>
      <c r="N649" s="4">
        <v>8286</v>
      </c>
      <c r="O649" s="4"/>
      <c r="P649" s="4"/>
      <c r="Q649" s="4"/>
      <c r="R649" s="4"/>
      <c r="S649" s="308"/>
      <c r="T649" s="4"/>
      <c r="U649" s="5"/>
      <c r="W649" s="1"/>
      <c r="X649" s="1"/>
      <c r="Y649" s="1"/>
    </row>
    <row r="650" spans="1:25">
      <c r="G650" s="62" t="s">
        <v>25</v>
      </c>
      <c r="H650" s="57"/>
      <c r="I650" s="269"/>
      <c r="J650" s="41"/>
      <c r="K650" s="41"/>
      <c r="L650" s="41"/>
      <c r="M650" s="41"/>
      <c r="N650" s="41">
        <v>1</v>
      </c>
      <c r="O650" s="41">
        <v>1</v>
      </c>
      <c r="P650" s="41"/>
      <c r="Q650" s="41"/>
      <c r="R650" s="41"/>
      <c r="S650" s="309"/>
      <c r="T650" s="41"/>
      <c r="U650" s="42"/>
      <c r="W650" s="1"/>
      <c r="X650" s="1"/>
      <c r="Y650" s="1"/>
    </row>
    <row r="651" spans="1:25">
      <c r="G651" s="62" t="s">
        <v>20</v>
      </c>
      <c r="H651" s="57"/>
      <c r="I651" s="270"/>
      <c r="J651" s="36"/>
      <c r="K651" s="36"/>
      <c r="L651" s="36"/>
      <c r="M651" s="36"/>
      <c r="N651" s="36">
        <v>1</v>
      </c>
      <c r="O651" s="36"/>
      <c r="P651" s="36"/>
      <c r="Q651" s="36"/>
      <c r="R651" s="36"/>
      <c r="S651" s="310"/>
      <c r="T651" s="36"/>
      <c r="U651" s="37"/>
      <c r="W651" s="1"/>
      <c r="X651" s="1"/>
      <c r="Y651" s="1"/>
    </row>
    <row r="652" spans="1:25">
      <c r="A652" s="1" t="s">
        <v>288</v>
      </c>
      <c r="G652" s="26" t="s">
        <v>22</v>
      </c>
      <c r="H652" s="6"/>
      <c r="I652" s="30">
        <f xml:space="preserve"> I649 * I650 * I651</f>
        <v>0</v>
      </c>
      <c r="J652" s="30">
        <f xml:space="preserve"> J649 * J650 * J651</f>
        <v>0</v>
      </c>
      <c r="K652" s="30">
        <f xml:space="preserve"> K649 * K650 * K651</f>
        <v>0</v>
      </c>
      <c r="L652" s="30">
        <f t="shared" ref="L652:M652" si="315" xml:space="preserve"> L649 * L650 * L651</f>
        <v>0</v>
      </c>
      <c r="M652" s="30">
        <f t="shared" si="315"/>
        <v>0</v>
      </c>
      <c r="N652" s="161">
        <v>8286</v>
      </c>
      <c r="O652" s="161">
        <f t="shared" ref="O652:S652" si="316" xml:space="preserve"> O649 * O650 * O651</f>
        <v>0</v>
      </c>
      <c r="P652" s="161">
        <f t="shared" si="316"/>
        <v>0</v>
      </c>
      <c r="Q652" s="161">
        <f t="shared" si="316"/>
        <v>0</v>
      </c>
      <c r="R652" s="161">
        <f t="shared" si="316"/>
        <v>0</v>
      </c>
      <c r="S652" s="311">
        <f t="shared" si="316"/>
        <v>0</v>
      </c>
      <c r="T652" s="161">
        <f t="shared" ref="T652:U652" si="317" xml:space="preserve"> T649 * T650 * T651</f>
        <v>0</v>
      </c>
      <c r="U652" s="161">
        <f t="shared" si="317"/>
        <v>0</v>
      </c>
      <c r="W652" s="1"/>
      <c r="X652" s="1"/>
      <c r="Y652" s="1"/>
    </row>
    <row r="653" spans="1:25">
      <c r="I653" s="29"/>
      <c r="J653" s="29"/>
      <c r="K653" s="29"/>
      <c r="L653" s="29"/>
      <c r="M653" s="29"/>
      <c r="N653" s="20"/>
      <c r="O653" s="20"/>
      <c r="P653" s="20"/>
      <c r="Q653" s="20"/>
      <c r="R653" s="20"/>
      <c r="S653" s="312"/>
      <c r="T653" s="20"/>
      <c r="U653" s="20"/>
      <c r="W653" s="1"/>
      <c r="X653" s="1"/>
      <c r="Y653" s="1"/>
    </row>
    <row r="654" spans="1:25" ht="18.75">
      <c r="F654" s="9" t="s">
        <v>118</v>
      </c>
      <c r="I654" s="2">
        <f>'Facility Detail'!$I$76</f>
        <v>2011</v>
      </c>
      <c r="J654" s="2">
        <f>I654+1</f>
        <v>2012</v>
      </c>
      <c r="K654" s="2">
        <f>J654+1</f>
        <v>2013</v>
      </c>
      <c r="L654" s="2">
        <f t="shared" ref="L654:R654" si="318">K654+1</f>
        <v>2014</v>
      </c>
      <c r="M654" s="2">
        <f t="shared" si="318"/>
        <v>2015</v>
      </c>
      <c r="N654" s="2">
        <f t="shared" si="318"/>
        <v>2016</v>
      </c>
      <c r="O654" s="2">
        <f t="shared" si="318"/>
        <v>2017</v>
      </c>
      <c r="P654" s="2">
        <f t="shared" si="318"/>
        <v>2018</v>
      </c>
      <c r="Q654" s="2">
        <f t="shared" si="318"/>
        <v>2019</v>
      </c>
      <c r="R654" s="2">
        <f t="shared" si="318"/>
        <v>2020</v>
      </c>
      <c r="S654" s="304">
        <f>R654+1</f>
        <v>2021</v>
      </c>
      <c r="T654" s="2">
        <f>S654+1</f>
        <v>2022</v>
      </c>
      <c r="U654" s="2">
        <f>T654+1</f>
        <v>2023</v>
      </c>
      <c r="W654" s="1"/>
      <c r="X654" s="1"/>
      <c r="Y654" s="1"/>
    </row>
    <row r="655" spans="1:25">
      <c r="G655" s="62" t="s">
        <v>10</v>
      </c>
      <c r="H655" s="57"/>
      <c r="I655" s="38">
        <f>IF($J17="Eligible",I652*'Facility Detail'!$G$3257,0)</f>
        <v>0</v>
      </c>
      <c r="J655" s="11">
        <f>IF($J17="Eligible",J652*'Facility Detail'!$G$3257,0)</f>
        <v>0</v>
      </c>
      <c r="K655" s="11">
        <f>IF($J17="Eligible",K652*'Facility Detail'!$G$3257,0)</f>
        <v>0</v>
      </c>
      <c r="L655" s="11">
        <f>IF($J17="Eligible",L652*'Facility Detail'!$G$3257,0)</f>
        <v>0</v>
      </c>
      <c r="M655" s="11">
        <f>IF($J17="Eligible",M652*'Facility Detail'!$G$3257,0)</f>
        <v>0</v>
      </c>
      <c r="N655" s="11">
        <f>IF($J17="Eligible",N652*'Facility Detail'!$G$3257,0)</f>
        <v>0</v>
      </c>
      <c r="O655" s="11">
        <f>IF($J17="Eligible",O652*'Facility Detail'!$G$3257,0)</f>
        <v>0</v>
      </c>
      <c r="P655" s="11">
        <f>IF($J17="Eligible",P652*'Facility Detail'!$G$3257,0)</f>
        <v>0</v>
      </c>
      <c r="Q655" s="11">
        <f>IF($J17="Eligible",Q652*'Facility Detail'!$G$3257,0)</f>
        <v>0</v>
      </c>
      <c r="R655" s="11">
        <f>IF($J17="Eligible",R652*'Facility Detail'!$G$3257,0)</f>
        <v>0</v>
      </c>
      <c r="S655" s="313">
        <f>IF($J17="Eligible",S652*'Facility Detail'!$G$3257,0)</f>
        <v>0</v>
      </c>
      <c r="T655" s="11">
        <f>IF($J17="Eligible",T652*'Facility Detail'!$G$3257,0)</f>
        <v>0</v>
      </c>
      <c r="U655" s="223">
        <f>IF($J17="Eligible",U652*'Facility Detail'!$G$3257,0)</f>
        <v>0</v>
      </c>
      <c r="W655" s="1"/>
      <c r="X655" s="1"/>
      <c r="Y655" s="1"/>
    </row>
    <row r="656" spans="1:25">
      <c r="G656" s="62" t="s">
        <v>6</v>
      </c>
      <c r="H656" s="57"/>
      <c r="I656" s="39">
        <f t="shared" ref="I656:U656" si="319">IF($K18="Eligible",I652,0)</f>
        <v>0</v>
      </c>
      <c r="J656" s="193">
        <f t="shared" si="319"/>
        <v>0</v>
      </c>
      <c r="K656" s="193">
        <f t="shared" si="319"/>
        <v>0</v>
      </c>
      <c r="L656" s="193">
        <f t="shared" si="319"/>
        <v>0</v>
      </c>
      <c r="M656" s="193">
        <f t="shared" si="319"/>
        <v>0</v>
      </c>
      <c r="N656" s="193">
        <f t="shared" si="319"/>
        <v>0</v>
      </c>
      <c r="O656" s="193">
        <f t="shared" si="319"/>
        <v>0</v>
      </c>
      <c r="P656" s="193">
        <f t="shared" si="319"/>
        <v>0</v>
      </c>
      <c r="Q656" s="193">
        <f t="shared" si="319"/>
        <v>0</v>
      </c>
      <c r="R656" s="193">
        <f t="shared" si="319"/>
        <v>0</v>
      </c>
      <c r="S656" s="314">
        <f t="shared" si="319"/>
        <v>0</v>
      </c>
      <c r="T656" s="193">
        <f t="shared" si="319"/>
        <v>0</v>
      </c>
      <c r="U656" s="224">
        <f t="shared" si="319"/>
        <v>0</v>
      </c>
      <c r="W656" s="1"/>
      <c r="X656" s="1"/>
      <c r="Y656" s="1"/>
    </row>
    <row r="657" spans="6:25">
      <c r="G657" s="26" t="s">
        <v>120</v>
      </c>
      <c r="H657" s="6"/>
      <c r="I657" s="32">
        <f>SUM(I655:I656)</f>
        <v>0</v>
      </c>
      <c r="J657" s="33">
        <f>SUM(J655:J656)</f>
        <v>0</v>
      </c>
      <c r="K657" s="33">
        <f>SUM(K655:K656)</f>
        <v>0</v>
      </c>
      <c r="L657" s="33">
        <f t="shared" ref="L657:S657" si="320">SUM(L655:L656)</f>
        <v>0</v>
      </c>
      <c r="M657" s="33">
        <f t="shared" si="320"/>
        <v>0</v>
      </c>
      <c r="N657" s="33">
        <f t="shared" si="320"/>
        <v>0</v>
      </c>
      <c r="O657" s="33">
        <f t="shared" si="320"/>
        <v>0</v>
      </c>
      <c r="P657" s="33">
        <f t="shared" si="320"/>
        <v>0</v>
      </c>
      <c r="Q657" s="33">
        <f t="shared" si="320"/>
        <v>0</v>
      </c>
      <c r="R657" s="33">
        <f t="shared" si="320"/>
        <v>0</v>
      </c>
      <c r="S657" s="315">
        <f t="shared" si="320"/>
        <v>0</v>
      </c>
      <c r="T657" s="33">
        <f t="shared" ref="T657:U657" si="321">SUM(T655:T656)</f>
        <v>0</v>
      </c>
      <c r="U657" s="33">
        <f t="shared" si="321"/>
        <v>0</v>
      </c>
      <c r="W657" s="1"/>
      <c r="X657" s="1"/>
      <c r="Y657" s="1"/>
    </row>
    <row r="658" spans="6:25">
      <c r="I658" s="31"/>
      <c r="J658" s="24"/>
      <c r="K658" s="24"/>
      <c r="L658" s="24"/>
      <c r="M658" s="24"/>
      <c r="N658" s="24"/>
      <c r="O658" s="24"/>
      <c r="P658" s="24"/>
      <c r="Q658" s="24"/>
      <c r="R658" s="24"/>
      <c r="S658" s="316"/>
      <c r="T658" s="24"/>
      <c r="U658" s="24"/>
      <c r="W658" s="1"/>
      <c r="X658" s="1"/>
      <c r="Y658" s="1"/>
    </row>
    <row r="659" spans="6:25" ht="18.75">
      <c r="F659" s="9" t="s">
        <v>30</v>
      </c>
      <c r="I659" s="2">
        <f>'Facility Detail'!$I$76</f>
        <v>2011</v>
      </c>
      <c r="J659" s="2">
        <f>I659+1</f>
        <v>2012</v>
      </c>
      <c r="K659" s="2">
        <f>J659+1</f>
        <v>2013</v>
      </c>
      <c r="L659" s="2">
        <f t="shared" ref="L659:R659" si="322">K659+1</f>
        <v>2014</v>
      </c>
      <c r="M659" s="2">
        <f t="shared" si="322"/>
        <v>2015</v>
      </c>
      <c r="N659" s="2">
        <f t="shared" si="322"/>
        <v>2016</v>
      </c>
      <c r="O659" s="2">
        <f t="shared" si="322"/>
        <v>2017</v>
      </c>
      <c r="P659" s="2">
        <f t="shared" si="322"/>
        <v>2018</v>
      </c>
      <c r="Q659" s="2">
        <f t="shared" si="322"/>
        <v>2019</v>
      </c>
      <c r="R659" s="2">
        <f t="shared" si="322"/>
        <v>2020</v>
      </c>
      <c r="S659" s="304">
        <f>R659+1</f>
        <v>2021</v>
      </c>
      <c r="T659" s="2">
        <f>S659+1</f>
        <v>2022</v>
      </c>
      <c r="U659" s="2">
        <f>T659+1</f>
        <v>2023</v>
      </c>
      <c r="W659" s="1"/>
      <c r="X659" s="1"/>
      <c r="Y659" s="1"/>
    </row>
    <row r="660" spans="6:25">
      <c r="G660" s="62" t="s">
        <v>47</v>
      </c>
      <c r="H660" s="57"/>
      <c r="I660" s="71"/>
      <c r="J660" s="72"/>
      <c r="K660" s="72"/>
      <c r="L660" s="72"/>
      <c r="M660" s="72"/>
      <c r="N660" s="72"/>
      <c r="O660" s="72"/>
      <c r="P660" s="72"/>
      <c r="Q660" s="72"/>
      <c r="R660" s="72"/>
      <c r="S660" s="317"/>
      <c r="T660" s="72"/>
      <c r="U660" s="73"/>
      <c r="W660" s="1"/>
      <c r="X660" s="1"/>
      <c r="Y660" s="1"/>
    </row>
    <row r="661" spans="6:25">
      <c r="G661" s="63" t="s">
        <v>23</v>
      </c>
      <c r="H661" s="135"/>
      <c r="I661" s="74"/>
      <c r="J661" s="75"/>
      <c r="K661" s="75"/>
      <c r="L661" s="75"/>
      <c r="M661" s="75"/>
      <c r="N661" s="75"/>
      <c r="O661" s="75"/>
      <c r="P661" s="75"/>
      <c r="Q661" s="75"/>
      <c r="R661" s="75"/>
      <c r="S661" s="318"/>
      <c r="T661" s="75"/>
      <c r="U661" s="76"/>
      <c r="W661" s="1"/>
      <c r="X661" s="1"/>
      <c r="Y661" s="1"/>
    </row>
    <row r="662" spans="6:25">
      <c r="G662" s="63" t="s">
        <v>89</v>
      </c>
      <c r="H662" s="134"/>
      <c r="I662" s="43"/>
      <c r="J662" s="44"/>
      <c r="K662" s="44"/>
      <c r="L662" s="44"/>
      <c r="M662" s="44"/>
      <c r="N662" s="44"/>
      <c r="O662" s="44"/>
      <c r="P662" s="44"/>
      <c r="Q662" s="44"/>
      <c r="R662" s="44"/>
      <c r="S662" s="319"/>
      <c r="T662" s="44"/>
      <c r="U662" s="45"/>
      <c r="W662" s="1"/>
      <c r="X662" s="1"/>
      <c r="Y662" s="1"/>
    </row>
    <row r="663" spans="6:25">
      <c r="G663" s="26" t="s">
        <v>90</v>
      </c>
      <c r="I663" s="7">
        <f>SUM(I660:I662)</f>
        <v>0</v>
      </c>
      <c r="J663" s="7">
        <f>SUM(J660:J662)</f>
        <v>0</v>
      </c>
      <c r="K663" s="7">
        <f>SUM(K660:K662)</f>
        <v>0</v>
      </c>
      <c r="L663" s="7">
        <f t="shared" ref="L663:S663" si="323">SUM(L660:L662)</f>
        <v>0</v>
      </c>
      <c r="M663" s="7">
        <f t="shared" si="323"/>
        <v>0</v>
      </c>
      <c r="N663" s="7">
        <f t="shared" si="323"/>
        <v>0</v>
      </c>
      <c r="O663" s="7">
        <f t="shared" si="323"/>
        <v>0</v>
      </c>
      <c r="P663" s="7">
        <f t="shared" si="323"/>
        <v>0</v>
      </c>
      <c r="Q663" s="7">
        <f t="shared" si="323"/>
        <v>0</v>
      </c>
      <c r="R663" s="7">
        <f t="shared" si="323"/>
        <v>0</v>
      </c>
      <c r="S663" s="320">
        <f t="shared" si="323"/>
        <v>0</v>
      </c>
      <c r="T663" s="7">
        <f t="shared" ref="T663:U663" si="324">SUM(T660:T662)</f>
        <v>0</v>
      </c>
      <c r="U663" s="7">
        <f t="shared" si="324"/>
        <v>0</v>
      </c>
      <c r="W663" s="1"/>
      <c r="X663" s="1"/>
      <c r="Y663" s="1"/>
    </row>
    <row r="664" spans="6:25">
      <c r="G664" s="6"/>
      <c r="I664" s="7"/>
      <c r="J664" s="7"/>
      <c r="K664" s="7"/>
      <c r="L664" s="7"/>
      <c r="M664" s="7"/>
      <c r="N664" s="7"/>
      <c r="O664" s="7"/>
      <c r="P664" s="7"/>
      <c r="Q664" s="7"/>
      <c r="R664" s="7"/>
      <c r="S664" s="320"/>
      <c r="T664" s="7"/>
      <c r="U664" s="7"/>
      <c r="W664" s="1"/>
      <c r="X664" s="1"/>
      <c r="Y664" s="1"/>
    </row>
    <row r="665" spans="6:25" ht="18.75">
      <c r="F665" s="9" t="s">
        <v>100</v>
      </c>
      <c r="I665" s="2">
        <f>'Facility Detail'!$I$76</f>
        <v>2011</v>
      </c>
      <c r="J665" s="2">
        <f>I665+1</f>
        <v>2012</v>
      </c>
      <c r="K665" s="2">
        <f>J665+1</f>
        <v>2013</v>
      </c>
      <c r="L665" s="2">
        <f t="shared" ref="L665:R665" si="325">K665+1</f>
        <v>2014</v>
      </c>
      <c r="M665" s="2">
        <f t="shared" si="325"/>
        <v>2015</v>
      </c>
      <c r="N665" s="2">
        <f t="shared" si="325"/>
        <v>2016</v>
      </c>
      <c r="O665" s="2">
        <f t="shared" si="325"/>
        <v>2017</v>
      </c>
      <c r="P665" s="2">
        <f t="shared" si="325"/>
        <v>2018</v>
      </c>
      <c r="Q665" s="2">
        <f t="shared" si="325"/>
        <v>2019</v>
      </c>
      <c r="R665" s="2">
        <f t="shared" si="325"/>
        <v>2020</v>
      </c>
      <c r="S665" s="304">
        <f>R665+1</f>
        <v>2021</v>
      </c>
      <c r="T665" s="2">
        <f>S665+1</f>
        <v>2022</v>
      </c>
      <c r="U665" s="2">
        <f>T665+1</f>
        <v>2023</v>
      </c>
      <c r="W665" s="1"/>
      <c r="X665" s="1"/>
      <c r="Y665" s="1"/>
    </row>
    <row r="666" spans="6:25">
      <c r="G666" s="62" t="s">
        <v>68</v>
      </c>
      <c r="H666" s="57"/>
      <c r="I666" s="3"/>
      <c r="J666" s="46">
        <f>I666</f>
        <v>0</v>
      </c>
      <c r="K666" s="106"/>
      <c r="L666" s="106"/>
      <c r="M666" s="106"/>
      <c r="N666" s="106"/>
      <c r="O666" s="106"/>
      <c r="P666" s="106"/>
      <c r="Q666" s="106"/>
      <c r="R666" s="106"/>
      <c r="S666" s="322"/>
      <c r="T666" s="106"/>
      <c r="U666" s="47"/>
      <c r="W666" s="1"/>
      <c r="X666" s="1"/>
      <c r="Y666" s="1"/>
    </row>
    <row r="667" spans="6:25">
      <c r="G667" s="62" t="s">
        <v>69</v>
      </c>
      <c r="H667" s="57"/>
      <c r="I667" s="127">
        <f>J667</f>
        <v>0</v>
      </c>
      <c r="J667" s="10"/>
      <c r="K667" s="60"/>
      <c r="L667" s="60"/>
      <c r="M667" s="60"/>
      <c r="N667" s="60"/>
      <c r="O667" s="60"/>
      <c r="P667" s="60"/>
      <c r="Q667" s="60"/>
      <c r="R667" s="60"/>
      <c r="S667" s="330"/>
      <c r="T667" s="60"/>
      <c r="U667" s="128"/>
      <c r="W667" s="1"/>
      <c r="X667" s="1"/>
      <c r="Y667" s="1"/>
    </row>
    <row r="668" spans="6:25">
      <c r="G668" s="62" t="s">
        <v>70</v>
      </c>
      <c r="H668" s="57"/>
      <c r="I668" s="48"/>
      <c r="J668" s="10">
        <f>J652</f>
        <v>0</v>
      </c>
      <c r="K668" s="56">
        <f>J668</f>
        <v>0</v>
      </c>
      <c r="L668" s="60"/>
      <c r="M668" s="60"/>
      <c r="N668" s="60"/>
      <c r="O668" s="60"/>
      <c r="P668" s="60"/>
      <c r="Q668" s="60"/>
      <c r="R668" s="60"/>
      <c r="S668" s="330"/>
      <c r="T668" s="60"/>
      <c r="U668" s="128"/>
      <c r="W668" s="1"/>
      <c r="X668" s="1"/>
      <c r="Y668" s="1"/>
    </row>
    <row r="669" spans="6:25">
      <c r="G669" s="62" t="s">
        <v>71</v>
      </c>
      <c r="H669" s="57"/>
      <c r="I669" s="48"/>
      <c r="J669" s="56">
        <f>K669</f>
        <v>0</v>
      </c>
      <c r="K669" s="126"/>
      <c r="L669" s="60"/>
      <c r="M669" s="60"/>
      <c r="N669" s="60"/>
      <c r="O669" s="60"/>
      <c r="P669" s="60"/>
      <c r="Q669" s="60"/>
      <c r="R669" s="60"/>
      <c r="S669" s="330"/>
      <c r="T669" s="60"/>
      <c r="U669" s="128"/>
      <c r="W669" s="1"/>
      <c r="X669" s="1"/>
      <c r="Y669" s="1"/>
    </row>
    <row r="670" spans="6:25">
      <c r="G670" s="62" t="s">
        <v>170</v>
      </c>
      <c r="I670" s="48"/>
      <c r="J670" s="118"/>
      <c r="K670" s="10">
        <f>K652</f>
        <v>0</v>
      </c>
      <c r="L670" s="119">
        <f>K670</f>
        <v>0</v>
      </c>
      <c r="M670" s="60"/>
      <c r="N670" s="60"/>
      <c r="O670" s="60"/>
      <c r="P670" s="60"/>
      <c r="Q670" s="60"/>
      <c r="R670" s="60"/>
      <c r="S670" s="330"/>
      <c r="T670" s="60"/>
      <c r="U670" s="128"/>
      <c r="W670" s="1"/>
      <c r="X670" s="1"/>
      <c r="Y670" s="1"/>
    </row>
    <row r="671" spans="6:25">
      <c r="G671" s="62" t="s">
        <v>171</v>
      </c>
      <c r="I671" s="48"/>
      <c r="J671" s="118"/>
      <c r="K671" s="56">
        <f>L671</f>
        <v>0</v>
      </c>
      <c r="L671" s="10"/>
      <c r="M671" s="60"/>
      <c r="N671" s="60"/>
      <c r="O671" s="60"/>
      <c r="P671" s="60"/>
      <c r="Q671" s="60"/>
      <c r="R671" s="60"/>
      <c r="S671" s="330"/>
      <c r="T671" s="60"/>
      <c r="U671" s="128"/>
      <c r="W671" s="1"/>
      <c r="X671" s="1"/>
      <c r="Y671" s="1"/>
    </row>
    <row r="672" spans="6:25">
      <c r="G672" s="62" t="s">
        <v>172</v>
      </c>
      <c r="I672" s="48"/>
      <c r="J672" s="118"/>
      <c r="K672" s="118"/>
      <c r="L672" s="10">
        <f>L652</f>
        <v>0</v>
      </c>
      <c r="M672" s="119">
        <f>L672</f>
        <v>0</v>
      </c>
      <c r="N672" s="118"/>
      <c r="O672" s="118"/>
      <c r="P672" s="118"/>
      <c r="Q672" s="118"/>
      <c r="R672" s="118"/>
      <c r="S672" s="324"/>
      <c r="T672" s="118"/>
      <c r="U672" s="122"/>
      <c r="W672" s="1"/>
      <c r="X672" s="1"/>
      <c r="Y672" s="1"/>
    </row>
    <row r="673" spans="2:25">
      <c r="G673" s="62" t="s">
        <v>173</v>
      </c>
      <c r="I673" s="48"/>
      <c r="J673" s="118"/>
      <c r="K673" s="118"/>
      <c r="L673" s="120"/>
      <c r="M673" s="121"/>
      <c r="N673" s="118"/>
      <c r="O673" s="118"/>
      <c r="P673" s="118"/>
      <c r="Q673" s="118"/>
      <c r="R673" s="118"/>
      <c r="S673" s="324"/>
      <c r="T673" s="118"/>
      <c r="U673" s="122"/>
      <c r="W673" s="1"/>
      <c r="X673" s="1"/>
      <c r="Y673" s="1"/>
    </row>
    <row r="674" spans="2:25">
      <c r="G674" s="62" t="s">
        <v>174</v>
      </c>
      <c r="I674" s="48"/>
      <c r="J674" s="118"/>
      <c r="K674" s="118"/>
      <c r="L674" s="118"/>
      <c r="M674" s="121">
        <v>0</v>
      </c>
      <c r="N674" s="119">
        <f>M674</f>
        <v>0</v>
      </c>
      <c r="O674" s="60"/>
      <c r="P674" s="60"/>
      <c r="Q674" s="60"/>
      <c r="R674" s="60"/>
      <c r="S674" s="330"/>
      <c r="T674" s="60"/>
      <c r="U674" s="128"/>
      <c r="W674" s="1"/>
      <c r="X674" s="1"/>
      <c r="Y674" s="1"/>
    </row>
    <row r="675" spans="2:25">
      <c r="G675" s="62" t="s">
        <v>175</v>
      </c>
      <c r="I675" s="48"/>
      <c r="J675" s="118"/>
      <c r="K675" s="118"/>
      <c r="L675" s="118"/>
      <c r="M675" s="56"/>
      <c r="N675" s="121"/>
      <c r="O675" s="60"/>
      <c r="P675" s="60"/>
      <c r="Q675" s="60"/>
      <c r="R675" s="60"/>
      <c r="S675" s="330"/>
      <c r="T675" s="60"/>
      <c r="U675" s="128"/>
      <c r="W675" s="1"/>
      <c r="X675" s="1"/>
      <c r="Y675" s="1"/>
    </row>
    <row r="676" spans="2:25">
      <c r="G676" s="62" t="s">
        <v>176</v>
      </c>
      <c r="I676" s="48"/>
      <c r="J676" s="118"/>
      <c r="K676" s="118"/>
      <c r="L676" s="118"/>
      <c r="M676" s="118"/>
      <c r="N676" s="121">
        <f>N652</f>
        <v>8286</v>
      </c>
      <c r="O676" s="119">
        <f>N676</f>
        <v>8286</v>
      </c>
      <c r="P676" s="60"/>
      <c r="Q676" s="60"/>
      <c r="R676" s="60"/>
      <c r="S676" s="330"/>
      <c r="T676" s="60"/>
      <c r="U676" s="128"/>
      <c r="W676" s="1"/>
      <c r="X676" s="1"/>
      <c r="Y676" s="1"/>
    </row>
    <row r="677" spans="2:25">
      <c r="G677" s="62" t="s">
        <v>167</v>
      </c>
      <c r="I677" s="48"/>
      <c r="J677" s="118"/>
      <c r="K677" s="118"/>
      <c r="L677" s="118"/>
      <c r="M677" s="118"/>
      <c r="N677" s="151"/>
      <c r="O677" s="121"/>
      <c r="P677" s="60"/>
      <c r="Q677" s="60"/>
      <c r="R677" s="60"/>
      <c r="S677" s="330"/>
      <c r="T677" s="60"/>
      <c r="U677" s="128"/>
      <c r="W677" s="1"/>
      <c r="X677" s="1"/>
      <c r="Y677" s="1"/>
    </row>
    <row r="678" spans="2:25">
      <c r="G678" s="62" t="s">
        <v>168</v>
      </c>
      <c r="I678" s="49"/>
      <c r="J678" s="108"/>
      <c r="K678" s="108"/>
      <c r="L678" s="108"/>
      <c r="M678" s="108"/>
      <c r="N678" s="108"/>
      <c r="O678" s="123"/>
      <c r="P678" s="193"/>
      <c r="Q678" s="108"/>
      <c r="R678" s="108"/>
      <c r="S678" s="325"/>
      <c r="T678" s="108"/>
      <c r="U678" s="459"/>
      <c r="W678" s="1"/>
      <c r="X678" s="1"/>
      <c r="Y678" s="1"/>
    </row>
    <row r="679" spans="2:25">
      <c r="B679" s="1" t="s">
        <v>288</v>
      </c>
      <c r="G679" s="26" t="s">
        <v>17</v>
      </c>
      <c r="I679" s="138">
        <f xml:space="preserve"> I672 - I671</f>
        <v>0</v>
      </c>
      <c r="J679" s="138">
        <f xml:space="preserve"> J671 + J674 - J673 - J672</f>
        <v>0</v>
      </c>
      <c r="K679" s="138">
        <f>K673 - K674</f>
        <v>0</v>
      </c>
      <c r="L679" s="138">
        <f t="shared" ref="L679" si="326">L673 - L674</f>
        <v>0</v>
      </c>
      <c r="M679" s="23">
        <f>M672-M673-M674</f>
        <v>0</v>
      </c>
      <c r="N679" s="23">
        <f>N674-N675-N676</f>
        <v>-8286</v>
      </c>
      <c r="O679" s="23">
        <f>O676-O677-O678</f>
        <v>8286</v>
      </c>
      <c r="P679" s="23">
        <f>P678</f>
        <v>0</v>
      </c>
      <c r="Q679" s="23">
        <f t="shared" ref="Q679:S679" si="327">Q678</f>
        <v>0</v>
      </c>
      <c r="R679" s="23">
        <f t="shared" si="327"/>
        <v>0</v>
      </c>
      <c r="S679" s="321">
        <f t="shared" si="327"/>
        <v>0</v>
      </c>
      <c r="T679" s="23">
        <f t="shared" ref="T679:U679" si="328">T678</f>
        <v>0</v>
      </c>
      <c r="U679" s="23">
        <f t="shared" si="328"/>
        <v>0</v>
      </c>
      <c r="W679" s="1"/>
      <c r="X679" s="1"/>
      <c r="Y679" s="1"/>
    </row>
    <row r="680" spans="2:25">
      <c r="G680" s="6"/>
      <c r="I680" s="7"/>
      <c r="J680" s="7"/>
      <c r="K680" s="7"/>
      <c r="L680" s="7"/>
      <c r="M680" s="7"/>
      <c r="N680" s="7"/>
      <c r="O680" s="7"/>
      <c r="P680" s="7"/>
      <c r="Q680" s="7"/>
      <c r="R680" s="7"/>
      <c r="S680" s="320"/>
      <c r="T680" s="7"/>
      <c r="U680" s="7"/>
      <c r="W680" s="1"/>
      <c r="X680" s="1"/>
      <c r="Y680" s="1"/>
    </row>
    <row r="681" spans="2:25">
      <c r="G681" s="26" t="s">
        <v>12</v>
      </c>
      <c r="H681" s="57"/>
      <c r="I681" s="155"/>
      <c r="J681" s="156"/>
      <c r="K681" s="156"/>
      <c r="L681" s="156"/>
      <c r="M681" s="156"/>
      <c r="N681" s="156"/>
      <c r="O681" s="156"/>
      <c r="P681" s="156"/>
      <c r="Q681" s="156"/>
      <c r="R681" s="156"/>
      <c r="S681" s="326"/>
      <c r="T681" s="156"/>
      <c r="U681" s="267"/>
      <c r="W681" s="1"/>
      <c r="X681" s="1"/>
      <c r="Y681" s="1"/>
    </row>
    <row r="682" spans="2:25">
      <c r="G682" s="6"/>
      <c r="I682" s="154"/>
      <c r="J682" s="154"/>
      <c r="K682" s="154"/>
      <c r="L682" s="154"/>
      <c r="M682" s="154"/>
      <c r="N682" s="154"/>
      <c r="O682" s="154"/>
      <c r="P682" s="154"/>
      <c r="Q682" s="154"/>
      <c r="R682" s="154"/>
      <c r="S682" s="327"/>
      <c r="T682" s="154"/>
      <c r="U682" s="154"/>
      <c r="W682" s="1"/>
      <c r="X682" s="1"/>
      <c r="Y682" s="1"/>
    </row>
    <row r="683" spans="2:25" ht="18.75">
      <c r="C683" s="1" t="s">
        <v>288</v>
      </c>
      <c r="D683" s="1" t="s">
        <v>289</v>
      </c>
      <c r="E683" s="1" t="s">
        <v>107</v>
      </c>
      <c r="F683" s="9" t="s">
        <v>26</v>
      </c>
      <c r="H683" s="57"/>
      <c r="I683" s="157">
        <f xml:space="preserve"> I652 + I657 - I663 + I679 + I681</f>
        <v>0</v>
      </c>
      <c r="J683" s="158">
        <f xml:space="preserve"> J652 + J657 - J663 + J679 + J681</f>
        <v>0</v>
      </c>
      <c r="K683" s="158">
        <f xml:space="preserve"> K652 + K657 - K663 + K679 + K681</f>
        <v>0</v>
      </c>
      <c r="L683" s="158">
        <f t="shared" ref="L683:S683" si="329" xml:space="preserve"> L652 + L657 - L663 + L679 + L681</f>
        <v>0</v>
      </c>
      <c r="M683" s="158">
        <f t="shared" si="329"/>
        <v>0</v>
      </c>
      <c r="N683" s="158">
        <f t="shared" si="329"/>
        <v>0</v>
      </c>
      <c r="O683" s="158">
        <f t="shared" si="329"/>
        <v>8286</v>
      </c>
      <c r="P683" s="158">
        <f t="shared" si="329"/>
        <v>0</v>
      </c>
      <c r="Q683" s="158">
        <f t="shared" si="329"/>
        <v>0</v>
      </c>
      <c r="R683" s="158">
        <f t="shared" si="329"/>
        <v>0</v>
      </c>
      <c r="S683" s="328">
        <f t="shared" si="329"/>
        <v>0</v>
      </c>
      <c r="T683" s="158">
        <f t="shared" ref="T683:U683" si="330" xml:space="preserve"> T652 + T657 - T663 + T679 + T681</f>
        <v>0</v>
      </c>
      <c r="U683" s="268">
        <f t="shared" si="330"/>
        <v>0</v>
      </c>
      <c r="W683" s="1"/>
      <c r="X683" s="1"/>
      <c r="Y683" s="1"/>
    </row>
    <row r="684" spans="2:25">
      <c r="G684" s="6"/>
      <c r="I684" s="7"/>
      <c r="J684" s="7"/>
      <c r="K684" s="7"/>
      <c r="L684" s="23"/>
      <c r="M684" s="23"/>
      <c r="N684" s="23"/>
      <c r="O684" s="23"/>
      <c r="P684" s="23"/>
      <c r="Q684" s="23"/>
      <c r="R684" s="23"/>
      <c r="S684" s="282"/>
      <c r="T684" s="23"/>
      <c r="U684" s="23"/>
      <c r="W684" s="1"/>
      <c r="X684" s="1"/>
      <c r="Y684" s="1"/>
    </row>
    <row r="685" spans="2:25" ht="15.75" thickBot="1">
      <c r="W685" s="1"/>
      <c r="X685" s="1"/>
      <c r="Y685" s="1"/>
    </row>
    <row r="686" spans="2:25">
      <c r="F686" s="8"/>
      <c r="G686" s="8"/>
      <c r="H686" s="8"/>
      <c r="I686" s="8"/>
      <c r="J686" s="8"/>
      <c r="K686" s="8"/>
      <c r="L686" s="8"/>
      <c r="M686" s="8"/>
      <c r="N686" s="8"/>
      <c r="O686" s="8"/>
      <c r="P686" s="8"/>
      <c r="Q686" s="8"/>
      <c r="R686" s="8"/>
      <c r="S686" s="290"/>
      <c r="T686" s="8"/>
      <c r="U686" s="8"/>
      <c r="W686" s="1"/>
      <c r="X686" s="1"/>
      <c r="Y686" s="1"/>
    </row>
    <row r="687" spans="2:25" ht="15.75" thickBot="1">
      <c r="W687" s="1"/>
      <c r="X687" s="1"/>
      <c r="Y687" s="1"/>
    </row>
    <row r="688" spans="2:25" ht="21.75" thickBot="1">
      <c r="F688" s="13" t="s">
        <v>4</v>
      </c>
      <c r="G688" s="13"/>
      <c r="H688" s="185" t="str">
        <f>G18</f>
        <v>Condon Wind Power Project - Condon Phase II - REC Only</v>
      </c>
      <c r="I688" s="186"/>
      <c r="J688" s="197"/>
      <c r="K688" s="174"/>
      <c r="W688" s="1"/>
      <c r="X688" s="1"/>
      <c r="Y688" s="1"/>
    </row>
    <row r="689" spans="1:25">
      <c r="W689" s="1"/>
      <c r="X689" s="1"/>
      <c r="Y689" s="1"/>
    </row>
    <row r="690" spans="1:25" ht="18.75">
      <c r="F690" s="9" t="s">
        <v>21</v>
      </c>
      <c r="G690" s="9"/>
      <c r="I690" s="2">
        <f>'Facility Detail'!$I$76</f>
        <v>2011</v>
      </c>
      <c r="J690" s="2">
        <f>I690+1</f>
        <v>2012</v>
      </c>
      <c r="K690" s="2">
        <f>J690+1</f>
        <v>2013</v>
      </c>
      <c r="L690" s="2">
        <f t="shared" ref="L690:R690" si="331">K690+1</f>
        <v>2014</v>
      </c>
      <c r="M690" s="2">
        <f t="shared" si="331"/>
        <v>2015</v>
      </c>
      <c r="N690" s="2">
        <f t="shared" si="331"/>
        <v>2016</v>
      </c>
      <c r="O690" s="2">
        <f t="shared" si="331"/>
        <v>2017</v>
      </c>
      <c r="P690" s="2">
        <f t="shared" si="331"/>
        <v>2018</v>
      </c>
      <c r="Q690" s="2">
        <f t="shared" si="331"/>
        <v>2019</v>
      </c>
      <c r="R690" s="2">
        <f t="shared" si="331"/>
        <v>2020</v>
      </c>
      <c r="S690" s="304">
        <f>R690+1</f>
        <v>2021</v>
      </c>
      <c r="T690" s="2">
        <f>S690+1</f>
        <v>2022</v>
      </c>
      <c r="U690" s="2">
        <f>T690+1</f>
        <v>2023</v>
      </c>
      <c r="W690" s="1"/>
      <c r="X690" s="1"/>
      <c r="Y690" s="1"/>
    </row>
    <row r="691" spans="1:25">
      <c r="G691" s="62" t="str">
        <f>"Total MWh Produced / Purchased from " &amp; H688</f>
        <v>Total MWh Produced / Purchased from Condon Wind Power Project - Condon Phase II - REC Only</v>
      </c>
      <c r="H691" s="57"/>
      <c r="I691" s="3"/>
      <c r="J691" s="4"/>
      <c r="K691" s="4"/>
      <c r="L691" s="4"/>
      <c r="M691" s="4"/>
      <c r="N691" s="4">
        <v>7725</v>
      </c>
      <c r="O691" s="4"/>
      <c r="P691" s="4"/>
      <c r="Q691" s="4"/>
      <c r="R691" s="4"/>
      <c r="S691" s="308"/>
      <c r="T691" s="4"/>
      <c r="U691" s="5"/>
      <c r="W691" s="1"/>
      <c r="X691" s="1"/>
      <c r="Y691" s="1"/>
    </row>
    <row r="692" spans="1:25">
      <c r="G692" s="62" t="s">
        <v>25</v>
      </c>
      <c r="H692" s="57"/>
      <c r="I692" s="269"/>
      <c r="J692" s="41"/>
      <c r="K692" s="41"/>
      <c r="L692" s="41"/>
      <c r="M692" s="41"/>
      <c r="N692" s="41">
        <v>1</v>
      </c>
      <c r="O692" s="41">
        <v>1</v>
      </c>
      <c r="P692" s="41"/>
      <c r="Q692" s="41"/>
      <c r="R692" s="41"/>
      <c r="S692" s="309"/>
      <c r="T692" s="41"/>
      <c r="U692" s="42"/>
      <c r="W692" s="1"/>
      <c r="X692" s="1"/>
      <c r="Y692" s="1"/>
    </row>
    <row r="693" spans="1:25">
      <c r="G693" s="62" t="s">
        <v>20</v>
      </c>
      <c r="H693" s="57"/>
      <c r="I693" s="270"/>
      <c r="J693" s="36"/>
      <c r="K693" s="36"/>
      <c r="L693" s="36"/>
      <c r="M693" s="36"/>
      <c r="N693" s="36">
        <v>1</v>
      </c>
      <c r="O693" s="36"/>
      <c r="P693" s="36"/>
      <c r="Q693" s="36"/>
      <c r="R693" s="36"/>
      <c r="S693" s="310"/>
      <c r="T693" s="36"/>
      <c r="U693" s="37"/>
      <c r="W693" s="1"/>
      <c r="X693" s="1"/>
      <c r="Y693" s="1"/>
    </row>
    <row r="694" spans="1:25">
      <c r="A694" s="1" t="s">
        <v>290</v>
      </c>
      <c r="G694" s="26" t="s">
        <v>22</v>
      </c>
      <c r="H694" s="6"/>
      <c r="I694" s="30">
        <f xml:space="preserve"> I691 * I692 * I693</f>
        <v>0</v>
      </c>
      <c r="J694" s="30">
        <f xml:space="preserve"> J691 * J692 * J693</f>
        <v>0</v>
      </c>
      <c r="K694" s="30">
        <f xml:space="preserve"> K691 * K692 * K693</f>
        <v>0</v>
      </c>
      <c r="L694" s="30">
        <f t="shared" ref="L694:M694" si="332" xml:space="preserve"> L691 * L692 * L693</f>
        <v>0</v>
      </c>
      <c r="M694" s="30">
        <f t="shared" si="332"/>
        <v>0</v>
      </c>
      <c r="N694" s="161">
        <v>7725</v>
      </c>
      <c r="O694" s="161">
        <f t="shared" ref="O694:S694" si="333" xml:space="preserve"> O691 * O692 * O693</f>
        <v>0</v>
      </c>
      <c r="P694" s="161">
        <f t="shared" si="333"/>
        <v>0</v>
      </c>
      <c r="Q694" s="161">
        <f t="shared" si="333"/>
        <v>0</v>
      </c>
      <c r="R694" s="161">
        <f t="shared" si="333"/>
        <v>0</v>
      </c>
      <c r="S694" s="311">
        <f t="shared" si="333"/>
        <v>0</v>
      </c>
      <c r="T694" s="161">
        <f t="shared" ref="T694:U694" si="334" xml:space="preserve"> T691 * T692 * T693</f>
        <v>0</v>
      </c>
      <c r="U694" s="161">
        <f t="shared" si="334"/>
        <v>0</v>
      </c>
      <c r="W694" s="1"/>
      <c r="X694" s="1"/>
      <c r="Y694" s="1"/>
    </row>
    <row r="695" spans="1:25">
      <c r="I695" s="29"/>
      <c r="J695" s="29"/>
      <c r="K695" s="29"/>
      <c r="L695" s="29"/>
      <c r="M695" s="29"/>
      <c r="N695" s="20"/>
      <c r="O695" s="20"/>
      <c r="P695" s="20"/>
      <c r="Q695" s="20"/>
      <c r="R695" s="20"/>
      <c r="S695" s="312"/>
      <c r="T695" s="20"/>
      <c r="U695" s="20"/>
      <c r="W695" s="1"/>
      <c r="X695" s="1"/>
      <c r="Y695" s="1"/>
    </row>
    <row r="696" spans="1:25" ht="18.75">
      <c r="F696" s="9" t="s">
        <v>118</v>
      </c>
      <c r="I696" s="2">
        <f>'Facility Detail'!$I$76</f>
        <v>2011</v>
      </c>
      <c r="J696" s="2">
        <f>I696+1</f>
        <v>2012</v>
      </c>
      <c r="K696" s="2">
        <f>J696+1</f>
        <v>2013</v>
      </c>
      <c r="L696" s="2">
        <f t="shared" ref="L696:R696" si="335">K696+1</f>
        <v>2014</v>
      </c>
      <c r="M696" s="2">
        <f t="shared" si="335"/>
        <v>2015</v>
      </c>
      <c r="N696" s="2">
        <f t="shared" si="335"/>
        <v>2016</v>
      </c>
      <c r="O696" s="2">
        <f t="shared" si="335"/>
        <v>2017</v>
      </c>
      <c r="P696" s="2">
        <f t="shared" si="335"/>
        <v>2018</v>
      </c>
      <c r="Q696" s="2">
        <f t="shared" si="335"/>
        <v>2019</v>
      </c>
      <c r="R696" s="2">
        <f t="shared" si="335"/>
        <v>2020</v>
      </c>
      <c r="S696" s="304">
        <f>R696+1</f>
        <v>2021</v>
      </c>
      <c r="T696" s="2">
        <f>S696+1</f>
        <v>2022</v>
      </c>
      <c r="U696" s="2">
        <f>T696+1</f>
        <v>2023</v>
      </c>
      <c r="W696" s="1"/>
      <c r="X696" s="1"/>
      <c r="Y696" s="1"/>
    </row>
    <row r="697" spans="1:25">
      <c r="G697" s="62" t="s">
        <v>10</v>
      </c>
      <c r="H697" s="57"/>
      <c r="I697" s="38">
        <f>IF($J18="Eligible",I694*'Facility Detail'!$G$3257,0)</f>
        <v>0</v>
      </c>
      <c r="J697" s="11">
        <f>IF($J18="Eligible",J694*'Facility Detail'!$G$3257,0)</f>
        <v>0</v>
      </c>
      <c r="K697" s="11">
        <f>IF($J18="Eligible",K694*'Facility Detail'!$G$3257,0)</f>
        <v>0</v>
      </c>
      <c r="L697" s="11">
        <f>IF($J18="Eligible",L694*'Facility Detail'!$G$3257,0)</f>
        <v>0</v>
      </c>
      <c r="M697" s="11">
        <f>IF($J18="Eligible",M694*'Facility Detail'!$G$3257,0)</f>
        <v>0</v>
      </c>
      <c r="N697" s="11">
        <f>IF($J18="Eligible",N694*'Facility Detail'!$G$3257,0)</f>
        <v>0</v>
      </c>
      <c r="O697" s="11">
        <f>IF($J18="Eligible",O694*'Facility Detail'!$G$3257,0)</f>
        <v>0</v>
      </c>
      <c r="P697" s="11">
        <f>IF($J18="Eligible",P694*'Facility Detail'!$G$3257,0)</f>
        <v>0</v>
      </c>
      <c r="Q697" s="11">
        <f>IF($J18="Eligible",Q694*'Facility Detail'!$G$3257,0)</f>
        <v>0</v>
      </c>
      <c r="R697" s="11">
        <f>IF($J18="Eligible",R694*'Facility Detail'!$G$3257,0)</f>
        <v>0</v>
      </c>
      <c r="S697" s="313">
        <f>IF($J18="Eligible",S694*'Facility Detail'!$G$3257,0)</f>
        <v>0</v>
      </c>
      <c r="T697" s="11">
        <f>IF($J18="Eligible",T694*'Facility Detail'!$G$3257,0)</f>
        <v>0</v>
      </c>
      <c r="U697" s="223">
        <f>IF($J18="Eligible",U694*'Facility Detail'!$G$3257,0)</f>
        <v>0</v>
      </c>
      <c r="W697" s="1"/>
      <c r="X697" s="1"/>
      <c r="Y697" s="1"/>
    </row>
    <row r="698" spans="1:25">
      <c r="G698" s="62" t="s">
        <v>6</v>
      </c>
      <c r="H698" s="57"/>
      <c r="I698" s="39">
        <f t="shared" ref="I698:U698" si="336">IF($K18="Eligible",I694,0)</f>
        <v>0</v>
      </c>
      <c r="J698" s="193">
        <f t="shared" si="336"/>
        <v>0</v>
      </c>
      <c r="K698" s="193">
        <f t="shared" si="336"/>
        <v>0</v>
      </c>
      <c r="L698" s="193">
        <f t="shared" si="336"/>
        <v>0</v>
      </c>
      <c r="M698" s="193">
        <f t="shared" si="336"/>
        <v>0</v>
      </c>
      <c r="N698" s="193">
        <f t="shared" si="336"/>
        <v>0</v>
      </c>
      <c r="O698" s="193">
        <f t="shared" si="336"/>
        <v>0</v>
      </c>
      <c r="P698" s="193">
        <f t="shared" si="336"/>
        <v>0</v>
      </c>
      <c r="Q698" s="193">
        <f t="shared" si="336"/>
        <v>0</v>
      </c>
      <c r="R698" s="193">
        <f t="shared" si="336"/>
        <v>0</v>
      </c>
      <c r="S698" s="314">
        <f t="shared" si="336"/>
        <v>0</v>
      </c>
      <c r="T698" s="193">
        <f t="shared" si="336"/>
        <v>0</v>
      </c>
      <c r="U698" s="224">
        <f t="shared" si="336"/>
        <v>0</v>
      </c>
      <c r="W698" s="1"/>
      <c r="X698" s="1"/>
      <c r="Y698" s="1"/>
    </row>
    <row r="699" spans="1:25">
      <c r="G699" s="26" t="s">
        <v>120</v>
      </c>
      <c r="H699" s="6"/>
      <c r="I699" s="32">
        <f>SUM(I697:I698)</f>
        <v>0</v>
      </c>
      <c r="J699" s="33">
        <f>SUM(J697:J698)</f>
        <v>0</v>
      </c>
      <c r="K699" s="33">
        <f>SUM(K697:K698)</f>
        <v>0</v>
      </c>
      <c r="L699" s="33">
        <f t="shared" ref="L699:S699" si="337">SUM(L697:L698)</f>
        <v>0</v>
      </c>
      <c r="M699" s="33">
        <f t="shared" si="337"/>
        <v>0</v>
      </c>
      <c r="N699" s="33">
        <f t="shared" si="337"/>
        <v>0</v>
      </c>
      <c r="O699" s="33">
        <f t="shared" si="337"/>
        <v>0</v>
      </c>
      <c r="P699" s="33">
        <f t="shared" si="337"/>
        <v>0</v>
      </c>
      <c r="Q699" s="33">
        <f t="shared" si="337"/>
        <v>0</v>
      </c>
      <c r="R699" s="33">
        <f t="shared" si="337"/>
        <v>0</v>
      </c>
      <c r="S699" s="315">
        <f t="shared" si="337"/>
        <v>0</v>
      </c>
      <c r="T699" s="33">
        <f t="shared" ref="T699:U699" si="338">SUM(T697:T698)</f>
        <v>0</v>
      </c>
      <c r="U699" s="33">
        <f t="shared" si="338"/>
        <v>0</v>
      </c>
      <c r="W699" s="1"/>
      <c r="X699" s="1"/>
      <c r="Y699" s="1"/>
    </row>
    <row r="700" spans="1:25">
      <c r="I700" s="31"/>
      <c r="J700" s="24"/>
      <c r="K700" s="24"/>
      <c r="L700" s="24"/>
      <c r="M700" s="24"/>
      <c r="N700" s="24"/>
      <c r="O700" s="24"/>
      <c r="P700" s="24"/>
      <c r="Q700" s="24"/>
      <c r="R700" s="24"/>
      <c r="S700" s="316"/>
      <c r="T700" s="24"/>
      <c r="U700" s="24"/>
      <c r="W700" s="1"/>
      <c r="X700" s="1"/>
      <c r="Y700" s="1"/>
    </row>
    <row r="701" spans="1:25" ht="18.75">
      <c r="F701" s="9" t="s">
        <v>30</v>
      </c>
      <c r="I701" s="2">
        <f>'Facility Detail'!$I$76</f>
        <v>2011</v>
      </c>
      <c r="J701" s="2">
        <f>I701+1</f>
        <v>2012</v>
      </c>
      <c r="K701" s="2">
        <f>J701+1</f>
        <v>2013</v>
      </c>
      <c r="L701" s="2">
        <f t="shared" ref="L701:R701" si="339">K701+1</f>
        <v>2014</v>
      </c>
      <c r="M701" s="2">
        <f t="shared" si="339"/>
        <v>2015</v>
      </c>
      <c r="N701" s="2">
        <f t="shared" si="339"/>
        <v>2016</v>
      </c>
      <c r="O701" s="2">
        <f t="shared" si="339"/>
        <v>2017</v>
      </c>
      <c r="P701" s="2">
        <f t="shared" si="339"/>
        <v>2018</v>
      </c>
      <c r="Q701" s="2">
        <f t="shared" si="339"/>
        <v>2019</v>
      </c>
      <c r="R701" s="2">
        <f t="shared" si="339"/>
        <v>2020</v>
      </c>
      <c r="S701" s="304">
        <f>R701+1</f>
        <v>2021</v>
      </c>
      <c r="T701" s="2">
        <f>S701+1</f>
        <v>2022</v>
      </c>
      <c r="U701" s="2">
        <f>T701+1</f>
        <v>2023</v>
      </c>
      <c r="W701" s="1"/>
      <c r="X701" s="1"/>
      <c r="Y701" s="1"/>
    </row>
    <row r="702" spans="1:25">
      <c r="G702" s="62" t="s">
        <v>47</v>
      </c>
      <c r="H702" s="57"/>
      <c r="I702" s="71"/>
      <c r="J702" s="72"/>
      <c r="K702" s="72"/>
      <c r="L702" s="72"/>
      <c r="M702" s="72"/>
      <c r="N702" s="72"/>
      <c r="O702" s="72"/>
      <c r="P702" s="72"/>
      <c r="Q702" s="72"/>
      <c r="R702" s="72"/>
      <c r="S702" s="317"/>
      <c r="T702" s="72"/>
      <c r="U702" s="73"/>
      <c r="W702" s="1"/>
      <c r="X702" s="1"/>
      <c r="Y702" s="1"/>
    </row>
    <row r="703" spans="1:25">
      <c r="G703" s="63" t="s">
        <v>23</v>
      </c>
      <c r="H703" s="135"/>
      <c r="I703" s="74"/>
      <c r="J703" s="75"/>
      <c r="K703" s="75"/>
      <c r="L703" s="75"/>
      <c r="M703" s="75"/>
      <c r="N703" s="75"/>
      <c r="O703" s="75"/>
      <c r="P703" s="75"/>
      <c r="Q703" s="75"/>
      <c r="R703" s="75"/>
      <c r="S703" s="318"/>
      <c r="T703" s="75"/>
      <c r="U703" s="76"/>
      <c r="W703" s="1"/>
      <c r="X703" s="1"/>
      <c r="Y703" s="1"/>
    </row>
    <row r="704" spans="1:25">
      <c r="G704" s="63" t="s">
        <v>89</v>
      </c>
      <c r="H704" s="134"/>
      <c r="I704" s="43"/>
      <c r="J704" s="44"/>
      <c r="K704" s="44"/>
      <c r="L704" s="44"/>
      <c r="M704" s="44"/>
      <c r="N704" s="44"/>
      <c r="O704" s="44"/>
      <c r="P704" s="44"/>
      <c r="Q704" s="44"/>
      <c r="R704" s="44"/>
      <c r="S704" s="319"/>
      <c r="T704" s="44"/>
      <c r="U704" s="45"/>
      <c r="W704" s="1"/>
      <c r="X704" s="1"/>
      <c r="Y704" s="1"/>
    </row>
    <row r="705" spans="6:25">
      <c r="G705" s="26" t="s">
        <v>90</v>
      </c>
      <c r="I705" s="7">
        <f>SUM(I702:I704)</f>
        <v>0</v>
      </c>
      <c r="J705" s="7">
        <f>SUM(J702:J704)</f>
        <v>0</v>
      </c>
      <c r="K705" s="7">
        <f>SUM(K702:K704)</f>
        <v>0</v>
      </c>
      <c r="L705" s="7">
        <f t="shared" ref="L705:S705" si="340">SUM(L702:L704)</f>
        <v>0</v>
      </c>
      <c r="M705" s="7">
        <f t="shared" si="340"/>
        <v>0</v>
      </c>
      <c r="N705" s="7">
        <f t="shared" si="340"/>
        <v>0</v>
      </c>
      <c r="O705" s="7">
        <f t="shared" si="340"/>
        <v>0</v>
      </c>
      <c r="P705" s="7">
        <f t="shared" si="340"/>
        <v>0</v>
      </c>
      <c r="Q705" s="7">
        <f t="shared" si="340"/>
        <v>0</v>
      </c>
      <c r="R705" s="7">
        <f t="shared" si="340"/>
        <v>0</v>
      </c>
      <c r="S705" s="320">
        <f t="shared" si="340"/>
        <v>0</v>
      </c>
      <c r="T705" s="7">
        <f t="shared" ref="T705:U705" si="341">SUM(T702:T704)</f>
        <v>0</v>
      </c>
      <c r="U705" s="7">
        <f t="shared" si="341"/>
        <v>0</v>
      </c>
      <c r="W705" s="1"/>
      <c r="X705" s="1"/>
      <c r="Y705" s="1"/>
    </row>
    <row r="706" spans="6:25">
      <c r="G706" s="6"/>
      <c r="I706" s="7"/>
      <c r="J706" s="7"/>
      <c r="K706" s="7"/>
      <c r="L706" s="7"/>
      <c r="M706" s="7"/>
      <c r="N706" s="7"/>
      <c r="O706" s="7"/>
      <c r="P706" s="7"/>
      <c r="Q706" s="7"/>
      <c r="R706" s="7"/>
      <c r="S706" s="320"/>
      <c r="T706" s="7"/>
      <c r="U706" s="7"/>
      <c r="W706" s="1"/>
      <c r="X706" s="1"/>
      <c r="Y706" s="1"/>
    </row>
    <row r="707" spans="6:25" ht="18.75">
      <c r="F707" s="9" t="s">
        <v>100</v>
      </c>
      <c r="I707" s="2">
        <f>'Facility Detail'!$I$76</f>
        <v>2011</v>
      </c>
      <c r="J707" s="2">
        <f>I707+1</f>
        <v>2012</v>
      </c>
      <c r="K707" s="2">
        <f>J707+1</f>
        <v>2013</v>
      </c>
      <c r="L707" s="2">
        <f t="shared" ref="L707:R707" si="342">K707+1</f>
        <v>2014</v>
      </c>
      <c r="M707" s="2">
        <f t="shared" si="342"/>
        <v>2015</v>
      </c>
      <c r="N707" s="2">
        <f t="shared" si="342"/>
        <v>2016</v>
      </c>
      <c r="O707" s="2">
        <f t="shared" si="342"/>
        <v>2017</v>
      </c>
      <c r="P707" s="2">
        <f t="shared" si="342"/>
        <v>2018</v>
      </c>
      <c r="Q707" s="2">
        <f t="shared" si="342"/>
        <v>2019</v>
      </c>
      <c r="R707" s="2">
        <f t="shared" si="342"/>
        <v>2020</v>
      </c>
      <c r="S707" s="304">
        <f>R707+1</f>
        <v>2021</v>
      </c>
      <c r="T707" s="2">
        <f>S707+1</f>
        <v>2022</v>
      </c>
      <c r="U707" s="2">
        <f>T707+1</f>
        <v>2023</v>
      </c>
      <c r="W707" s="1"/>
      <c r="X707" s="1"/>
      <c r="Y707" s="1"/>
    </row>
    <row r="708" spans="6:25">
      <c r="G708" s="62" t="s">
        <v>68</v>
      </c>
      <c r="H708" s="57"/>
      <c r="I708" s="3"/>
      <c r="J708" s="46">
        <f>I708</f>
        <v>0</v>
      </c>
      <c r="K708" s="106"/>
      <c r="L708" s="106"/>
      <c r="M708" s="106"/>
      <c r="N708" s="106"/>
      <c r="O708" s="106"/>
      <c r="P708" s="106"/>
      <c r="Q708" s="106"/>
      <c r="R708" s="106"/>
      <c r="S708" s="322"/>
      <c r="T708" s="106"/>
      <c r="U708" s="47"/>
      <c r="W708" s="1"/>
      <c r="X708" s="1"/>
      <c r="Y708" s="1"/>
    </row>
    <row r="709" spans="6:25">
      <c r="G709" s="62" t="s">
        <v>69</v>
      </c>
      <c r="H709" s="57"/>
      <c r="I709" s="127">
        <f>J709</f>
        <v>0</v>
      </c>
      <c r="J709" s="10"/>
      <c r="K709" s="60"/>
      <c r="L709" s="60"/>
      <c r="M709" s="60"/>
      <c r="N709" s="60"/>
      <c r="O709" s="60"/>
      <c r="P709" s="60"/>
      <c r="Q709" s="60"/>
      <c r="R709" s="60"/>
      <c r="S709" s="330"/>
      <c r="T709" s="60"/>
      <c r="U709" s="128"/>
      <c r="W709" s="1"/>
      <c r="X709" s="1"/>
      <c r="Y709" s="1"/>
    </row>
    <row r="710" spans="6:25">
      <c r="G710" s="62" t="s">
        <v>70</v>
      </c>
      <c r="H710" s="57"/>
      <c r="I710" s="48"/>
      <c r="J710" s="10">
        <f>J694</f>
        <v>0</v>
      </c>
      <c r="K710" s="56">
        <f>J710</f>
        <v>0</v>
      </c>
      <c r="L710" s="60"/>
      <c r="M710" s="60"/>
      <c r="N710" s="60"/>
      <c r="O710" s="60"/>
      <c r="P710" s="60"/>
      <c r="Q710" s="60"/>
      <c r="R710" s="60"/>
      <c r="S710" s="330"/>
      <c r="T710" s="60"/>
      <c r="U710" s="128"/>
      <c r="W710" s="1"/>
      <c r="X710" s="1"/>
      <c r="Y710" s="1"/>
    </row>
    <row r="711" spans="6:25">
      <c r="G711" s="62" t="s">
        <v>71</v>
      </c>
      <c r="H711" s="57"/>
      <c r="I711" s="48"/>
      <c r="J711" s="56">
        <f>K711</f>
        <v>0</v>
      </c>
      <c r="K711" s="126"/>
      <c r="L711" s="60"/>
      <c r="M711" s="60"/>
      <c r="N711" s="60"/>
      <c r="O711" s="60"/>
      <c r="P711" s="60"/>
      <c r="Q711" s="60"/>
      <c r="R711" s="60"/>
      <c r="S711" s="330"/>
      <c r="T711" s="60"/>
      <c r="U711" s="128"/>
      <c r="W711" s="1"/>
      <c r="X711" s="1"/>
      <c r="Y711" s="1"/>
    </row>
    <row r="712" spans="6:25">
      <c r="G712" s="62" t="s">
        <v>170</v>
      </c>
      <c r="I712" s="48"/>
      <c r="J712" s="118"/>
      <c r="K712" s="10">
        <f>K694</f>
        <v>0</v>
      </c>
      <c r="L712" s="119">
        <f>K712</f>
        <v>0</v>
      </c>
      <c r="M712" s="60"/>
      <c r="N712" s="60"/>
      <c r="O712" s="60"/>
      <c r="P712" s="60"/>
      <c r="Q712" s="60"/>
      <c r="R712" s="60"/>
      <c r="S712" s="330"/>
      <c r="T712" s="60"/>
      <c r="U712" s="128"/>
      <c r="W712" s="1"/>
      <c r="X712" s="1"/>
      <c r="Y712" s="1"/>
    </row>
    <row r="713" spans="6:25">
      <c r="G713" s="62" t="s">
        <v>171</v>
      </c>
      <c r="I713" s="48"/>
      <c r="J713" s="118"/>
      <c r="K713" s="56">
        <f>L713</f>
        <v>0</v>
      </c>
      <c r="L713" s="10"/>
      <c r="M713" s="60"/>
      <c r="N713" s="60"/>
      <c r="O713" s="60"/>
      <c r="P713" s="60"/>
      <c r="Q713" s="60"/>
      <c r="R713" s="60"/>
      <c r="S713" s="330"/>
      <c r="T713" s="60"/>
      <c r="U713" s="128"/>
      <c r="W713" s="1"/>
      <c r="X713" s="1"/>
      <c r="Y713" s="1"/>
    </row>
    <row r="714" spans="6:25">
      <c r="G714" s="62" t="s">
        <v>172</v>
      </c>
      <c r="I714" s="48"/>
      <c r="J714" s="118"/>
      <c r="K714" s="118"/>
      <c r="L714" s="10">
        <f>L694</f>
        <v>0</v>
      </c>
      <c r="M714" s="119">
        <f>L714</f>
        <v>0</v>
      </c>
      <c r="N714" s="118"/>
      <c r="O714" s="118"/>
      <c r="P714" s="118"/>
      <c r="Q714" s="118"/>
      <c r="R714" s="118"/>
      <c r="S714" s="324"/>
      <c r="T714" s="118"/>
      <c r="U714" s="122"/>
      <c r="W714" s="1"/>
      <c r="X714" s="1"/>
      <c r="Y714" s="1"/>
    </row>
    <row r="715" spans="6:25">
      <c r="G715" s="62" t="s">
        <v>173</v>
      </c>
      <c r="I715" s="48"/>
      <c r="J715" s="118"/>
      <c r="K715" s="118"/>
      <c r="L715" s="120"/>
      <c r="M715" s="121"/>
      <c r="N715" s="118"/>
      <c r="O715" s="118"/>
      <c r="P715" s="118"/>
      <c r="Q715" s="118"/>
      <c r="R715" s="118"/>
      <c r="S715" s="324"/>
      <c r="T715" s="118"/>
      <c r="U715" s="122"/>
      <c r="W715" s="1"/>
      <c r="X715" s="1"/>
      <c r="Y715" s="1"/>
    </row>
    <row r="716" spans="6:25">
      <c r="G716" s="62" t="s">
        <v>174</v>
      </c>
      <c r="I716" s="48"/>
      <c r="J716" s="118"/>
      <c r="K716" s="118"/>
      <c r="L716" s="118"/>
      <c r="M716" s="121">
        <v>0</v>
      </c>
      <c r="N716" s="119">
        <f>M716</f>
        <v>0</v>
      </c>
      <c r="O716" s="60"/>
      <c r="P716" s="60"/>
      <c r="Q716" s="60"/>
      <c r="R716" s="60"/>
      <c r="S716" s="330"/>
      <c r="T716" s="60"/>
      <c r="U716" s="128"/>
      <c r="W716" s="1"/>
      <c r="X716" s="1"/>
      <c r="Y716" s="1"/>
    </row>
    <row r="717" spans="6:25">
      <c r="G717" s="62" t="s">
        <v>175</v>
      </c>
      <c r="I717" s="48"/>
      <c r="J717" s="118"/>
      <c r="K717" s="118"/>
      <c r="L717" s="118"/>
      <c r="M717" s="56"/>
      <c r="N717" s="121"/>
      <c r="O717" s="60"/>
      <c r="P717" s="60"/>
      <c r="Q717" s="60"/>
      <c r="R717" s="60"/>
      <c r="S717" s="330"/>
      <c r="T717" s="60"/>
      <c r="U717" s="128"/>
      <c r="W717" s="1"/>
      <c r="X717" s="1"/>
      <c r="Y717" s="1"/>
    </row>
    <row r="718" spans="6:25">
      <c r="G718" s="62" t="s">
        <v>176</v>
      </c>
      <c r="I718" s="48"/>
      <c r="J718" s="118"/>
      <c r="K718" s="118"/>
      <c r="L718" s="118"/>
      <c r="M718" s="118"/>
      <c r="N718" s="121">
        <f>N694</f>
        <v>7725</v>
      </c>
      <c r="O718" s="119">
        <f>N718</f>
        <v>7725</v>
      </c>
      <c r="P718" s="60"/>
      <c r="Q718" s="60"/>
      <c r="R718" s="60"/>
      <c r="S718" s="330"/>
      <c r="T718" s="60"/>
      <c r="U718" s="128"/>
      <c r="W718" s="1"/>
      <c r="X718" s="1"/>
      <c r="Y718" s="1"/>
    </row>
    <row r="719" spans="6:25">
      <c r="G719" s="62" t="s">
        <v>167</v>
      </c>
      <c r="I719" s="48"/>
      <c r="J719" s="118"/>
      <c r="K719" s="118"/>
      <c r="L719" s="118"/>
      <c r="M719" s="118"/>
      <c r="N719" s="151"/>
      <c r="O719" s="121"/>
      <c r="P719" s="60"/>
      <c r="Q719" s="60"/>
      <c r="R719" s="60"/>
      <c r="S719" s="330"/>
      <c r="T719" s="60"/>
      <c r="U719" s="128"/>
      <c r="W719" s="1"/>
      <c r="X719" s="1"/>
      <c r="Y719" s="1"/>
    </row>
    <row r="720" spans="6:25">
      <c r="G720" s="62" t="s">
        <v>168</v>
      </c>
      <c r="I720" s="49"/>
      <c r="J720" s="108"/>
      <c r="K720" s="108"/>
      <c r="L720" s="108"/>
      <c r="M720" s="108"/>
      <c r="N720" s="108"/>
      <c r="O720" s="123"/>
      <c r="P720" s="193"/>
      <c r="Q720" s="108"/>
      <c r="R720" s="108"/>
      <c r="S720" s="325"/>
      <c r="T720" s="108"/>
      <c r="U720" s="459"/>
      <c r="W720" s="1"/>
      <c r="X720" s="1"/>
      <c r="Y720" s="1"/>
    </row>
    <row r="721" spans="1:25">
      <c r="B721" s="1" t="s">
        <v>290</v>
      </c>
      <c r="G721" s="26" t="s">
        <v>17</v>
      </c>
      <c r="I721" s="138">
        <f xml:space="preserve"> I714 - I713</f>
        <v>0</v>
      </c>
      <c r="J721" s="138">
        <f xml:space="preserve"> J713 + J716 - J715 - J714</f>
        <v>0</v>
      </c>
      <c r="K721" s="138">
        <f>K715 - K716</f>
        <v>0</v>
      </c>
      <c r="L721" s="138">
        <f t="shared" ref="L721" si="343">L715 - L716</f>
        <v>0</v>
      </c>
      <c r="M721" s="23">
        <f>M714-M715-M716</f>
        <v>0</v>
      </c>
      <c r="N721" s="23">
        <f>N716-N717-N718</f>
        <v>-7725</v>
      </c>
      <c r="O721" s="23">
        <f>O718-O719-O720</f>
        <v>7725</v>
      </c>
      <c r="P721" s="23">
        <f>P720</f>
        <v>0</v>
      </c>
      <c r="Q721" s="23">
        <f t="shared" ref="Q721:S721" si="344">Q720</f>
        <v>0</v>
      </c>
      <c r="R721" s="23">
        <f t="shared" si="344"/>
        <v>0</v>
      </c>
      <c r="S721" s="321">
        <f t="shared" si="344"/>
        <v>0</v>
      </c>
      <c r="T721" s="23">
        <f t="shared" ref="T721:U721" si="345">T720</f>
        <v>0</v>
      </c>
      <c r="U721" s="23">
        <f t="shared" si="345"/>
        <v>0</v>
      </c>
      <c r="W721" s="1"/>
      <c r="X721" s="1"/>
      <c r="Y721" s="1"/>
    </row>
    <row r="722" spans="1:25">
      <c r="G722" s="6"/>
      <c r="I722" s="7"/>
      <c r="J722" s="7"/>
      <c r="K722" s="7"/>
      <c r="L722" s="7"/>
      <c r="M722" s="7"/>
      <c r="N722" s="7"/>
      <c r="O722" s="7"/>
      <c r="P722" s="7"/>
      <c r="Q722" s="7"/>
      <c r="R722" s="7"/>
      <c r="S722" s="320"/>
      <c r="T722" s="7"/>
      <c r="U722" s="7"/>
      <c r="W722" s="1"/>
      <c r="X722" s="1"/>
      <c r="Y722" s="1"/>
    </row>
    <row r="723" spans="1:25">
      <c r="G723" s="26" t="s">
        <v>12</v>
      </c>
      <c r="H723" s="57"/>
      <c r="I723" s="155"/>
      <c r="J723" s="156"/>
      <c r="K723" s="156"/>
      <c r="L723" s="156"/>
      <c r="M723" s="156"/>
      <c r="N723" s="156"/>
      <c r="O723" s="156"/>
      <c r="P723" s="156"/>
      <c r="Q723" s="156"/>
      <c r="R723" s="156"/>
      <c r="S723" s="326"/>
      <c r="T723" s="156"/>
      <c r="U723" s="267"/>
      <c r="W723" s="1"/>
      <c r="X723" s="1"/>
      <c r="Y723" s="1"/>
    </row>
    <row r="724" spans="1:25">
      <c r="G724" s="6"/>
      <c r="I724" s="7"/>
      <c r="J724" s="7"/>
      <c r="K724" s="7"/>
      <c r="L724" s="7"/>
      <c r="M724" s="7"/>
      <c r="N724" s="7"/>
      <c r="O724" s="7"/>
      <c r="P724" s="7"/>
      <c r="Q724" s="7"/>
      <c r="R724" s="7"/>
      <c r="S724" s="320"/>
      <c r="T724" s="7"/>
      <c r="U724" s="7"/>
      <c r="W724" s="1"/>
      <c r="X724" s="1"/>
      <c r="Y724" s="1"/>
    </row>
    <row r="725" spans="1:25" ht="18.75">
      <c r="C725" s="1" t="s">
        <v>290</v>
      </c>
      <c r="D725" s="1" t="s">
        <v>291</v>
      </c>
      <c r="E725" s="1" t="s">
        <v>107</v>
      </c>
      <c r="F725" s="9" t="s">
        <v>26</v>
      </c>
      <c r="H725" s="57"/>
      <c r="I725" s="157">
        <f xml:space="preserve"> I694 + I699 - I705 + I721 + I723</f>
        <v>0</v>
      </c>
      <c r="J725" s="158">
        <f xml:space="preserve"> J694 + J699 - J705 + J721 + J723</f>
        <v>0</v>
      </c>
      <c r="K725" s="158">
        <f xml:space="preserve"> K694 + K699 - K705 + K721 + K723</f>
        <v>0</v>
      </c>
      <c r="L725" s="158">
        <f t="shared" ref="L725:S725" si="346" xml:space="preserve"> L694 + L699 - L705 + L721 + L723</f>
        <v>0</v>
      </c>
      <c r="M725" s="158">
        <f t="shared" si="346"/>
        <v>0</v>
      </c>
      <c r="N725" s="158">
        <f t="shared" si="346"/>
        <v>0</v>
      </c>
      <c r="O725" s="158">
        <f t="shared" si="346"/>
        <v>7725</v>
      </c>
      <c r="P725" s="158">
        <f t="shared" si="346"/>
        <v>0</v>
      </c>
      <c r="Q725" s="158">
        <f t="shared" si="346"/>
        <v>0</v>
      </c>
      <c r="R725" s="158">
        <f t="shared" si="346"/>
        <v>0</v>
      </c>
      <c r="S725" s="328">
        <f t="shared" si="346"/>
        <v>0</v>
      </c>
      <c r="T725" s="158">
        <f t="shared" ref="T725:U725" si="347" xml:space="preserve"> T694 + T699 - T705 + T721 + T723</f>
        <v>0</v>
      </c>
      <c r="U725" s="268">
        <f t="shared" si="347"/>
        <v>0</v>
      </c>
      <c r="W725" s="1"/>
      <c r="X725" s="1"/>
      <c r="Y725" s="1"/>
    </row>
    <row r="726" spans="1:25">
      <c r="G726" s="6"/>
      <c r="I726" s="7"/>
      <c r="J726" s="7"/>
      <c r="K726" s="7"/>
      <c r="L726" s="23"/>
      <c r="M726" s="23"/>
      <c r="N726" s="23"/>
      <c r="O726" s="23"/>
      <c r="P726" s="23"/>
      <c r="Q726" s="23"/>
      <c r="R726" s="23"/>
      <c r="S726" s="282"/>
      <c r="T726" s="23"/>
      <c r="U726" s="23"/>
      <c r="W726" s="1"/>
      <c r="X726" s="1"/>
      <c r="Y726" s="1"/>
    </row>
    <row r="727" spans="1:25" ht="15.75" thickBot="1">
      <c r="W727" s="1"/>
      <c r="X727" s="1"/>
      <c r="Y727" s="1"/>
    </row>
    <row r="728" spans="1:25">
      <c r="F728" s="8"/>
      <c r="G728" s="8"/>
      <c r="H728" s="8"/>
      <c r="I728" s="8"/>
      <c r="J728" s="8"/>
      <c r="K728" s="8"/>
      <c r="L728" s="8"/>
      <c r="M728" s="8"/>
      <c r="N728" s="8"/>
      <c r="O728" s="8"/>
      <c r="P728" s="8"/>
      <c r="Q728" s="8"/>
      <c r="R728" s="8"/>
      <c r="S728" s="290"/>
      <c r="T728" s="8"/>
      <c r="U728" s="8"/>
      <c r="W728" s="1"/>
      <c r="X728" s="1"/>
      <c r="Y728" s="1"/>
    </row>
    <row r="729" spans="1:25" ht="15.75" thickBot="1">
      <c r="W729" s="1"/>
      <c r="X729" s="1"/>
      <c r="Y729" s="1"/>
    </row>
    <row r="730" spans="1:25" ht="21.75" thickBot="1">
      <c r="F730" s="13" t="s">
        <v>4</v>
      </c>
      <c r="G730" s="13"/>
      <c r="H730" s="176" t="s">
        <v>156</v>
      </c>
      <c r="I730" s="182"/>
      <c r="W730" s="1"/>
      <c r="X730" s="1"/>
      <c r="Y730" s="1"/>
    </row>
    <row r="731" spans="1:25">
      <c r="S731" s="1"/>
      <c r="W731" s="1"/>
      <c r="X731" s="1"/>
      <c r="Y731" s="1"/>
    </row>
    <row r="732" spans="1:25" ht="18.75">
      <c r="F732" s="9" t="s">
        <v>21</v>
      </c>
      <c r="G732" s="9"/>
      <c r="I732" s="2">
        <f>'Facility Detail'!$G$3260</f>
        <v>2011</v>
      </c>
      <c r="J732" s="2">
        <f t="shared" ref="J732:R732" si="348">I732+1</f>
        <v>2012</v>
      </c>
      <c r="K732" s="2">
        <f t="shared" si="348"/>
        <v>2013</v>
      </c>
      <c r="L732" s="2">
        <f t="shared" si="348"/>
        <v>2014</v>
      </c>
      <c r="M732" s="2">
        <f t="shared" si="348"/>
        <v>2015</v>
      </c>
      <c r="N732" s="2">
        <f t="shared" si="348"/>
        <v>2016</v>
      </c>
      <c r="O732" s="2">
        <f t="shared" si="348"/>
        <v>2017</v>
      </c>
      <c r="P732" s="2">
        <f t="shared" si="348"/>
        <v>2018</v>
      </c>
      <c r="Q732" s="2">
        <f t="shared" si="348"/>
        <v>2019</v>
      </c>
      <c r="R732" s="2">
        <f t="shared" si="348"/>
        <v>2020</v>
      </c>
      <c r="S732" s="2">
        <f>R732+1</f>
        <v>2021</v>
      </c>
      <c r="T732" s="2">
        <f>S732+1</f>
        <v>2022</v>
      </c>
      <c r="U732" s="2">
        <f>T732+1</f>
        <v>2023</v>
      </c>
      <c r="W732" s="1"/>
      <c r="X732" s="1"/>
      <c r="Y732" s="1"/>
    </row>
    <row r="733" spans="1:25">
      <c r="G733" s="62" t="str">
        <f>"Total MWh Produced / Purchased from " &amp; H730</f>
        <v>Total MWh Produced / Purchased from Dunlap I</v>
      </c>
      <c r="H733" s="57"/>
      <c r="I733" s="3"/>
      <c r="J733" s="4"/>
      <c r="K733" s="4"/>
      <c r="L733" s="4"/>
      <c r="M733" s="4">
        <v>339706</v>
      </c>
      <c r="N733" s="4">
        <v>388498</v>
      </c>
      <c r="O733" s="4">
        <v>351261</v>
      </c>
      <c r="P733" s="4">
        <v>391874</v>
      </c>
      <c r="Q733" s="4">
        <v>182469</v>
      </c>
      <c r="R733" s="4">
        <v>416943</v>
      </c>
      <c r="S733" s="4">
        <v>435043</v>
      </c>
      <c r="T733" s="4">
        <v>469881</v>
      </c>
      <c r="U733" s="5">
        <v>412517</v>
      </c>
      <c r="W733" s="1"/>
      <c r="X733" s="1"/>
      <c r="Y733" s="1"/>
    </row>
    <row r="734" spans="1:25">
      <c r="G734" s="62" t="s">
        <v>25</v>
      </c>
      <c r="H734" s="57"/>
      <c r="I734" s="269"/>
      <c r="J734" s="41"/>
      <c r="K734" s="41"/>
      <c r="L734" s="41"/>
      <c r="M734" s="41">
        <v>1</v>
      </c>
      <c r="N734" s="41">
        <v>1</v>
      </c>
      <c r="O734" s="41">
        <v>1</v>
      </c>
      <c r="P734" s="41">
        <v>1</v>
      </c>
      <c r="Q734" s="41">
        <v>1</v>
      </c>
      <c r="R734" s="41">
        <v>1</v>
      </c>
      <c r="S734" s="41">
        <v>1</v>
      </c>
      <c r="T734" s="41">
        <v>1</v>
      </c>
      <c r="U734" s="42">
        <v>1</v>
      </c>
      <c r="W734" s="1"/>
      <c r="X734" s="1"/>
      <c r="Y734" s="1"/>
    </row>
    <row r="735" spans="1:25">
      <c r="G735" s="62" t="s">
        <v>20</v>
      </c>
      <c r="H735" s="57"/>
      <c r="I735" s="270"/>
      <c r="J735" s="36"/>
      <c r="K735" s="36"/>
      <c r="L735" s="36"/>
      <c r="M735" s="36">
        <v>8.0535999999999996E-2</v>
      </c>
      <c r="N735" s="36">
        <v>8.1698151927344531E-2</v>
      </c>
      <c r="O735" s="36">
        <v>8.0833713568703974E-2</v>
      </c>
      <c r="P735" s="36">
        <v>7.9451999999999995E-2</v>
      </c>
      <c r="Q735" s="36">
        <v>7.6724662968274293E-2</v>
      </c>
      <c r="R735" s="36">
        <f>R441</f>
        <v>8.1268700519883177E-2</v>
      </c>
      <c r="S735" s="36">
        <f>S2</f>
        <v>7.9696892166366717E-2</v>
      </c>
      <c r="T735" s="36">
        <f>T2</f>
        <v>7.8737918965874246E-2</v>
      </c>
      <c r="U735" s="36">
        <f>U2</f>
        <v>7.8407467372863096E-2</v>
      </c>
      <c r="W735" s="1"/>
      <c r="X735" s="1"/>
      <c r="Y735" s="1"/>
    </row>
    <row r="736" spans="1:25">
      <c r="A736" s="1" t="s">
        <v>156</v>
      </c>
      <c r="G736" s="26" t="s">
        <v>22</v>
      </c>
      <c r="H736" s="6"/>
      <c r="I736" s="30">
        <f xml:space="preserve"> ROUND(I733 * I734 * I735,0)</f>
        <v>0</v>
      </c>
      <c r="J736" s="30">
        <f xml:space="preserve"> ROUND(J733 * J734 * J735,0)</f>
        <v>0</v>
      </c>
      <c r="K736" s="30">
        <f xml:space="preserve"> ROUND(K733 * K734 * K735,0)</f>
        <v>0</v>
      </c>
      <c r="L736" s="30">
        <f xml:space="preserve"> ROUND(L733 * L734 * L735,0)</f>
        <v>0</v>
      </c>
      <c r="M736" s="30">
        <v>27359</v>
      </c>
      <c r="N736" s="161">
        <v>31741</v>
      </c>
      <c r="O736" s="161">
        <v>25412</v>
      </c>
      <c r="P736" s="161">
        <v>31135</v>
      </c>
      <c r="Q736" s="161">
        <f>Q733*Q735</f>
        <v>13999.872527158042</v>
      </c>
      <c r="R736" s="161">
        <f>R733*R735</f>
        <v>33884.41580086165</v>
      </c>
      <c r="S736" s="161">
        <f>ROUNDDOWN(S733*S735,0)</f>
        <v>34671</v>
      </c>
      <c r="T736" s="161">
        <f>ROUNDUP(T733*T735,0)</f>
        <v>36998</v>
      </c>
      <c r="U736" s="161">
        <f>ROUNDDOWN(U733*U735,0)</f>
        <v>32344</v>
      </c>
      <c r="W736" s="1"/>
      <c r="X736" s="1"/>
      <c r="Y736" s="1"/>
    </row>
    <row r="737" spans="6:25">
      <c r="I737" s="29"/>
      <c r="J737" s="29"/>
      <c r="K737" s="29"/>
      <c r="L737" s="29"/>
      <c r="M737" s="29"/>
      <c r="N737" s="20"/>
      <c r="O737" s="20"/>
      <c r="P737" s="20"/>
      <c r="Q737" s="20"/>
      <c r="R737" s="20"/>
      <c r="S737" s="20"/>
      <c r="T737" s="20"/>
      <c r="U737" s="20"/>
      <c r="W737" s="1"/>
      <c r="X737" s="1"/>
      <c r="Y737" s="1"/>
    </row>
    <row r="738" spans="6:25" ht="18.75">
      <c r="F738" s="9" t="s">
        <v>118</v>
      </c>
      <c r="I738" s="2">
        <f>'Facility Detail'!$G$3260</f>
        <v>2011</v>
      </c>
      <c r="J738" s="2">
        <f t="shared" ref="J738:R738" si="349">I738+1</f>
        <v>2012</v>
      </c>
      <c r="K738" s="2">
        <f t="shared" si="349"/>
        <v>2013</v>
      </c>
      <c r="L738" s="2">
        <f t="shared" si="349"/>
        <v>2014</v>
      </c>
      <c r="M738" s="2">
        <f t="shared" si="349"/>
        <v>2015</v>
      </c>
      <c r="N738" s="2">
        <f t="shared" si="349"/>
        <v>2016</v>
      </c>
      <c r="O738" s="2">
        <f t="shared" si="349"/>
        <v>2017</v>
      </c>
      <c r="P738" s="2">
        <f t="shared" si="349"/>
        <v>2018</v>
      </c>
      <c r="Q738" s="2">
        <f t="shared" si="349"/>
        <v>2019</v>
      </c>
      <c r="R738" s="2">
        <f t="shared" si="349"/>
        <v>2020</v>
      </c>
      <c r="S738" s="2">
        <f>R738+1</f>
        <v>2021</v>
      </c>
      <c r="T738" s="2">
        <f>S738+1</f>
        <v>2022</v>
      </c>
      <c r="U738" s="2">
        <f>T738+1</f>
        <v>2023</v>
      </c>
      <c r="W738" s="1"/>
      <c r="X738" s="1"/>
      <c r="Y738" s="1"/>
    </row>
    <row r="739" spans="6:25">
      <c r="G739" s="62" t="s">
        <v>10</v>
      </c>
      <c r="H739" s="57"/>
      <c r="I739" s="38">
        <f>IF($J19 = "Eligible", I736 * 'Facility Detail'!$G$3257, 0 )</f>
        <v>0</v>
      </c>
      <c r="J739" s="11">
        <f>IF($J19 = "Eligible", J736 * 'Facility Detail'!$G$3257, 0 )</f>
        <v>0</v>
      </c>
      <c r="K739" s="11">
        <f>IF($J19 = "Eligible", K736 * 'Facility Detail'!$G$3257, 0 )</f>
        <v>0</v>
      </c>
      <c r="L739" s="11">
        <f>IF($J19 = "Eligible", L736 * 'Facility Detail'!$G$3257, 0 )</f>
        <v>0</v>
      </c>
      <c r="M739" s="11">
        <f>IF($J19 = "Eligible", M736 * 'Facility Detail'!$G$3257, 0 )</f>
        <v>0</v>
      </c>
      <c r="N739" s="11">
        <f>IF($J19 = "Eligible", N736 * 'Facility Detail'!$G$3257, 0 )</f>
        <v>0</v>
      </c>
      <c r="O739" s="11">
        <f>IF($J19 = "Eligible", O736 * 'Facility Detail'!$G$3257, 0 )</f>
        <v>0</v>
      </c>
      <c r="P739" s="11">
        <f>IF($J19 = "Eligible", P736 * 'Facility Detail'!$G$3257, 0 )</f>
        <v>0</v>
      </c>
      <c r="Q739" s="11">
        <f>IF($J19 = "Eligible", Q736 * 'Facility Detail'!$G$3257, 0 )</f>
        <v>0</v>
      </c>
      <c r="R739" s="11">
        <f>IF($J19 = "Eligible", R736 * 'Facility Detail'!$G$3257, 0 )</f>
        <v>0</v>
      </c>
      <c r="S739" s="11">
        <f>IF($J19 = "Eligible", S736 * 'Facility Detail'!$G$3257, 0 )</f>
        <v>0</v>
      </c>
      <c r="T739" s="11">
        <f>IF($J19 = "Eligible", T736 * 'Facility Detail'!$G$3257, 0 )</f>
        <v>0</v>
      </c>
      <c r="U739" s="223">
        <f>IF($J19 = "Eligible", U736 * 'Facility Detail'!$G$3257, 0 )</f>
        <v>0</v>
      </c>
      <c r="W739" s="1"/>
      <c r="X739" s="1"/>
      <c r="Y739" s="1"/>
    </row>
    <row r="740" spans="6:25">
      <c r="G740" s="62" t="s">
        <v>6</v>
      </c>
      <c r="H740" s="57"/>
      <c r="I740" s="39">
        <f t="shared" ref="I740:U740" si="350">IF($K19= "Eligible", I736, 0 )</f>
        <v>0</v>
      </c>
      <c r="J740" s="193">
        <f t="shared" si="350"/>
        <v>0</v>
      </c>
      <c r="K740" s="193">
        <f t="shared" si="350"/>
        <v>0</v>
      </c>
      <c r="L740" s="193">
        <f t="shared" si="350"/>
        <v>0</v>
      </c>
      <c r="M740" s="193">
        <f t="shared" si="350"/>
        <v>0</v>
      </c>
      <c r="N740" s="193">
        <f t="shared" si="350"/>
        <v>0</v>
      </c>
      <c r="O740" s="193">
        <f t="shared" si="350"/>
        <v>0</v>
      </c>
      <c r="P740" s="193">
        <f t="shared" si="350"/>
        <v>0</v>
      </c>
      <c r="Q740" s="193">
        <f t="shared" si="350"/>
        <v>0</v>
      </c>
      <c r="R740" s="193">
        <f t="shared" si="350"/>
        <v>0</v>
      </c>
      <c r="S740" s="193">
        <f t="shared" si="350"/>
        <v>0</v>
      </c>
      <c r="T740" s="193">
        <f t="shared" si="350"/>
        <v>0</v>
      </c>
      <c r="U740" s="224">
        <f t="shared" si="350"/>
        <v>0</v>
      </c>
      <c r="W740" s="1"/>
      <c r="X740" s="1"/>
      <c r="Y740" s="1"/>
    </row>
    <row r="741" spans="6:25">
      <c r="G741" s="26" t="s">
        <v>120</v>
      </c>
      <c r="H741" s="6"/>
      <c r="I741" s="32">
        <f>SUM(I739:I740)</f>
        <v>0</v>
      </c>
      <c r="J741" s="33">
        <f t="shared" ref="J741:S741" si="351">SUM(J739:J740)</f>
        <v>0</v>
      </c>
      <c r="K741" s="33">
        <f t="shared" si="351"/>
        <v>0</v>
      </c>
      <c r="L741" s="33">
        <f t="shared" si="351"/>
        <v>0</v>
      </c>
      <c r="M741" s="33">
        <f t="shared" si="351"/>
        <v>0</v>
      </c>
      <c r="N741" s="33">
        <f t="shared" si="351"/>
        <v>0</v>
      </c>
      <c r="O741" s="33">
        <f t="shared" si="351"/>
        <v>0</v>
      </c>
      <c r="P741" s="33">
        <f t="shared" si="351"/>
        <v>0</v>
      </c>
      <c r="Q741" s="33">
        <f t="shared" si="351"/>
        <v>0</v>
      </c>
      <c r="R741" s="33">
        <f t="shared" si="351"/>
        <v>0</v>
      </c>
      <c r="S741" s="33">
        <f t="shared" si="351"/>
        <v>0</v>
      </c>
      <c r="T741" s="33">
        <f t="shared" ref="T741:U741" si="352">SUM(T739:T740)</f>
        <v>0</v>
      </c>
      <c r="U741" s="33">
        <f t="shared" si="352"/>
        <v>0</v>
      </c>
      <c r="W741" s="1"/>
      <c r="X741" s="1"/>
      <c r="Y741" s="1"/>
    </row>
    <row r="742" spans="6:25">
      <c r="I742" s="31"/>
      <c r="J742" s="24"/>
      <c r="K742" s="24"/>
      <c r="L742" s="24"/>
      <c r="M742" s="24"/>
      <c r="N742" s="24"/>
      <c r="O742" s="24"/>
      <c r="P742" s="24"/>
      <c r="Q742" s="24"/>
      <c r="R742" s="24"/>
      <c r="S742" s="24"/>
      <c r="T742" s="24"/>
      <c r="U742" s="24"/>
      <c r="W742" s="1"/>
      <c r="X742" s="1"/>
      <c r="Y742" s="1"/>
    </row>
    <row r="743" spans="6:25" ht="18.75">
      <c r="F743" s="9" t="s">
        <v>30</v>
      </c>
      <c r="I743" s="2">
        <f>'Facility Detail'!$G$3260</f>
        <v>2011</v>
      </c>
      <c r="J743" s="2">
        <f t="shared" ref="J743:R743" si="353">I743+1</f>
        <v>2012</v>
      </c>
      <c r="K743" s="2">
        <f t="shared" si="353"/>
        <v>2013</v>
      </c>
      <c r="L743" s="2">
        <f t="shared" si="353"/>
        <v>2014</v>
      </c>
      <c r="M743" s="2">
        <f t="shared" si="353"/>
        <v>2015</v>
      </c>
      <c r="N743" s="2">
        <f t="shared" si="353"/>
        <v>2016</v>
      </c>
      <c r="O743" s="2">
        <f t="shared" si="353"/>
        <v>2017</v>
      </c>
      <c r="P743" s="2">
        <f t="shared" si="353"/>
        <v>2018</v>
      </c>
      <c r="Q743" s="2">
        <f t="shared" si="353"/>
        <v>2019</v>
      </c>
      <c r="R743" s="2">
        <f t="shared" si="353"/>
        <v>2020</v>
      </c>
      <c r="S743" s="2">
        <f>R743+1</f>
        <v>2021</v>
      </c>
      <c r="T743" s="2">
        <f>S743+1</f>
        <v>2022</v>
      </c>
      <c r="U743" s="2">
        <f>T743+1</f>
        <v>2023</v>
      </c>
      <c r="W743" s="1"/>
      <c r="X743" s="1"/>
      <c r="Y743" s="1"/>
    </row>
    <row r="744" spans="6:25">
      <c r="G744" s="62" t="s">
        <v>47</v>
      </c>
      <c r="H744" s="57"/>
      <c r="I744" s="71"/>
      <c r="J744" s="72"/>
      <c r="K744" s="72"/>
      <c r="L744" s="72"/>
      <c r="M744" s="72"/>
      <c r="N744" s="72"/>
      <c r="O744" s="72"/>
      <c r="P744" s="72"/>
      <c r="Q744" s="72"/>
      <c r="R744" s="72"/>
      <c r="S744" s="72"/>
      <c r="T744" s="72"/>
      <c r="U744" s="73"/>
      <c r="W744" s="1"/>
      <c r="X744" s="1"/>
      <c r="Y744" s="1"/>
    </row>
    <row r="745" spans="6:25">
      <c r="G745" s="63" t="s">
        <v>23</v>
      </c>
      <c r="H745" s="135"/>
      <c r="I745" s="74"/>
      <c r="J745" s="75"/>
      <c r="K745" s="75"/>
      <c r="L745" s="75"/>
      <c r="M745" s="75"/>
      <c r="N745" s="75"/>
      <c r="O745" s="75"/>
      <c r="P745" s="75"/>
      <c r="Q745" s="75"/>
      <c r="R745" s="75"/>
      <c r="S745" s="75"/>
      <c r="T745" s="75"/>
      <c r="U745" s="76"/>
      <c r="W745" s="1"/>
      <c r="X745" s="1"/>
      <c r="Y745" s="1"/>
    </row>
    <row r="746" spans="6:25">
      <c r="G746" s="63" t="s">
        <v>89</v>
      </c>
      <c r="H746" s="134"/>
      <c r="I746" s="43"/>
      <c r="J746" s="44"/>
      <c r="K746" s="44"/>
      <c r="L746" s="44"/>
      <c r="M746" s="44"/>
      <c r="N746" s="44"/>
      <c r="O746" s="44"/>
      <c r="P746" s="44"/>
      <c r="Q746" s="44"/>
      <c r="R746" s="44"/>
      <c r="S746" s="44"/>
      <c r="T746" s="44"/>
      <c r="U746" s="45"/>
      <c r="W746" s="1"/>
      <c r="X746" s="1"/>
      <c r="Y746" s="1"/>
    </row>
    <row r="747" spans="6:25">
      <c r="G747" s="26" t="s">
        <v>90</v>
      </c>
      <c r="I747" s="7">
        <f t="shared" ref="I747:P747" si="354">SUM(I744:I746)</f>
        <v>0</v>
      </c>
      <c r="J747" s="7">
        <f t="shared" si="354"/>
        <v>0</v>
      </c>
      <c r="K747" s="7">
        <f t="shared" si="354"/>
        <v>0</v>
      </c>
      <c r="L747" s="7">
        <f t="shared" si="354"/>
        <v>0</v>
      </c>
      <c r="M747" s="7">
        <f t="shared" si="354"/>
        <v>0</v>
      </c>
      <c r="N747" s="7">
        <f t="shared" si="354"/>
        <v>0</v>
      </c>
      <c r="O747" s="7">
        <f t="shared" si="354"/>
        <v>0</v>
      </c>
      <c r="P747" s="7">
        <f t="shared" si="354"/>
        <v>0</v>
      </c>
      <c r="Q747" s="7"/>
      <c r="R747" s="7"/>
      <c r="S747" s="7"/>
      <c r="T747" s="7"/>
      <c r="U747" s="7"/>
      <c r="W747" s="1"/>
      <c r="X747" s="1"/>
      <c r="Y747" s="1"/>
    </row>
    <row r="748" spans="6:25">
      <c r="G748" s="6"/>
      <c r="I748" s="7"/>
      <c r="J748" s="7"/>
      <c r="K748" s="7"/>
      <c r="L748" s="23"/>
      <c r="M748" s="23"/>
      <c r="N748" s="23"/>
      <c r="O748" s="23"/>
      <c r="P748" s="23"/>
      <c r="Q748" s="23"/>
      <c r="R748" s="23"/>
      <c r="S748" s="23"/>
      <c r="T748" s="23"/>
      <c r="U748" s="23"/>
      <c r="W748" s="1"/>
      <c r="X748" s="1"/>
      <c r="Y748" s="1"/>
    </row>
    <row r="749" spans="6:25" ht="18.75">
      <c r="F749" s="9" t="s">
        <v>100</v>
      </c>
      <c r="I749" s="2">
        <f>'Facility Detail'!$G$3260</f>
        <v>2011</v>
      </c>
      <c r="J749" s="2">
        <f t="shared" ref="J749:R749" si="355">I749+1</f>
        <v>2012</v>
      </c>
      <c r="K749" s="2">
        <f t="shared" si="355"/>
        <v>2013</v>
      </c>
      <c r="L749" s="2">
        <f t="shared" si="355"/>
        <v>2014</v>
      </c>
      <c r="M749" s="2">
        <f t="shared" si="355"/>
        <v>2015</v>
      </c>
      <c r="N749" s="2">
        <f t="shared" si="355"/>
        <v>2016</v>
      </c>
      <c r="O749" s="2">
        <f t="shared" si="355"/>
        <v>2017</v>
      </c>
      <c r="P749" s="2">
        <f t="shared" si="355"/>
        <v>2018</v>
      </c>
      <c r="Q749" s="2">
        <f t="shared" si="355"/>
        <v>2019</v>
      </c>
      <c r="R749" s="2">
        <f t="shared" si="355"/>
        <v>2020</v>
      </c>
      <c r="S749" s="2">
        <f>R749+1</f>
        <v>2021</v>
      </c>
      <c r="T749" s="2">
        <f>S749+1</f>
        <v>2022</v>
      </c>
      <c r="U749" s="2">
        <f>T749+1</f>
        <v>2023</v>
      </c>
      <c r="W749" s="1"/>
      <c r="X749" s="1"/>
      <c r="Y749" s="1"/>
    </row>
    <row r="750" spans="6:25">
      <c r="G750" s="62" t="s">
        <v>68</v>
      </c>
      <c r="I750" s="3">
        <f>I736</f>
        <v>0</v>
      </c>
      <c r="J750" s="46">
        <f>I750</f>
        <v>0</v>
      </c>
      <c r="K750" s="106"/>
      <c r="L750" s="106"/>
      <c r="M750" s="106"/>
      <c r="N750" s="106"/>
      <c r="O750" s="106"/>
      <c r="P750" s="106"/>
      <c r="Q750" s="106"/>
      <c r="R750" s="106"/>
      <c r="S750" s="106"/>
      <c r="T750" s="217"/>
      <c r="U750" s="47"/>
      <c r="W750" s="1"/>
      <c r="X750" s="1"/>
      <c r="Y750" s="1"/>
    </row>
    <row r="751" spans="6:25">
      <c r="G751" s="62" t="s">
        <v>69</v>
      </c>
      <c r="I751" s="127">
        <f>J751</f>
        <v>0</v>
      </c>
      <c r="J751" s="10"/>
      <c r="K751" s="60"/>
      <c r="L751" s="60"/>
      <c r="M751" s="60"/>
      <c r="N751" s="60"/>
      <c r="O751" s="60"/>
      <c r="P751" s="60"/>
      <c r="Q751" s="60"/>
      <c r="R751" s="60"/>
      <c r="S751" s="60"/>
      <c r="T751" s="218"/>
      <c r="U751" s="128"/>
      <c r="W751" s="1"/>
      <c r="X751" s="1"/>
      <c r="Y751" s="1"/>
    </row>
    <row r="752" spans="6:25">
      <c r="G752" s="62" t="s">
        <v>70</v>
      </c>
      <c r="I752" s="48"/>
      <c r="J752" s="10">
        <f>J736</f>
        <v>0</v>
      </c>
      <c r="K752" s="56">
        <f>J752</f>
        <v>0</v>
      </c>
      <c r="L752" s="60"/>
      <c r="M752" s="60"/>
      <c r="N752" s="60"/>
      <c r="O752" s="60"/>
      <c r="P752" s="60"/>
      <c r="Q752" s="60"/>
      <c r="R752" s="60"/>
      <c r="S752" s="60"/>
      <c r="T752" s="218"/>
      <c r="U752" s="128"/>
      <c r="W752" s="1"/>
      <c r="X752" s="1"/>
      <c r="Y752" s="1"/>
    </row>
    <row r="753" spans="7:25">
      <c r="G753" s="62" t="s">
        <v>71</v>
      </c>
      <c r="I753" s="48"/>
      <c r="J753" s="56">
        <f>K753</f>
        <v>0</v>
      </c>
      <c r="K753" s="10"/>
      <c r="L753" s="60"/>
      <c r="M753" s="60"/>
      <c r="N753" s="60"/>
      <c r="O753" s="60"/>
      <c r="P753" s="60"/>
      <c r="Q753" s="60"/>
      <c r="R753" s="60"/>
      <c r="S753" s="60"/>
      <c r="T753" s="218"/>
      <c r="U753" s="128"/>
      <c r="W753" s="1"/>
      <c r="X753" s="1"/>
      <c r="Y753" s="1"/>
    </row>
    <row r="754" spans="7:25">
      <c r="G754" s="62" t="s">
        <v>170</v>
      </c>
      <c r="I754" s="48"/>
      <c r="J754" s="118"/>
      <c r="K754" s="10">
        <f>K736</f>
        <v>0</v>
      </c>
      <c r="L754" s="119">
        <f>K754</f>
        <v>0</v>
      </c>
      <c r="M754" s="60"/>
      <c r="N754" s="60"/>
      <c r="O754" s="60"/>
      <c r="P754" s="60"/>
      <c r="Q754" s="60"/>
      <c r="R754" s="60"/>
      <c r="S754" s="60"/>
      <c r="T754" s="146"/>
      <c r="U754" s="122"/>
      <c r="W754" s="1"/>
      <c r="X754" s="1"/>
      <c r="Y754" s="1"/>
    </row>
    <row r="755" spans="7:25">
      <c r="G755" s="62" t="s">
        <v>171</v>
      </c>
      <c r="I755" s="48"/>
      <c r="J755" s="118"/>
      <c r="K755" s="56">
        <f>L755</f>
        <v>0</v>
      </c>
      <c r="L755" s="10"/>
      <c r="M755" s="60"/>
      <c r="N755" s="60"/>
      <c r="O755" s="60" t="s">
        <v>169</v>
      </c>
      <c r="P755" s="60"/>
      <c r="Q755" s="60"/>
      <c r="R755" s="60"/>
      <c r="S755" s="60"/>
      <c r="T755" s="146"/>
      <c r="U755" s="122"/>
      <c r="W755" s="1"/>
      <c r="X755" s="1"/>
      <c r="Y755" s="1"/>
    </row>
    <row r="756" spans="7:25">
      <c r="G756" s="62" t="s">
        <v>172</v>
      </c>
      <c r="I756" s="48"/>
      <c r="J756" s="118"/>
      <c r="K756" s="118"/>
      <c r="L756" s="10"/>
      <c r="M756" s="119">
        <f>L756</f>
        <v>0</v>
      </c>
      <c r="N756" s="118"/>
      <c r="O756" s="60"/>
      <c r="P756" s="60"/>
      <c r="Q756" s="60"/>
      <c r="R756" s="60"/>
      <c r="S756" s="60"/>
      <c r="T756" s="146"/>
      <c r="U756" s="122"/>
      <c r="W756" s="1"/>
      <c r="X756" s="1"/>
      <c r="Y756" s="1"/>
    </row>
    <row r="757" spans="7:25">
      <c r="G757" s="62" t="s">
        <v>173</v>
      </c>
      <c r="I757" s="48"/>
      <c r="J757" s="118"/>
      <c r="K757" s="118"/>
      <c r="L757" s="56"/>
      <c r="M757" s="10"/>
      <c r="N757" s="118"/>
      <c r="O757" s="60"/>
      <c r="P757" s="60"/>
      <c r="Q757" s="60"/>
      <c r="R757" s="60"/>
      <c r="S757" s="60"/>
      <c r="T757" s="146"/>
      <c r="U757" s="122"/>
      <c r="W757" s="1"/>
      <c r="X757" s="1"/>
      <c r="Y757" s="1"/>
    </row>
    <row r="758" spans="7:25">
      <c r="G758" s="62" t="s">
        <v>174</v>
      </c>
      <c r="I758" s="48"/>
      <c r="J758" s="118"/>
      <c r="K758" s="118"/>
      <c r="L758" s="118"/>
      <c r="M758" s="10">
        <f>M736</f>
        <v>27359</v>
      </c>
      <c r="N758" s="119">
        <f>M758</f>
        <v>27359</v>
      </c>
      <c r="O758" s="60"/>
      <c r="P758" s="60"/>
      <c r="Q758" s="60"/>
      <c r="R758" s="60"/>
      <c r="S758" s="60"/>
      <c r="T758" s="146"/>
      <c r="U758" s="122"/>
      <c r="W758" s="1"/>
      <c r="X758" s="1"/>
      <c r="Y758" s="1"/>
    </row>
    <row r="759" spans="7:25">
      <c r="G759" s="62" t="s">
        <v>175</v>
      </c>
      <c r="I759" s="48"/>
      <c r="J759" s="118"/>
      <c r="K759" s="118"/>
      <c r="L759" s="118"/>
      <c r="M759" s="56"/>
      <c r="N759" s="10"/>
      <c r="O759" s="60"/>
      <c r="P759" s="60"/>
      <c r="Q759" s="60"/>
      <c r="R759" s="60"/>
      <c r="S759" s="60"/>
      <c r="T759" s="146"/>
      <c r="U759" s="122"/>
      <c r="W759" s="1"/>
      <c r="X759" s="1"/>
      <c r="Y759" s="1"/>
    </row>
    <row r="760" spans="7:25">
      <c r="G760" s="62" t="s">
        <v>176</v>
      </c>
      <c r="I760" s="48"/>
      <c r="J760" s="118"/>
      <c r="K760" s="118"/>
      <c r="L760" s="118"/>
      <c r="M760" s="118"/>
      <c r="N760" s="149">
        <v>0</v>
      </c>
      <c r="O760" s="120">
        <f>N760</f>
        <v>0</v>
      </c>
      <c r="P760" s="60"/>
      <c r="Q760" s="60"/>
      <c r="R760" s="60"/>
      <c r="S760" s="60"/>
      <c r="T760" s="146"/>
      <c r="U760" s="122"/>
      <c r="W760" s="1"/>
      <c r="X760" s="1"/>
      <c r="Y760" s="1"/>
    </row>
    <row r="761" spans="7:25">
      <c r="G761" s="62" t="s">
        <v>167</v>
      </c>
      <c r="I761" s="48"/>
      <c r="J761" s="118"/>
      <c r="K761" s="118"/>
      <c r="L761" s="118"/>
      <c r="M761" s="118"/>
      <c r="N761" s="150"/>
      <c r="O761" s="121"/>
      <c r="P761" s="60"/>
      <c r="Q761" s="60"/>
      <c r="R761" s="60"/>
      <c r="S761" s="60"/>
      <c r="T761" s="146"/>
      <c r="U761" s="122"/>
      <c r="W761" s="1"/>
      <c r="X761" s="1"/>
      <c r="Y761" s="1"/>
    </row>
    <row r="762" spans="7:25">
      <c r="G762" s="62" t="s">
        <v>168</v>
      </c>
      <c r="I762" s="48"/>
      <c r="J762" s="118"/>
      <c r="K762" s="118"/>
      <c r="L762" s="118"/>
      <c r="M762" s="118"/>
      <c r="N762" s="118"/>
      <c r="O762" s="121">
        <v>24513</v>
      </c>
      <c r="P762" s="120">
        <f>O762</f>
        <v>24513</v>
      </c>
      <c r="Q762" s="60"/>
      <c r="R762" s="60"/>
      <c r="S762" s="60"/>
      <c r="T762" s="146"/>
      <c r="U762" s="122"/>
      <c r="W762" s="1"/>
      <c r="X762" s="1"/>
      <c r="Y762" s="1"/>
    </row>
    <row r="763" spans="7:25">
      <c r="G763" s="62" t="s">
        <v>185</v>
      </c>
      <c r="I763" s="48"/>
      <c r="J763" s="118"/>
      <c r="K763" s="118"/>
      <c r="L763" s="118"/>
      <c r="M763" s="118"/>
      <c r="N763" s="118"/>
      <c r="O763" s="120"/>
      <c r="P763" s="121"/>
      <c r="Q763" s="60"/>
      <c r="R763" s="60"/>
      <c r="S763" s="60"/>
      <c r="T763" s="146"/>
      <c r="U763" s="122"/>
      <c r="W763" s="1"/>
      <c r="X763" s="1"/>
      <c r="Y763" s="1"/>
    </row>
    <row r="764" spans="7:25">
      <c r="G764" s="62" t="s">
        <v>186</v>
      </c>
      <c r="I764" s="48"/>
      <c r="J764" s="118"/>
      <c r="K764" s="118"/>
      <c r="L764" s="118"/>
      <c r="M764" s="118"/>
      <c r="N764" s="118"/>
      <c r="O764" s="118"/>
      <c r="P764" s="121">
        <v>0</v>
      </c>
      <c r="Q764" s="56">
        <f>P764</f>
        <v>0</v>
      </c>
      <c r="R764" s="60"/>
      <c r="S764" s="60"/>
      <c r="T764" s="146"/>
      <c r="U764" s="122"/>
      <c r="W764" s="1"/>
      <c r="X764" s="1"/>
      <c r="Y764" s="1"/>
    </row>
    <row r="765" spans="7:25">
      <c r="G765" s="62" t="s">
        <v>187</v>
      </c>
      <c r="I765" s="48"/>
      <c r="J765" s="118"/>
      <c r="K765" s="118"/>
      <c r="L765" s="118"/>
      <c r="M765" s="118"/>
      <c r="N765" s="118"/>
      <c r="O765" s="118"/>
      <c r="P765" s="120"/>
      <c r="Q765" s="306"/>
      <c r="R765" s="60"/>
      <c r="S765" s="60"/>
      <c r="T765" s="146"/>
      <c r="U765" s="122"/>
      <c r="W765" s="1"/>
      <c r="X765" s="1"/>
      <c r="Y765" s="1"/>
    </row>
    <row r="766" spans="7:25">
      <c r="G766" s="62" t="s">
        <v>188</v>
      </c>
      <c r="I766" s="48"/>
      <c r="J766" s="118"/>
      <c r="K766" s="118"/>
      <c r="L766" s="118"/>
      <c r="M766" s="118"/>
      <c r="N766" s="118"/>
      <c r="O766" s="118"/>
      <c r="P766" s="118"/>
      <c r="Q766" s="121"/>
      <c r="R766" s="151">
        <f>P766</f>
        <v>0</v>
      </c>
      <c r="S766" s="60"/>
      <c r="T766" s="146"/>
      <c r="U766" s="122"/>
      <c r="W766" s="1"/>
      <c r="X766" s="1"/>
      <c r="Y766" s="1"/>
    </row>
    <row r="767" spans="7:25">
      <c r="G767" s="62" t="s">
        <v>189</v>
      </c>
      <c r="I767" s="48"/>
      <c r="J767" s="118"/>
      <c r="K767" s="118"/>
      <c r="L767" s="118"/>
      <c r="M767" s="118"/>
      <c r="N767" s="118"/>
      <c r="O767" s="118"/>
      <c r="P767" s="118"/>
      <c r="Q767" s="151"/>
      <c r="R767" s="173"/>
      <c r="S767" s="60"/>
      <c r="T767" s="146"/>
      <c r="U767" s="122"/>
      <c r="W767" s="1"/>
      <c r="X767" s="1"/>
      <c r="Y767" s="1"/>
    </row>
    <row r="768" spans="7:25">
      <c r="G768" s="62" t="s">
        <v>190</v>
      </c>
      <c r="I768" s="48"/>
      <c r="J768" s="118"/>
      <c r="K768" s="118"/>
      <c r="L768" s="118"/>
      <c r="M768" s="118"/>
      <c r="N768" s="118"/>
      <c r="O768" s="118"/>
      <c r="P768" s="118"/>
      <c r="Q768" s="118"/>
      <c r="R768" s="173"/>
      <c r="S768" s="151">
        <f>R768</f>
        <v>0</v>
      </c>
      <c r="T768" s="146"/>
      <c r="U768" s="122"/>
      <c r="W768" s="1"/>
      <c r="X768" s="1"/>
      <c r="Y768" s="1"/>
    </row>
    <row r="769" spans="2:25">
      <c r="G769" s="62" t="s">
        <v>199</v>
      </c>
      <c r="I769" s="48"/>
      <c r="J769" s="118"/>
      <c r="K769" s="118"/>
      <c r="L769" s="118"/>
      <c r="M769" s="118"/>
      <c r="N769" s="118"/>
      <c r="O769" s="118"/>
      <c r="P769" s="118"/>
      <c r="Q769" s="118"/>
      <c r="R769" s="120"/>
      <c r="S769" s="173">
        <v>0</v>
      </c>
      <c r="T769" s="146"/>
      <c r="U769" s="122"/>
      <c r="W769" s="1"/>
      <c r="X769" s="1"/>
      <c r="Y769" s="1"/>
    </row>
    <row r="770" spans="2:25">
      <c r="G770" s="62" t="s">
        <v>200</v>
      </c>
      <c r="I770" s="48"/>
      <c r="J770" s="118"/>
      <c r="K770" s="118"/>
      <c r="L770" s="118"/>
      <c r="M770" s="118"/>
      <c r="N770" s="118"/>
      <c r="O770" s="118"/>
      <c r="P770" s="118"/>
      <c r="Q770" s="118"/>
      <c r="R770" s="118"/>
      <c r="S770" s="173">
        <v>0</v>
      </c>
      <c r="T770" s="151">
        <f>S770</f>
        <v>0</v>
      </c>
      <c r="U770" s="122"/>
      <c r="W770" s="1"/>
      <c r="X770" s="1"/>
      <c r="Y770" s="1"/>
    </row>
    <row r="771" spans="2:25">
      <c r="G771" s="62" t="s">
        <v>308</v>
      </c>
      <c r="I771" s="48"/>
      <c r="J771" s="118"/>
      <c r="K771" s="118"/>
      <c r="L771" s="118"/>
      <c r="M771" s="118"/>
      <c r="N771" s="118"/>
      <c r="O771" s="118"/>
      <c r="P771" s="118"/>
      <c r="Q771" s="118"/>
      <c r="R771" s="118"/>
      <c r="S771" s="120">
        <f>T771</f>
        <v>0</v>
      </c>
      <c r="T771" s="173">
        <v>0</v>
      </c>
      <c r="U771" s="122"/>
      <c r="W771" s="1"/>
      <c r="X771" s="1"/>
      <c r="Y771" s="1"/>
    </row>
    <row r="772" spans="2:25">
      <c r="G772" s="62" t="s">
        <v>307</v>
      </c>
      <c r="I772" s="114"/>
      <c r="J772" s="107"/>
      <c r="K772" s="107"/>
      <c r="L772" s="107"/>
      <c r="M772" s="107"/>
      <c r="N772" s="107"/>
      <c r="O772" s="107"/>
      <c r="P772" s="107"/>
      <c r="Q772" s="107"/>
      <c r="R772" s="107"/>
      <c r="S772" s="107"/>
      <c r="T772" s="173">
        <v>0</v>
      </c>
      <c r="U772" s="456">
        <f>T772</f>
        <v>0</v>
      </c>
      <c r="W772" s="1"/>
      <c r="X772" s="1"/>
      <c r="Y772" s="1"/>
    </row>
    <row r="773" spans="2:25">
      <c r="G773" s="62" t="s">
        <v>318</v>
      </c>
      <c r="I773" s="114"/>
      <c r="J773" s="107"/>
      <c r="K773" s="107"/>
      <c r="L773" s="107"/>
      <c r="M773" s="107"/>
      <c r="N773" s="107"/>
      <c r="O773" s="107"/>
      <c r="P773" s="107"/>
      <c r="Q773" s="107"/>
      <c r="R773" s="107"/>
      <c r="S773" s="107"/>
      <c r="T773" s="120">
        <f>U773</f>
        <v>0</v>
      </c>
      <c r="U773" s="457">
        <v>0</v>
      </c>
      <c r="W773" s="1"/>
      <c r="X773" s="1"/>
      <c r="Y773" s="1"/>
    </row>
    <row r="774" spans="2:25">
      <c r="G774" s="62" t="s">
        <v>319</v>
      </c>
      <c r="I774" s="49"/>
      <c r="J774" s="194"/>
      <c r="K774" s="194"/>
      <c r="L774" s="194"/>
      <c r="M774" s="194"/>
      <c r="N774" s="194"/>
      <c r="O774" s="194"/>
      <c r="P774" s="194"/>
      <c r="Q774" s="194"/>
      <c r="R774" s="194"/>
      <c r="S774" s="194"/>
      <c r="T774" s="194"/>
      <c r="U774" s="458">
        <v>0</v>
      </c>
      <c r="W774" s="1"/>
      <c r="X774" s="1"/>
      <c r="Y774" s="1"/>
    </row>
    <row r="775" spans="2:25">
      <c r="B775" s="1" t="s">
        <v>156</v>
      </c>
      <c r="G775" s="26" t="s">
        <v>17</v>
      </c>
      <c r="I775" s="7">
        <f xml:space="preserve"> I756 - I755</f>
        <v>0</v>
      </c>
      <c r="J775" s="7">
        <f xml:space="preserve"> J755 + J758 - J757 - J756</f>
        <v>0</v>
      </c>
      <c r="K775" s="7">
        <v>0</v>
      </c>
      <c r="L775" s="7">
        <f>L754-L755-L756</f>
        <v>0</v>
      </c>
      <c r="M775" s="7">
        <f>M756-M757-M758</f>
        <v>-27359</v>
      </c>
      <c r="N775" s="7">
        <f>N758-N759-N760</f>
        <v>27359</v>
      </c>
      <c r="O775" s="7">
        <f>O760-O761-O762</f>
        <v>-24513</v>
      </c>
      <c r="P775" s="154">
        <f>P762-P763-P764</f>
        <v>24513</v>
      </c>
      <c r="Q775" s="154">
        <f>Q764-Q765-Q766</f>
        <v>0</v>
      </c>
      <c r="R775" s="154">
        <f>R769</f>
        <v>0</v>
      </c>
      <c r="S775" s="7">
        <f>S768-S769+S770-S771</f>
        <v>0</v>
      </c>
      <c r="T775" s="7">
        <f>T770-T771-T772+T773</f>
        <v>0</v>
      </c>
      <c r="U775" s="7">
        <f>U772-U773-U774</f>
        <v>0</v>
      </c>
      <c r="W775" s="1"/>
      <c r="X775" s="1"/>
      <c r="Y775" s="1"/>
    </row>
    <row r="776" spans="2:25">
      <c r="G776" s="6"/>
      <c r="I776" s="154"/>
      <c r="J776" s="154"/>
      <c r="K776" s="154"/>
      <c r="L776" s="154"/>
      <c r="M776" s="154"/>
      <c r="N776" s="154"/>
      <c r="O776" s="154"/>
      <c r="P776" s="154"/>
      <c r="Q776" s="154"/>
      <c r="R776" s="154"/>
      <c r="S776" s="154"/>
      <c r="T776" s="154"/>
      <c r="U776" s="154"/>
      <c r="W776" s="1"/>
      <c r="X776" s="1"/>
      <c r="Y776" s="1"/>
    </row>
    <row r="777" spans="2:25">
      <c r="G777" s="26" t="s">
        <v>12</v>
      </c>
      <c r="H777" s="57"/>
      <c r="I777" s="155"/>
      <c r="J777" s="156"/>
      <c r="K777" s="156"/>
      <c r="L777" s="156"/>
      <c r="M777" s="156"/>
      <c r="N777" s="156"/>
      <c r="O777" s="156"/>
      <c r="P777" s="156"/>
      <c r="Q777" s="156"/>
      <c r="R777" s="156"/>
      <c r="S777" s="156"/>
      <c r="T777" s="156"/>
      <c r="U777" s="267"/>
      <c r="W777" s="1"/>
      <c r="X777" s="1"/>
      <c r="Y777" s="1"/>
    </row>
    <row r="778" spans="2:25">
      <c r="G778" s="6"/>
      <c r="I778" s="154"/>
      <c r="J778" s="154"/>
      <c r="K778" s="154"/>
      <c r="L778" s="154"/>
      <c r="M778" s="154"/>
      <c r="N778" s="154"/>
      <c r="O778" s="154"/>
      <c r="P778" s="154"/>
      <c r="Q778" s="154"/>
      <c r="R778" s="154"/>
      <c r="S778" s="154"/>
      <c r="T778" s="154"/>
      <c r="U778" s="154"/>
      <c r="W778" s="1"/>
      <c r="X778" s="1"/>
      <c r="Y778" s="1"/>
    </row>
    <row r="779" spans="2:25" ht="18.75">
      <c r="C779" s="1" t="s">
        <v>156</v>
      </c>
      <c r="D779" s="1" t="s">
        <v>157</v>
      </c>
      <c r="E779" s="1" t="s">
        <v>107</v>
      </c>
      <c r="F779" s="9" t="s">
        <v>26</v>
      </c>
      <c r="H779" s="57"/>
      <c r="I779" s="157">
        <f t="shared" ref="I779:S779" si="356" xml:space="preserve"> I736 + I741 - I747 + I775 + I777</f>
        <v>0</v>
      </c>
      <c r="J779" s="158">
        <f t="shared" si="356"/>
        <v>0</v>
      </c>
      <c r="K779" s="158">
        <f t="shared" si="356"/>
        <v>0</v>
      </c>
      <c r="L779" s="158">
        <f t="shared" si="356"/>
        <v>0</v>
      </c>
      <c r="M779" s="158">
        <f t="shared" si="356"/>
        <v>0</v>
      </c>
      <c r="N779" s="158">
        <f t="shared" si="356"/>
        <v>59100</v>
      </c>
      <c r="O779" s="158">
        <f t="shared" si="356"/>
        <v>899</v>
      </c>
      <c r="P779" s="158">
        <f t="shared" si="356"/>
        <v>55648</v>
      </c>
      <c r="Q779" s="158">
        <f t="shared" si="356"/>
        <v>13999.872527158042</v>
      </c>
      <c r="R779" s="158">
        <f t="shared" si="356"/>
        <v>33884.41580086165</v>
      </c>
      <c r="S779" s="158">
        <f t="shared" si="356"/>
        <v>34671</v>
      </c>
      <c r="T779" s="158">
        <f t="shared" ref="T779:U779" si="357" xml:space="preserve"> T736 + T741 - T747 + T775 + T777</f>
        <v>36998</v>
      </c>
      <c r="U779" s="268">
        <f t="shared" si="357"/>
        <v>32344</v>
      </c>
      <c r="W779" s="1"/>
      <c r="X779" s="1"/>
      <c r="Y779" s="1"/>
    </row>
    <row r="780" spans="2:25">
      <c r="G780" s="6"/>
      <c r="I780" s="7"/>
      <c r="J780" s="7"/>
      <c r="K780" s="7"/>
      <c r="L780" s="23"/>
      <c r="M780" s="23"/>
      <c r="N780" s="23"/>
      <c r="O780" s="23"/>
      <c r="P780" s="23"/>
      <c r="Q780" s="23"/>
      <c r="R780" s="23"/>
      <c r="S780" s="23"/>
      <c r="T780" s="23"/>
      <c r="U780" s="23"/>
      <c r="W780" s="1"/>
      <c r="X780" s="1"/>
      <c r="Y780" s="1"/>
    </row>
    <row r="781" spans="2:25" ht="15.75" thickBot="1">
      <c r="W781" s="1"/>
      <c r="X781" s="1"/>
      <c r="Y781" s="1"/>
    </row>
    <row r="782" spans="2:25">
      <c r="F782" s="8"/>
      <c r="G782" s="8"/>
      <c r="H782" s="8"/>
      <c r="I782" s="8"/>
      <c r="J782" s="8"/>
      <c r="K782" s="8"/>
      <c r="L782" s="8"/>
      <c r="M782" s="8"/>
      <c r="N782" s="8"/>
      <c r="O782" s="8"/>
      <c r="P782" s="8"/>
      <c r="Q782" s="8"/>
      <c r="R782" s="8"/>
      <c r="S782" s="290"/>
      <c r="T782" s="8"/>
      <c r="U782" s="8"/>
      <c r="W782" s="1"/>
      <c r="X782" s="1"/>
      <c r="Y782" s="1"/>
    </row>
    <row r="783" spans="2:25" ht="15.75" thickBot="1">
      <c r="W783" s="1"/>
      <c r="X783" s="1"/>
      <c r="Y783" s="1"/>
    </row>
    <row r="784" spans="2:25" ht="21.75" thickBot="1">
      <c r="F784" s="13" t="s">
        <v>4</v>
      </c>
      <c r="G784" s="13"/>
      <c r="H784" s="185" t="s">
        <v>213</v>
      </c>
      <c r="I784" s="183"/>
      <c r="W784" s="1"/>
      <c r="X784" s="1"/>
      <c r="Y784" s="1"/>
    </row>
    <row r="785" spans="1:25">
      <c r="W785" s="1"/>
      <c r="X785" s="1"/>
      <c r="Y785" s="1"/>
    </row>
    <row r="786" spans="1:25" ht="18.75">
      <c r="F786" s="9" t="s">
        <v>21</v>
      </c>
      <c r="G786" s="9"/>
      <c r="I786" s="2">
        <f>'Facility Detail'!$G$3260</f>
        <v>2011</v>
      </c>
      <c r="J786" s="2">
        <f t="shared" ref="J786:R786" si="358">I786+1</f>
        <v>2012</v>
      </c>
      <c r="K786" s="2">
        <f t="shared" si="358"/>
        <v>2013</v>
      </c>
      <c r="L786" s="2">
        <f t="shared" si="358"/>
        <v>2014</v>
      </c>
      <c r="M786" s="2">
        <f t="shared" si="358"/>
        <v>2015</v>
      </c>
      <c r="N786" s="2">
        <f t="shared" si="358"/>
        <v>2016</v>
      </c>
      <c r="O786" s="2">
        <f t="shared" si="358"/>
        <v>2017</v>
      </c>
      <c r="P786" s="2">
        <f t="shared" si="358"/>
        <v>2018</v>
      </c>
      <c r="Q786" s="2">
        <f t="shared" si="358"/>
        <v>2019</v>
      </c>
      <c r="R786" s="2">
        <f t="shared" si="358"/>
        <v>2020</v>
      </c>
      <c r="S786" s="2">
        <f>R786+1</f>
        <v>2021</v>
      </c>
      <c r="T786" s="2">
        <f>S786+1</f>
        <v>2022</v>
      </c>
      <c r="U786" s="2">
        <f>T786+1</f>
        <v>2023</v>
      </c>
      <c r="W786" s="1"/>
      <c r="X786" s="1"/>
      <c r="Y786" s="1"/>
    </row>
    <row r="787" spans="1:25">
      <c r="G787" s="62" t="str">
        <f>"Total MWh Produced / Purchased from " &amp; H784</f>
        <v>Total MWh Produced / Purchased from Ekola Flats Wind</v>
      </c>
      <c r="H787" s="57"/>
      <c r="I787" s="3"/>
      <c r="J787" s="4"/>
      <c r="K787" s="4"/>
      <c r="L787" s="4"/>
      <c r="M787" s="4"/>
      <c r="N787" s="4"/>
      <c r="O787" s="4"/>
      <c r="P787" s="4"/>
      <c r="Q787" s="4"/>
      <c r="R787" s="4"/>
      <c r="S787" s="4">
        <v>736904</v>
      </c>
      <c r="T787" s="4">
        <v>805728</v>
      </c>
      <c r="U787" s="5">
        <v>805284</v>
      </c>
      <c r="W787" s="1"/>
      <c r="X787" s="1"/>
      <c r="Y787" s="1"/>
    </row>
    <row r="788" spans="1:25">
      <c r="G788" s="62" t="s">
        <v>25</v>
      </c>
      <c r="H788" s="57"/>
      <c r="I788" s="269"/>
      <c r="J788" s="41"/>
      <c r="K788" s="41"/>
      <c r="L788" s="41"/>
      <c r="M788" s="41"/>
      <c r="N788" s="41"/>
      <c r="O788" s="41"/>
      <c r="P788" s="41"/>
      <c r="Q788" s="41"/>
      <c r="R788" s="41"/>
      <c r="S788" s="41">
        <v>1</v>
      </c>
      <c r="T788" s="41">
        <v>1</v>
      </c>
      <c r="U788" s="42">
        <v>1</v>
      </c>
      <c r="W788" s="1"/>
      <c r="X788" s="1"/>
      <c r="Y788" s="1"/>
    </row>
    <row r="789" spans="1:25">
      <c r="G789" s="62" t="s">
        <v>20</v>
      </c>
      <c r="H789" s="57"/>
      <c r="I789" s="270"/>
      <c r="J789" s="36"/>
      <c r="K789" s="36"/>
      <c r="L789" s="36"/>
      <c r="M789" s="36"/>
      <c r="N789" s="36"/>
      <c r="O789" s="36"/>
      <c r="P789" s="36"/>
      <c r="Q789" s="36"/>
      <c r="R789" s="36"/>
      <c r="S789" s="36">
        <f>S2</f>
        <v>7.9696892166366717E-2</v>
      </c>
      <c r="T789" s="36">
        <f>T2</f>
        <v>7.8737918965874246E-2</v>
      </c>
      <c r="U789" s="36">
        <f>U2</f>
        <v>7.8407467372863096E-2</v>
      </c>
      <c r="W789" s="1"/>
      <c r="X789" s="1"/>
      <c r="Y789" s="1"/>
    </row>
    <row r="790" spans="1:25">
      <c r="A790" s="1" t="s">
        <v>213</v>
      </c>
      <c r="G790" s="26" t="s">
        <v>22</v>
      </c>
      <c r="H790" s="6"/>
      <c r="I790" s="30">
        <f xml:space="preserve"> ROUND(I787 * I788 * I789,0)</f>
        <v>0</v>
      </c>
      <c r="J790" s="30">
        <f xml:space="preserve"> ROUND(J787 * J788 * J789,0)</f>
        <v>0</v>
      </c>
      <c r="K790" s="30">
        <f xml:space="preserve"> ROUND(K787 * K788 * K789,0)</f>
        <v>0</v>
      </c>
      <c r="L790" s="30">
        <f xml:space="preserve"> ROUND(L787 * L788 * L789,0)</f>
        <v>0</v>
      </c>
      <c r="M790" s="30">
        <f t="shared" ref="M790:P790" si="359">M787*M789</f>
        <v>0</v>
      </c>
      <c r="N790" s="161">
        <f t="shared" si="359"/>
        <v>0</v>
      </c>
      <c r="O790" s="161">
        <f t="shared" si="359"/>
        <v>0</v>
      </c>
      <c r="P790" s="161">
        <f t="shared" si="359"/>
        <v>0</v>
      </c>
      <c r="Q790" s="161">
        <f>Q787*Q789</f>
        <v>0</v>
      </c>
      <c r="R790" s="161">
        <f>R787*R789</f>
        <v>0</v>
      </c>
      <c r="S790" s="161">
        <f>ROUND(S787*S789,0)</f>
        <v>58729</v>
      </c>
      <c r="T790" s="161">
        <f t="shared" ref="T790:U790" si="360">ROUNDDOWN(T787*T789,0)</f>
        <v>63441</v>
      </c>
      <c r="U790" s="161">
        <f t="shared" si="360"/>
        <v>63140</v>
      </c>
      <c r="W790" s="1"/>
      <c r="X790" s="1"/>
      <c r="Y790" s="1"/>
    </row>
    <row r="791" spans="1:25">
      <c r="I791" s="29"/>
      <c r="J791" s="29"/>
      <c r="K791" s="29"/>
      <c r="L791" s="29"/>
      <c r="M791" s="29"/>
      <c r="N791" s="20"/>
      <c r="O791" s="20"/>
      <c r="P791" s="20"/>
      <c r="Q791" s="20"/>
      <c r="R791" s="20"/>
      <c r="S791" s="20"/>
      <c r="T791" s="20"/>
      <c r="U791" s="20"/>
      <c r="W791" s="1"/>
      <c r="X791" s="1"/>
      <c r="Y791" s="1"/>
    </row>
    <row r="792" spans="1:25" ht="18.75">
      <c r="F792" s="9" t="s">
        <v>118</v>
      </c>
      <c r="I792" s="2">
        <f>'Facility Detail'!$G$3260</f>
        <v>2011</v>
      </c>
      <c r="J792" s="2">
        <f t="shared" ref="J792:R792" si="361">I792+1</f>
        <v>2012</v>
      </c>
      <c r="K792" s="2">
        <f t="shared" si="361"/>
        <v>2013</v>
      </c>
      <c r="L792" s="2">
        <f t="shared" si="361"/>
        <v>2014</v>
      </c>
      <c r="M792" s="2">
        <f t="shared" si="361"/>
        <v>2015</v>
      </c>
      <c r="N792" s="2">
        <f t="shared" si="361"/>
        <v>2016</v>
      </c>
      <c r="O792" s="2">
        <f t="shared" si="361"/>
        <v>2017</v>
      </c>
      <c r="P792" s="2">
        <f t="shared" si="361"/>
        <v>2018</v>
      </c>
      <c r="Q792" s="2">
        <f t="shared" si="361"/>
        <v>2019</v>
      </c>
      <c r="R792" s="2">
        <f t="shared" si="361"/>
        <v>2020</v>
      </c>
      <c r="S792" s="2">
        <f>R792+1</f>
        <v>2021</v>
      </c>
      <c r="T792" s="2">
        <f>S792+1</f>
        <v>2022</v>
      </c>
      <c r="U792" s="2">
        <f>T792+1</f>
        <v>2023</v>
      </c>
      <c r="W792" s="1"/>
      <c r="X792" s="1"/>
      <c r="Y792" s="1"/>
    </row>
    <row r="793" spans="1:25">
      <c r="G793" s="62" t="s">
        <v>10</v>
      </c>
      <c r="H793" s="57"/>
      <c r="I793" s="38">
        <f>IF($J20 = "Eligible", I790 * 'Facility Detail'!$G$3257, 0 )</f>
        <v>0</v>
      </c>
      <c r="J793" s="11">
        <f>IF($J20 = "Eligible", J790 * 'Facility Detail'!$G$3257, 0 )</f>
        <v>0</v>
      </c>
      <c r="K793" s="11">
        <f>IF($J20 = "Eligible", K790 * 'Facility Detail'!$G$3257, 0 )</f>
        <v>0</v>
      </c>
      <c r="L793" s="11">
        <f>IF($J20 = "Eligible", L790 * 'Facility Detail'!$G$3257, 0 )</f>
        <v>0</v>
      </c>
      <c r="M793" s="11">
        <f>IF($J20 = "Eligible", M790 * 'Facility Detail'!$G$3257, 0 )</f>
        <v>0</v>
      </c>
      <c r="N793" s="11">
        <f>IF($J20 = "Eligible", N790 * 'Facility Detail'!$G$3257, 0 )</f>
        <v>0</v>
      </c>
      <c r="O793" s="11">
        <f>IF($J20 = "Eligible", O790 * 'Facility Detail'!$G$3257, 0 )</f>
        <v>0</v>
      </c>
      <c r="P793" s="11">
        <f>IF($J20 = "Eligible", P790 * 'Facility Detail'!$G$3257, 0 )</f>
        <v>0</v>
      </c>
      <c r="Q793" s="11">
        <f>IF($J20 = "Eligible", Q790 * 'Facility Detail'!$G$3257, 0 )</f>
        <v>0</v>
      </c>
      <c r="R793" s="11">
        <f>IF($J20 = "Eligible", R790 * 'Facility Detail'!$G$3257, 0 )</f>
        <v>0</v>
      </c>
      <c r="S793" s="11">
        <f>IF($J20 = "Eligible", S790 * 'Facility Detail'!$G$3257, 0 )</f>
        <v>0</v>
      </c>
      <c r="T793" s="11">
        <f>IF($J20 = "Eligible", T790 * 'Facility Detail'!$G$3257, 0 )</f>
        <v>0</v>
      </c>
      <c r="U793" s="223">
        <f>IF($J20 = "Eligible", U790 * 'Facility Detail'!$G$3257, 0 )</f>
        <v>0</v>
      </c>
      <c r="W793" s="1"/>
      <c r="X793" s="1"/>
      <c r="Y793" s="1"/>
    </row>
    <row r="794" spans="1:25">
      <c r="G794" s="62" t="s">
        <v>6</v>
      </c>
      <c r="H794" s="57"/>
      <c r="I794" s="39">
        <f t="shared" ref="I794:U794" si="362">IF($K20= "Eligible", I790, 0 )</f>
        <v>0</v>
      </c>
      <c r="J794" s="193">
        <f t="shared" si="362"/>
        <v>0</v>
      </c>
      <c r="K794" s="193">
        <f t="shared" si="362"/>
        <v>0</v>
      </c>
      <c r="L794" s="193">
        <f t="shared" si="362"/>
        <v>0</v>
      </c>
      <c r="M794" s="193">
        <f t="shared" si="362"/>
        <v>0</v>
      </c>
      <c r="N794" s="193">
        <f t="shared" si="362"/>
        <v>0</v>
      </c>
      <c r="O794" s="193">
        <f t="shared" si="362"/>
        <v>0</v>
      </c>
      <c r="P794" s="193">
        <f t="shared" si="362"/>
        <v>0</v>
      </c>
      <c r="Q794" s="193">
        <f t="shared" si="362"/>
        <v>0</v>
      </c>
      <c r="R794" s="193">
        <f t="shared" si="362"/>
        <v>0</v>
      </c>
      <c r="S794" s="193">
        <f t="shared" si="362"/>
        <v>0</v>
      </c>
      <c r="T794" s="193">
        <f t="shared" si="362"/>
        <v>0</v>
      </c>
      <c r="U794" s="224">
        <f t="shared" si="362"/>
        <v>0</v>
      </c>
      <c r="W794" s="1"/>
      <c r="X794" s="1"/>
      <c r="Y794" s="1"/>
    </row>
    <row r="795" spans="1:25">
      <c r="G795" s="26" t="s">
        <v>120</v>
      </c>
      <c r="H795" s="6"/>
      <c r="I795" s="32">
        <f>SUM(I793:I794)</f>
        <v>0</v>
      </c>
      <c r="J795" s="33">
        <f t="shared" ref="J795:S795" si="363">SUM(J793:J794)</f>
        <v>0</v>
      </c>
      <c r="K795" s="33">
        <f t="shared" si="363"/>
        <v>0</v>
      </c>
      <c r="L795" s="33">
        <f t="shared" si="363"/>
        <v>0</v>
      </c>
      <c r="M795" s="33">
        <f t="shared" si="363"/>
        <v>0</v>
      </c>
      <c r="N795" s="33">
        <f t="shared" si="363"/>
        <v>0</v>
      </c>
      <c r="O795" s="33">
        <f t="shared" si="363"/>
        <v>0</v>
      </c>
      <c r="P795" s="33">
        <f t="shared" si="363"/>
        <v>0</v>
      </c>
      <c r="Q795" s="33">
        <f t="shared" si="363"/>
        <v>0</v>
      </c>
      <c r="R795" s="33">
        <f t="shared" si="363"/>
        <v>0</v>
      </c>
      <c r="S795" s="33">
        <f t="shared" si="363"/>
        <v>0</v>
      </c>
      <c r="T795" s="33">
        <f t="shared" ref="T795:U795" si="364">SUM(T793:T794)</f>
        <v>0</v>
      </c>
      <c r="U795" s="33">
        <f t="shared" si="364"/>
        <v>0</v>
      </c>
      <c r="W795" s="1"/>
      <c r="X795" s="1"/>
      <c r="Y795" s="1"/>
    </row>
    <row r="796" spans="1:25">
      <c r="I796" s="31"/>
      <c r="J796" s="24"/>
      <c r="K796" s="24"/>
      <c r="L796" s="24"/>
      <c r="M796" s="24"/>
      <c r="N796" s="24"/>
      <c r="O796" s="24"/>
      <c r="P796" s="24"/>
      <c r="Q796" s="24"/>
      <c r="R796" s="24"/>
      <c r="S796" s="24"/>
      <c r="T796" s="24"/>
      <c r="U796" s="24"/>
      <c r="W796" s="1"/>
      <c r="X796" s="1"/>
      <c r="Y796" s="1"/>
    </row>
    <row r="797" spans="1:25" ht="18.75">
      <c r="F797" s="9" t="s">
        <v>30</v>
      </c>
      <c r="I797" s="2">
        <f>'Facility Detail'!$G$3260</f>
        <v>2011</v>
      </c>
      <c r="J797" s="2">
        <f t="shared" ref="J797:R797" si="365">I797+1</f>
        <v>2012</v>
      </c>
      <c r="K797" s="2">
        <f t="shared" si="365"/>
        <v>2013</v>
      </c>
      <c r="L797" s="2">
        <f t="shared" si="365"/>
        <v>2014</v>
      </c>
      <c r="M797" s="2">
        <f t="shared" si="365"/>
        <v>2015</v>
      </c>
      <c r="N797" s="2">
        <f t="shared" si="365"/>
        <v>2016</v>
      </c>
      <c r="O797" s="2">
        <f t="shared" si="365"/>
        <v>2017</v>
      </c>
      <c r="P797" s="2">
        <f t="shared" si="365"/>
        <v>2018</v>
      </c>
      <c r="Q797" s="2">
        <f t="shared" si="365"/>
        <v>2019</v>
      </c>
      <c r="R797" s="2">
        <f t="shared" si="365"/>
        <v>2020</v>
      </c>
      <c r="S797" s="2">
        <f>R797+1</f>
        <v>2021</v>
      </c>
      <c r="T797" s="2">
        <f>S797+1</f>
        <v>2022</v>
      </c>
      <c r="U797" s="2">
        <f>T797+1</f>
        <v>2023</v>
      </c>
      <c r="W797" s="1"/>
      <c r="X797" s="1"/>
      <c r="Y797" s="1"/>
    </row>
    <row r="798" spans="1:25">
      <c r="G798" s="62" t="s">
        <v>47</v>
      </c>
      <c r="H798" s="57"/>
      <c r="I798" s="71"/>
      <c r="J798" s="72"/>
      <c r="K798" s="72"/>
      <c r="L798" s="72"/>
      <c r="M798" s="72"/>
      <c r="N798" s="72"/>
      <c r="O798" s="72"/>
      <c r="P798" s="72"/>
      <c r="Q798" s="72"/>
      <c r="R798" s="72"/>
      <c r="S798" s="72"/>
      <c r="T798" s="72"/>
      <c r="U798" s="73"/>
      <c r="W798" s="1"/>
      <c r="X798" s="1"/>
      <c r="Y798" s="1"/>
    </row>
    <row r="799" spans="1:25">
      <c r="G799" s="63" t="s">
        <v>23</v>
      </c>
      <c r="H799" s="135"/>
      <c r="I799" s="74"/>
      <c r="J799" s="75"/>
      <c r="K799" s="75"/>
      <c r="L799" s="75"/>
      <c r="M799" s="75"/>
      <c r="N799" s="75"/>
      <c r="O799" s="75"/>
      <c r="P799" s="75"/>
      <c r="Q799" s="75"/>
      <c r="R799" s="75"/>
      <c r="S799" s="75"/>
      <c r="T799" s="75"/>
      <c r="U799" s="76"/>
      <c r="W799" s="1"/>
      <c r="X799" s="1"/>
      <c r="Y799" s="1"/>
    </row>
    <row r="800" spans="1:25">
      <c r="G800" s="63" t="s">
        <v>89</v>
      </c>
      <c r="H800" s="134"/>
      <c r="I800" s="43"/>
      <c r="J800" s="44"/>
      <c r="K800" s="44"/>
      <c r="L800" s="44"/>
      <c r="M800" s="44"/>
      <c r="N800" s="44"/>
      <c r="O800" s="44"/>
      <c r="P800" s="44"/>
      <c r="Q800" s="44"/>
      <c r="R800" s="44"/>
      <c r="S800" s="44"/>
      <c r="T800" s="44"/>
      <c r="U800" s="45"/>
      <c r="W800" s="1"/>
      <c r="X800" s="1"/>
      <c r="Y800" s="1"/>
    </row>
    <row r="801" spans="6:25">
      <c r="G801" s="26" t="s">
        <v>90</v>
      </c>
      <c r="I801" s="7">
        <f t="shared" ref="I801:P801" si="366">SUM(I798:I800)</f>
        <v>0</v>
      </c>
      <c r="J801" s="7">
        <f t="shared" si="366"/>
        <v>0</v>
      </c>
      <c r="K801" s="7">
        <f t="shared" si="366"/>
        <v>0</v>
      </c>
      <c r="L801" s="7">
        <f t="shared" si="366"/>
        <v>0</v>
      </c>
      <c r="M801" s="7">
        <f t="shared" si="366"/>
        <v>0</v>
      </c>
      <c r="N801" s="7">
        <f t="shared" si="366"/>
        <v>0</v>
      </c>
      <c r="O801" s="7">
        <f t="shared" si="366"/>
        <v>0</v>
      </c>
      <c r="P801" s="7">
        <f t="shared" si="366"/>
        <v>0</v>
      </c>
      <c r="Q801" s="7"/>
      <c r="R801" s="7"/>
      <c r="S801" s="7"/>
      <c r="T801" s="7"/>
      <c r="U801" s="7"/>
      <c r="W801" s="1"/>
      <c r="X801" s="1"/>
      <c r="Y801" s="1"/>
    </row>
    <row r="802" spans="6:25">
      <c r="G802" s="6"/>
      <c r="I802" s="7"/>
      <c r="J802" s="7"/>
      <c r="K802" s="7"/>
      <c r="L802" s="23"/>
      <c r="M802" s="23"/>
      <c r="N802" s="23"/>
      <c r="O802" s="23"/>
      <c r="P802" s="23"/>
      <c r="Q802" s="23"/>
      <c r="R802" s="23"/>
      <c r="S802" s="23"/>
      <c r="T802" s="23"/>
      <c r="U802" s="23"/>
      <c r="W802" s="1"/>
      <c r="X802" s="1"/>
      <c r="Y802" s="1"/>
    </row>
    <row r="803" spans="6:25" ht="18.75">
      <c r="F803" s="9" t="s">
        <v>100</v>
      </c>
      <c r="I803" s="2">
        <f>'Facility Detail'!$G$3260</f>
        <v>2011</v>
      </c>
      <c r="J803" s="2">
        <f t="shared" ref="J803:R803" si="367">I803+1</f>
        <v>2012</v>
      </c>
      <c r="K803" s="2">
        <f t="shared" si="367"/>
        <v>2013</v>
      </c>
      <c r="L803" s="2">
        <f t="shared" si="367"/>
        <v>2014</v>
      </c>
      <c r="M803" s="2">
        <f t="shared" si="367"/>
        <v>2015</v>
      </c>
      <c r="N803" s="2">
        <f t="shared" si="367"/>
        <v>2016</v>
      </c>
      <c r="O803" s="2">
        <f t="shared" si="367"/>
        <v>2017</v>
      </c>
      <c r="P803" s="2">
        <f t="shared" si="367"/>
        <v>2018</v>
      </c>
      <c r="Q803" s="2">
        <f t="shared" si="367"/>
        <v>2019</v>
      </c>
      <c r="R803" s="2">
        <f t="shared" si="367"/>
        <v>2020</v>
      </c>
      <c r="S803" s="2">
        <f>R803+1</f>
        <v>2021</v>
      </c>
      <c r="T803" s="2">
        <f>S803+1</f>
        <v>2022</v>
      </c>
      <c r="U803" s="2">
        <f>T803+1</f>
        <v>2023</v>
      </c>
      <c r="W803" s="1"/>
      <c r="X803" s="1"/>
      <c r="Y803" s="1"/>
    </row>
    <row r="804" spans="6:25">
      <c r="G804" s="62" t="s">
        <v>68</v>
      </c>
      <c r="I804" s="3">
        <f>I790</f>
        <v>0</v>
      </c>
      <c r="J804" s="46">
        <f>I804</f>
        <v>0</v>
      </c>
      <c r="K804" s="106"/>
      <c r="L804" s="106"/>
      <c r="M804" s="106"/>
      <c r="N804" s="106"/>
      <c r="O804" s="106"/>
      <c r="P804" s="106"/>
      <c r="Q804" s="106"/>
      <c r="R804" s="106"/>
      <c r="S804" s="106"/>
      <c r="T804" s="217"/>
      <c r="U804" s="47"/>
      <c r="W804" s="1"/>
      <c r="X804" s="1"/>
      <c r="Y804" s="1"/>
    </row>
    <row r="805" spans="6:25">
      <c r="G805" s="62" t="s">
        <v>69</v>
      </c>
      <c r="I805" s="127">
        <f>J805</f>
        <v>0</v>
      </c>
      <c r="J805" s="10"/>
      <c r="K805" s="60"/>
      <c r="L805" s="60"/>
      <c r="M805" s="60"/>
      <c r="N805" s="60"/>
      <c r="O805" s="60"/>
      <c r="P805" s="60"/>
      <c r="Q805" s="60"/>
      <c r="R805" s="60"/>
      <c r="S805" s="60"/>
      <c r="T805" s="218"/>
      <c r="U805" s="128"/>
      <c r="W805" s="1"/>
      <c r="X805" s="1"/>
      <c r="Y805" s="1"/>
    </row>
    <row r="806" spans="6:25">
      <c r="G806" s="62" t="s">
        <v>70</v>
      </c>
      <c r="I806" s="48"/>
      <c r="J806" s="10">
        <f>J790</f>
        <v>0</v>
      </c>
      <c r="K806" s="56">
        <f>J806</f>
        <v>0</v>
      </c>
      <c r="L806" s="60"/>
      <c r="M806" s="60"/>
      <c r="N806" s="60"/>
      <c r="O806" s="60"/>
      <c r="P806" s="60"/>
      <c r="Q806" s="60"/>
      <c r="R806" s="60"/>
      <c r="S806" s="60"/>
      <c r="T806" s="218"/>
      <c r="U806" s="128"/>
      <c r="W806" s="1"/>
      <c r="X806" s="1"/>
      <c r="Y806" s="1"/>
    </row>
    <row r="807" spans="6:25">
      <c r="G807" s="62" t="s">
        <v>71</v>
      </c>
      <c r="I807" s="48"/>
      <c r="J807" s="56">
        <f>K807</f>
        <v>0</v>
      </c>
      <c r="K807" s="10"/>
      <c r="L807" s="60"/>
      <c r="M807" s="60"/>
      <c r="N807" s="60"/>
      <c r="O807" s="60"/>
      <c r="P807" s="60"/>
      <c r="Q807" s="60"/>
      <c r="R807" s="60"/>
      <c r="S807" s="60"/>
      <c r="T807" s="218"/>
      <c r="U807" s="128"/>
      <c r="W807" s="1"/>
      <c r="X807" s="1"/>
      <c r="Y807" s="1"/>
    </row>
    <row r="808" spans="6:25">
      <c r="G808" s="62" t="s">
        <v>170</v>
      </c>
      <c r="I808" s="48"/>
      <c r="J808" s="118"/>
      <c r="K808" s="10">
        <f>K790</f>
        <v>0</v>
      </c>
      <c r="L808" s="119">
        <f>K808</f>
        <v>0</v>
      </c>
      <c r="M808" s="60"/>
      <c r="N808" s="60"/>
      <c r="O808" s="60"/>
      <c r="P808" s="60"/>
      <c r="Q808" s="60"/>
      <c r="R808" s="60"/>
      <c r="S808" s="60"/>
      <c r="T808" s="146"/>
      <c r="U808" s="122"/>
      <c r="W808" s="1"/>
      <c r="X808" s="1"/>
      <c r="Y808" s="1"/>
    </row>
    <row r="809" spans="6:25">
      <c r="G809" s="62" t="s">
        <v>171</v>
      </c>
      <c r="I809" s="48"/>
      <c r="J809" s="118"/>
      <c r="K809" s="56">
        <f>L809</f>
        <v>0</v>
      </c>
      <c r="L809" s="10"/>
      <c r="M809" s="60"/>
      <c r="N809" s="60"/>
      <c r="O809" s="60" t="s">
        <v>169</v>
      </c>
      <c r="P809" s="60"/>
      <c r="Q809" s="60"/>
      <c r="R809" s="60"/>
      <c r="S809" s="60"/>
      <c r="T809" s="146"/>
      <c r="U809" s="122"/>
      <c r="W809" s="1"/>
      <c r="X809" s="1"/>
      <c r="Y809" s="1"/>
    </row>
    <row r="810" spans="6:25">
      <c r="G810" s="62" t="s">
        <v>172</v>
      </c>
      <c r="I810" s="48"/>
      <c r="J810" s="118"/>
      <c r="K810" s="118"/>
      <c r="L810" s="10"/>
      <c r="M810" s="119">
        <f>L810</f>
        <v>0</v>
      </c>
      <c r="N810" s="118"/>
      <c r="O810" s="60"/>
      <c r="P810" s="60"/>
      <c r="Q810" s="60"/>
      <c r="R810" s="60"/>
      <c r="S810" s="60"/>
      <c r="T810" s="146"/>
      <c r="U810" s="122"/>
      <c r="W810" s="1"/>
      <c r="X810" s="1"/>
      <c r="Y810" s="1"/>
    </row>
    <row r="811" spans="6:25">
      <c r="G811" s="62" t="s">
        <v>173</v>
      </c>
      <c r="I811" s="48"/>
      <c r="J811" s="118"/>
      <c r="K811" s="118"/>
      <c r="L811" s="56"/>
      <c r="M811" s="10"/>
      <c r="N811" s="118"/>
      <c r="O811" s="60"/>
      <c r="P811" s="60"/>
      <c r="Q811" s="60"/>
      <c r="R811" s="60"/>
      <c r="S811" s="60"/>
      <c r="T811" s="146"/>
      <c r="U811" s="122"/>
      <c r="W811" s="1"/>
      <c r="X811" s="1"/>
      <c r="Y811" s="1"/>
    </row>
    <row r="812" spans="6:25">
      <c r="G812" s="62" t="s">
        <v>174</v>
      </c>
      <c r="I812" s="48"/>
      <c r="J812" s="118"/>
      <c r="K812" s="118"/>
      <c r="L812" s="118"/>
      <c r="M812" s="10">
        <f>M790</f>
        <v>0</v>
      </c>
      <c r="N812" s="119">
        <f>M812</f>
        <v>0</v>
      </c>
      <c r="O812" s="60"/>
      <c r="P812" s="60"/>
      <c r="Q812" s="60"/>
      <c r="R812" s="60"/>
      <c r="S812" s="60"/>
      <c r="T812" s="146"/>
      <c r="U812" s="122"/>
      <c r="W812" s="1"/>
      <c r="X812" s="1"/>
      <c r="Y812" s="1"/>
    </row>
    <row r="813" spans="6:25">
      <c r="G813" s="62" t="s">
        <v>175</v>
      </c>
      <c r="I813" s="48"/>
      <c r="J813" s="118"/>
      <c r="K813" s="118"/>
      <c r="L813" s="118"/>
      <c r="M813" s="56"/>
      <c r="N813" s="10"/>
      <c r="O813" s="60"/>
      <c r="P813" s="60"/>
      <c r="Q813" s="60"/>
      <c r="R813" s="60"/>
      <c r="S813" s="60"/>
      <c r="T813" s="146"/>
      <c r="U813" s="122"/>
      <c r="W813" s="1"/>
      <c r="X813" s="1"/>
      <c r="Y813" s="1"/>
    </row>
    <row r="814" spans="6:25">
      <c r="G814" s="62" t="s">
        <v>176</v>
      </c>
      <c r="I814" s="48"/>
      <c r="J814" s="118"/>
      <c r="K814" s="118"/>
      <c r="L814" s="118"/>
      <c r="M814" s="118"/>
      <c r="N814" s="149">
        <v>0</v>
      </c>
      <c r="O814" s="120">
        <f>N814</f>
        <v>0</v>
      </c>
      <c r="P814" s="60"/>
      <c r="Q814" s="60"/>
      <c r="R814" s="60"/>
      <c r="S814" s="60"/>
      <c r="T814" s="146"/>
      <c r="U814" s="122"/>
      <c r="W814" s="1"/>
      <c r="X814" s="1"/>
      <c r="Y814" s="1"/>
    </row>
    <row r="815" spans="6:25">
      <c r="G815" s="62" t="s">
        <v>167</v>
      </c>
      <c r="I815" s="48"/>
      <c r="J815" s="118"/>
      <c r="K815" s="118"/>
      <c r="L815" s="118"/>
      <c r="M815" s="118"/>
      <c r="N815" s="150"/>
      <c r="O815" s="121"/>
      <c r="P815" s="60"/>
      <c r="Q815" s="60"/>
      <c r="R815" s="60"/>
      <c r="S815" s="60"/>
      <c r="T815" s="146"/>
      <c r="U815" s="122"/>
      <c r="W815" s="1"/>
      <c r="X815" s="1"/>
      <c r="Y815" s="1"/>
    </row>
    <row r="816" spans="6:25">
      <c r="G816" s="62" t="s">
        <v>168</v>
      </c>
      <c r="I816" s="48"/>
      <c r="J816" s="118"/>
      <c r="K816" s="118"/>
      <c r="L816" s="118"/>
      <c r="M816" s="118"/>
      <c r="N816" s="118"/>
      <c r="O816" s="121"/>
      <c r="P816" s="120">
        <f>O816</f>
        <v>0</v>
      </c>
      <c r="Q816" s="60"/>
      <c r="R816" s="60"/>
      <c r="S816" s="60"/>
      <c r="T816" s="146"/>
      <c r="U816" s="122"/>
      <c r="W816" s="1"/>
      <c r="X816" s="1"/>
      <c r="Y816" s="1"/>
    </row>
    <row r="817" spans="2:25">
      <c r="G817" s="62" t="s">
        <v>185</v>
      </c>
      <c r="I817" s="48"/>
      <c r="J817" s="118"/>
      <c r="K817" s="118"/>
      <c r="L817" s="118"/>
      <c r="M817" s="118"/>
      <c r="N817" s="118"/>
      <c r="O817" s="120"/>
      <c r="P817" s="121"/>
      <c r="Q817" s="60"/>
      <c r="R817" s="60"/>
      <c r="S817" s="60"/>
      <c r="T817" s="146"/>
      <c r="U817" s="122"/>
      <c r="W817" s="1"/>
      <c r="X817" s="1"/>
      <c r="Y817" s="1"/>
    </row>
    <row r="818" spans="2:25">
      <c r="G818" s="62" t="s">
        <v>186</v>
      </c>
      <c r="I818" s="48"/>
      <c r="J818" s="118"/>
      <c r="K818" s="118"/>
      <c r="L818" s="118"/>
      <c r="M818" s="118"/>
      <c r="N818" s="118"/>
      <c r="O818" s="118"/>
      <c r="P818" s="121">
        <v>0</v>
      </c>
      <c r="Q818" s="56">
        <f>P818</f>
        <v>0</v>
      </c>
      <c r="R818" s="60"/>
      <c r="S818" s="60"/>
      <c r="T818" s="146"/>
      <c r="U818" s="122"/>
      <c r="W818" s="1"/>
      <c r="X818" s="1"/>
      <c r="Y818" s="1"/>
    </row>
    <row r="819" spans="2:25">
      <c r="G819" s="62" t="s">
        <v>187</v>
      </c>
      <c r="I819" s="48"/>
      <c r="J819" s="118"/>
      <c r="K819" s="118"/>
      <c r="L819" s="118"/>
      <c r="M819" s="118"/>
      <c r="N819" s="118"/>
      <c r="O819" s="118"/>
      <c r="P819" s="120"/>
      <c r="Q819" s="306"/>
      <c r="R819" s="60"/>
      <c r="S819" s="60"/>
      <c r="T819" s="146"/>
      <c r="U819" s="122"/>
      <c r="W819" s="1"/>
      <c r="X819" s="1"/>
      <c r="Y819" s="1"/>
    </row>
    <row r="820" spans="2:25">
      <c r="G820" s="62" t="s">
        <v>188</v>
      </c>
      <c r="I820" s="48"/>
      <c r="J820" s="118"/>
      <c r="K820" s="118"/>
      <c r="L820" s="118"/>
      <c r="M820" s="118"/>
      <c r="N820" s="118"/>
      <c r="O820" s="118"/>
      <c r="P820" s="118"/>
      <c r="Q820" s="121"/>
      <c r="R820" s="151">
        <f>P820</f>
        <v>0</v>
      </c>
      <c r="S820" s="60"/>
      <c r="T820" s="146"/>
      <c r="U820" s="122"/>
      <c r="W820" s="1"/>
      <c r="X820" s="1"/>
      <c r="Y820" s="1"/>
    </row>
    <row r="821" spans="2:25">
      <c r="G821" s="62" t="s">
        <v>189</v>
      </c>
      <c r="I821" s="48"/>
      <c r="J821" s="118"/>
      <c r="K821" s="118"/>
      <c r="L821" s="118"/>
      <c r="M821" s="118"/>
      <c r="N821" s="118"/>
      <c r="O821" s="118"/>
      <c r="P821" s="118"/>
      <c r="Q821" s="151"/>
      <c r="R821" s="173"/>
      <c r="S821" s="60"/>
      <c r="T821" s="146"/>
      <c r="U821" s="122"/>
      <c r="W821" s="1"/>
      <c r="X821" s="1"/>
      <c r="Y821" s="1"/>
    </row>
    <row r="822" spans="2:25">
      <c r="G822" s="62" t="s">
        <v>190</v>
      </c>
      <c r="I822" s="48"/>
      <c r="J822" s="118"/>
      <c r="K822" s="118"/>
      <c r="L822" s="118"/>
      <c r="M822" s="118"/>
      <c r="N822" s="118"/>
      <c r="O822" s="118"/>
      <c r="P822" s="118"/>
      <c r="Q822" s="118"/>
      <c r="R822" s="173"/>
      <c r="S822" s="151">
        <f>R822</f>
        <v>0</v>
      </c>
      <c r="T822" s="146"/>
      <c r="U822" s="122"/>
      <c r="W822" s="1"/>
      <c r="X822" s="1"/>
      <c r="Y822" s="1"/>
    </row>
    <row r="823" spans="2:25">
      <c r="G823" s="62" t="s">
        <v>199</v>
      </c>
      <c r="I823" s="48"/>
      <c r="J823" s="118"/>
      <c r="K823" s="118"/>
      <c r="L823" s="118"/>
      <c r="M823" s="118"/>
      <c r="N823" s="118"/>
      <c r="O823" s="118"/>
      <c r="P823" s="118"/>
      <c r="Q823" s="118"/>
      <c r="R823" s="120"/>
      <c r="S823" s="173"/>
      <c r="T823" s="146"/>
      <c r="U823" s="122"/>
      <c r="W823" s="1"/>
      <c r="X823" s="1"/>
      <c r="Y823" s="1"/>
    </row>
    <row r="824" spans="2:25">
      <c r="G824" s="62" t="s">
        <v>200</v>
      </c>
      <c r="I824" s="48"/>
      <c r="J824" s="118"/>
      <c r="K824" s="118"/>
      <c r="L824" s="118"/>
      <c r="M824" s="118"/>
      <c r="N824" s="118"/>
      <c r="O824" s="118"/>
      <c r="P824" s="118"/>
      <c r="Q824" s="118"/>
      <c r="R824" s="118"/>
      <c r="S824" s="173">
        <v>15051</v>
      </c>
      <c r="T824" s="151">
        <f>S824</f>
        <v>15051</v>
      </c>
      <c r="U824" s="122"/>
      <c r="W824" s="1"/>
      <c r="X824" s="1"/>
      <c r="Y824" s="1"/>
    </row>
    <row r="825" spans="2:25">
      <c r="G825" s="62" t="s">
        <v>308</v>
      </c>
      <c r="I825" s="48"/>
      <c r="J825" s="118"/>
      <c r="K825" s="118"/>
      <c r="L825" s="118"/>
      <c r="M825" s="118"/>
      <c r="N825" s="118"/>
      <c r="O825" s="118"/>
      <c r="P825" s="118"/>
      <c r="Q825" s="118"/>
      <c r="R825" s="118"/>
      <c r="S825" s="120"/>
      <c r="T825" s="173"/>
      <c r="U825" s="122"/>
      <c r="W825" s="1"/>
      <c r="X825" s="1"/>
      <c r="Y825" s="1"/>
    </row>
    <row r="826" spans="2:25">
      <c r="G826" s="62" t="s">
        <v>307</v>
      </c>
      <c r="I826" s="114"/>
      <c r="J826" s="107"/>
      <c r="K826" s="107"/>
      <c r="L826" s="107"/>
      <c r="M826" s="107"/>
      <c r="N826" s="107"/>
      <c r="O826" s="107"/>
      <c r="P826" s="107"/>
      <c r="Q826" s="107"/>
      <c r="R826" s="107"/>
      <c r="S826" s="107"/>
      <c r="T826" s="173"/>
      <c r="U826" s="456">
        <f>T826</f>
        <v>0</v>
      </c>
      <c r="W826" s="1"/>
      <c r="X826" s="1"/>
      <c r="Y826" s="1"/>
    </row>
    <row r="827" spans="2:25">
      <c r="G827" s="62" t="s">
        <v>318</v>
      </c>
      <c r="I827" s="114"/>
      <c r="J827" s="107"/>
      <c r="K827" s="107"/>
      <c r="L827" s="107"/>
      <c r="M827" s="107"/>
      <c r="N827" s="107"/>
      <c r="O827" s="107"/>
      <c r="P827" s="107"/>
      <c r="Q827" s="107"/>
      <c r="R827" s="107"/>
      <c r="S827" s="107"/>
      <c r="T827" s="120"/>
      <c r="U827" s="457"/>
      <c r="W827" s="1"/>
      <c r="X827" s="1"/>
      <c r="Y827" s="1"/>
    </row>
    <row r="828" spans="2:25">
      <c r="G828" s="62" t="s">
        <v>319</v>
      </c>
      <c r="I828" s="49"/>
      <c r="J828" s="194"/>
      <c r="K828" s="194"/>
      <c r="L828" s="194"/>
      <c r="M828" s="194"/>
      <c r="N828" s="194"/>
      <c r="O828" s="194"/>
      <c r="P828" s="194"/>
      <c r="Q828" s="194"/>
      <c r="R828" s="194"/>
      <c r="S828" s="194"/>
      <c r="T828" s="194"/>
      <c r="U828" s="458"/>
      <c r="W828" s="1"/>
      <c r="X828" s="1"/>
      <c r="Y828" s="1"/>
    </row>
    <row r="829" spans="2:25">
      <c r="B829" s="1" t="s">
        <v>213</v>
      </c>
      <c r="G829" s="26" t="s">
        <v>17</v>
      </c>
      <c r="I829" s="7">
        <f xml:space="preserve"> I810 - I809</f>
        <v>0</v>
      </c>
      <c r="J829" s="7">
        <f xml:space="preserve"> J809 + J812 - J811 - J810</f>
        <v>0</v>
      </c>
      <c r="K829" s="7">
        <v>0</v>
      </c>
      <c r="L829" s="7">
        <f>L808-L809-L810</f>
        <v>0</v>
      </c>
      <c r="M829" s="7">
        <f>M810-M811-M812</f>
        <v>0</v>
      </c>
      <c r="N829" s="7">
        <f>N812-N813-N814</f>
        <v>0</v>
      </c>
      <c r="O829" s="7">
        <f>O814-O815-O816</f>
        <v>0</v>
      </c>
      <c r="P829" s="154">
        <f>P816-P817-P818</f>
        <v>0</v>
      </c>
      <c r="Q829" s="154">
        <f>Q818-Q819-Q820</f>
        <v>0</v>
      </c>
      <c r="R829" s="154">
        <f>R823</f>
        <v>0</v>
      </c>
      <c r="S829" s="7">
        <f>S822-S823-S824</f>
        <v>-15051</v>
      </c>
      <c r="T829" s="7">
        <f>T824-T825-T826</f>
        <v>15051</v>
      </c>
      <c r="U829" s="7">
        <f>U826-U827-U828</f>
        <v>0</v>
      </c>
      <c r="W829" s="1"/>
      <c r="X829" s="1"/>
      <c r="Y829" s="1"/>
    </row>
    <row r="830" spans="2:25">
      <c r="G830" s="6"/>
      <c r="I830" s="154"/>
      <c r="J830" s="154"/>
      <c r="K830" s="154"/>
      <c r="L830" s="154"/>
      <c r="M830" s="154"/>
      <c r="N830" s="154"/>
      <c r="O830" s="154"/>
      <c r="P830" s="154"/>
      <c r="Q830" s="154"/>
      <c r="R830" s="154"/>
      <c r="S830" s="154"/>
      <c r="T830" s="154"/>
      <c r="U830" s="154"/>
      <c r="W830" s="1"/>
      <c r="X830" s="1"/>
      <c r="Y830" s="1"/>
    </row>
    <row r="831" spans="2:25">
      <c r="G831" s="26" t="s">
        <v>12</v>
      </c>
      <c r="H831" s="57"/>
      <c r="I831" s="155"/>
      <c r="J831" s="156"/>
      <c r="K831" s="156"/>
      <c r="L831" s="156"/>
      <c r="M831" s="156"/>
      <c r="N831" s="156"/>
      <c r="O831" s="156"/>
      <c r="P831" s="156"/>
      <c r="Q831" s="156"/>
      <c r="R831" s="156"/>
      <c r="S831" s="156"/>
      <c r="T831" s="156"/>
      <c r="U831" s="267"/>
      <c r="W831" s="1"/>
      <c r="X831" s="1"/>
      <c r="Y831" s="1"/>
    </row>
    <row r="832" spans="2:25">
      <c r="G832" s="6"/>
      <c r="I832" s="154"/>
      <c r="J832" s="154"/>
      <c r="K832" s="154"/>
      <c r="L832" s="154"/>
      <c r="M832" s="154"/>
      <c r="N832" s="154"/>
      <c r="O832" s="154"/>
      <c r="P832" s="154"/>
      <c r="Q832" s="154"/>
      <c r="R832" s="154"/>
      <c r="S832" s="154"/>
      <c r="T832" s="154"/>
      <c r="U832" s="154"/>
      <c r="W832" s="1"/>
      <c r="X832" s="1"/>
      <c r="Y832" s="1"/>
    </row>
    <row r="833" spans="1:25" ht="18.75">
      <c r="C833" s="1" t="s">
        <v>213</v>
      </c>
      <c r="D833" s="1" t="s">
        <v>305</v>
      </c>
      <c r="E833" s="1" t="s">
        <v>107</v>
      </c>
      <c r="F833" s="9" t="s">
        <v>26</v>
      </c>
      <c r="H833" s="57"/>
      <c r="I833" s="157">
        <f t="shared" ref="I833:S833" si="368" xml:space="preserve"> I790 + I795 - I801 + I829 + I831</f>
        <v>0</v>
      </c>
      <c r="J833" s="158">
        <f t="shared" si="368"/>
        <v>0</v>
      </c>
      <c r="K833" s="158">
        <f t="shared" si="368"/>
        <v>0</v>
      </c>
      <c r="L833" s="158">
        <f t="shared" si="368"/>
        <v>0</v>
      </c>
      <c r="M833" s="158">
        <f t="shared" si="368"/>
        <v>0</v>
      </c>
      <c r="N833" s="158">
        <f t="shared" si="368"/>
        <v>0</v>
      </c>
      <c r="O833" s="158">
        <f t="shared" si="368"/>
        <v>0</v>
      </c>
      <c r="P833" s="158">
        <f t="shared" si="368"/>
        <v>0</v>
      </c>
      <c r="Q833" s="158">
        <f t="shared" si="368"/>
        <v>0</v>
      </c>
      <c r="R833" s="158">
        <f t="shared" si="368"/>
        <v>0</v>
      </c>
      <c r="S833" s="158">
        <f t="shared" si="368"/>
        <v>43678</v>
      </c>
      <c r="T833" s="158">
        <f t="shared" ref="T833:U833" si="369" xml:space="preserve"> T790 + T795 - T801 + T829 + T831</f>
        <v>78492</v>
      </c>
      <c r="U833" s="268">
        <f t="shared" si="369"/>
        <v>63140</v>
      </c>
      <c r="W833" s="1"/>
      <c r="X833" s="1"/>
      <c r="Y833" s="1"/>
    </row>
    <row r="834" spans="1:25">
      <c r="G834" s="6"/>
      <c r="I834" s="7"/>
      <c r="J834" s="7"/>
      <c r="K834" s="7"/>
      <c r="L834" s="23"/>
      <c r="M834" s="23"/>
      <c r="N834" s="23"/>
      <c r="O834" s="23"/>
      <c r="P834" s="23"/>
      <c r="Q834" s="23"/>
      <c r="R834" s="23"/>
      <c r="S834" s="23"/>
      <c r="T834" s="23"/>
      <c r="U834" s="23"/>
      <c r="W834" s="1"/>
      <c r="X834" s="1"/>
      <c r="Y834" s="1"/>
    </row>
    <row r="835" spans="1:25" ht="15.75" thickBot="1">
      <c r="S835" s="1"/>
      <c r="W835" s="1"/>
      <c r="X835" s="1"/>
      <c r="Y835" s="1"/>
    </row>
    <row r="836" spans="1:25" ht="15.75" thickBot="1">
      <c r="F836" s="8"/>
      <c r="G836" s="8"/>
      <c r="H836" s="8"/>
      <c r="I836" s="8"/>
      <c r="J836" s="8"/>
      <c r="K836" s="8"/>
      <c r="L836" s="8"/>
      <c r="M836" s="8"/>
      <c r="N836" s="8"/>
      <c r="O836" s="8"/>
      <c r="P836" s="8"/>
      <c r="Q836" s="8"/>
      <c r="R836" s="8"/>
      <c r="S836" s="290"/>
      <c r="T836" s="8"/>
      <c r="U836" s="8"/>
      <c r="W836" s="1"/>
      <c r="X836" s="1"/>
      <c r="Y836" s="1"/>
    </row>
    <row r="837" spans="1:25" ht="21.75" thickBot="1">
      <c r="F837" s="13" t="s">
        <v>4</v>
      </c>
      <c r="G837" s="13"/>
      <c r="H837" s="185" t="s">
        <v>180</v>
      </c>
      <c r="I837" s="187"/>
      <c r="J837" s="62"/>
      <c r="K837" s="62"/>
      <c r="W837" s="1"/>
      <c r="X837" s="1"/>
      <c r="Y837" s="1"/>
    </row>
    <row r="838" spans="1:25">
      <c r="W838" s="1"/>
      <c r="X838" s="1"/>
      <c r="Y838" s="1"/>
    </row>
    <row r="839" spans="1:25" ht="18.75">
      <c r="F839" s="9" t="s">
        <v>21</v>
      </c>
      <c r="G839" s="9"/>
      <c r="I839" s="2">
        <v>2011</v>
      </c>
      <c r="J839" s="2">
        <f>I839+1</f>
        <v>2012</v>
      </c>
      <c r="K839" s="2">
        <f t="shared" ref="K839:R839" si="370">J839+1</f>
        <v>2013</v>
      </c>
      <c r="L839" s="2">
        <f t="shared" si="370"/>
        <v>2014</v>
      </c>
      <c r="M839" s="2">
        <f t="shared" si="370"/>
        <v>2015</v>
      </c>
      <c r="N839" s="2">
        <f t="shared" si="370"/>
        <v>2016</v>
      </c>
      <c r="O839" s="2">
        <f t="shared" si="370"/>
        <v>2017</v>
      </c>
      <c r="P839" s="2">
        <f t="shared" si="370"/>
        <v>2018</v>
      </c>
      <c r="Q839" s="2">
        <f t="shared" si="370"/>
        <v>2019</v>
      </c>
      <c r="R839" s="2">
        <f t="shared" si="370"/>
        <v>2020</v>
      </c>
      <c r="S839" s="2">
        <f>R839+1</f>
        <v>2021</v>
      </c>
      <c r="T839" s="2">
        <f>S839+1</f>
        <v>2022</v>
      </c>
      <c r="U839" s="2">
        <f>T839+1</f>
        <v>2023</v>
      </c>
      <c r="W839" s="1"/>
      <c r="X839" s="1"/>
      <c r="Y839" s="1"/>
    </row>
    <row r="840" spans="1:25">
      <c r="G840" s="62" t="str">
        <f>"Total MWh Produced / Purchased from " &amp; H837</f>
        <v>Total MWh Produced / Purchased from Elbe Solar</v>
      </c>
      <c r="H840" s="57"/>
      <c r="I840" s="3"/>
      <c r="J840" s="4"/>
      <c r="K840" s="4"/>
      <c r="L840" s="4"/>
      <c r="M840" s="4"/>
      <c r="N840" s="4">
        <v>0</v>
      </c>
      <c r="O840" s="4">
        <v>0</v>
      </c>
      <c r="P840" s="4">
        <v>10627.973</v>
      </c>
      <c r="Q840" s="4">
        <v>20746</v>
      </c>
      <c r="R840" s="4">
        <v>22933</v>
      </c>
      <c r="S840" s="4">
        <v>22281</v>
      </c>
      <c r="T840" s="4">
        <v>22449</v>
      </c>
      <c r="U840" s="5">
        <v>20185</v>
      </c>
      <c r="W840" s="1"/>
      <c r="X840" s="1"/>
      <c r="Y840" s="1"/>
    </row>
    <row r="841" spans="1:25">
      <c r="G841" s="62" t="s">
        <v>25</v>
      </c>
      <c r="H841" s="57"/>
      <c r="I841" s="269"/>
      <c r="J841" s="41"/>
      <c r="K841" s="41"/>
      <c r="L841" s="41"/>
      <c r="M841" s="41"/>
      <c r="N841" s="41"/>
      <c r="O841" s="41"/>
      <c r="P841" s="41">
        <v>1</v>
      </c>
      <c r="Q841" s="41">
        <v>1</v>
      </c>
      <c r="R841" s="41">
        <v>1</v>
      </c>
      <c r="S841" s="41">
        <v>1</v>
      </c>
      <c r="T841" s="41">
        <v>1</v>
      </c>
      <c r="U841" s="42">
        <v>1</v>
      </c>
      <c r="W841" s="1"/>
      <c r="X841" s="1"/>
      <c r="Y841" s="1"/>
    </row>
    <row r="842" spans="1:25">
      <c r="G842" s="62" t="s">
        <v>20</v>
      </c>
      <c r="H842" s="57"/>
      <c r="I842" s="270"/>
      <c r="J842" s="36"/>
      <c r="K842" s="36"/>
      <c r="L842" s="36"/>
      <c r="M842" s="36"/>
      <c r="N842" s="36">
        <v>0</v>
      </c>
      <c r="O842" s="36">
        <v>0</v>
      </c>
      <c r="P842" s="36">
        <f>P79</f>
        <v>0.22007817037432531</v>
      </c>
      <c r="Q842" s="452">
        <f>Q79</f>
        <v>0.2223660721260575</v>
      </c>
      <c r="R842" s="36">
        <f>R388</f>
        <v>0.22351563443464154</v>
      </c>
      <c r="S842" s="36">
        <f>S3</f>
        <v>0.22350374113192695</v>
      </c>
      <c r="T842" s="36">
        <f>T3</f>
        <v>0.2182158613775059</v>
      </c>
      <c r="U842" s="36">
        <f>U3</f>
        <v>0.21529999999999999</v>
      </c>
      <c r="W842" s="1"/>
      <c r="X842" s="1"/>
      <c r="Y842" s="1"/>
    </row>
    <row r="843" spans="1:25">
      <c r="A843" s="1" t="s">
        <v>180</v>
      </c>
      <c r="G843" s="26" t="s">
        <v>22</v>
      </c>
      <c r="H843" s="6"/>
      <c r="I843" s="30">
        <v>0</v>
      </c>
      <c r="J843" s="30">
        <v>0</v>
      </c>
      <c r="K843" s="30">
        <v>0</v>
      </c>
      <c r="L843" s="30">
        <v>0</v>
      </c>
      <c r="M843" s="30">
        <v>0</v>
      </c>
      <c r="N843" s="161">
        <v>0</v>
      </c>
      <c r="O843" s="161">
        <v>0</v>
      </c>
      <c r="P843" s="161">
        <v>648</v>
      </c>
      <c r="Q843" s="161">
        <f>Q840*Q842</f>
        <v>4613.2065323271891</v>
      </c>
      <c r="R843" s="161">
        <f>R840*R842</f>
        <v>5125.8840444896341</v>
      </c>
      <c r="S843" s="161">
        <v>4978</v>
      </c>
      <c r="T843" s="161">
        <f t="shared" ref="T843" si="371">ROUNDDOWN(T840*T842,0)</f>
        <v>4898</v>
      </c>
      <c r="U843" s="161">
        <f>ROUNDUP(U840*U842,0)</f>
        <v>4346</v>
      </c>
      <c r="W843" s="1"/>
      <c r="X843" s="1"/>
      <c r="Y843" s="1"/>
    </row>
    <row r="844" spans="1:25">
      <c r="I844" s="29"/>
      <c r="J844" s="29"/>
      <c r="K844" s="29"/>
      <c r="L844" s="29"/>
      <c r="M844" s="29"/>
      <c r="N844" s="20"/>
      <c r="O844" s="20"/>
      <c r="P844" s="20"/>
      <c r="Q844" s="20"/>
      <c r="R844" s="20"/>
      <c r="S844" s="292"/>
      <c r="T844" s="20"/>
      <c r="U844" s="20"/>
      <c r="W844" s="1"/>
      <c r="X844" s="1"/>
      <c r="Y844" s="1"/>
    </row>
    <row r="845" spans="1:25" ht="18.75">
      <c r="F845" s="9" t="s">
        <v>118</v>
      </c>
      <c r="I845" s="2">
        <v>2011</v>
      </c>
      <c r="J845" s="2">
        <f>I845+1</f>
        <v>2012</v>
      </c>
      <c r="K845" s="2">
        <f t="shared" ref="K845:R845" si="372">J845+1</f>
        <v>2013</v>
      </c>
      <c r="L845" s="2">
        <f t="shared" si="372"/>
        <v>2014</v>
      </c>
      <c r="M845" s="2">
        <f t="shared" si="372"/>
        <v>2015</v>
      </c>
      <c r="N845" s="2">
        <f t="shared" si="372"/>
        <v>2016</v>
      </c>
      <c r="O845" s="2">
        <f t="shared" si="372"/>
        <v>2017</v>
      </c>
      <c r="P845" s="2">
        <f t="shared" si="372"/>
        <v>2018</v>
      </c>
      <c r="Q845" s="2">
        <f t="shared" si="372"/>
        <v>2019</v>
      </c>
      <c r="R845" s="2">
        <f t="shared" si="372"/>
        <v>2020</v>
      </c>
      <c r="S845" s="2">
        <f>R845+1</f>
        <v>2021</v>
      </c>
      <c r="T845" s="2">
        <f>S845+1</f>
        <v>2022</v>
      </c>
      <c r="U845" s="2">
        <f>T845+1</f>
        <v>2023</v>
      </c>
      <c r="W845" s="1"/>
      <c r="X845" s="1"/>
      <c r="Y845" s="1"/>
    </row>
    <row r="846" spans="1:25">
      <c r="G846" s="62" t="s">
        <v>10</v>
      </c>
      <c r="H846" s="57"/>
      <c r="I846" s="38">
        <f>IF($J21 = "Eligible", I843 * 'Facility Detail'!$G$3257, 0 )</f>
        <v>0</v>
      </c>
      <c r="J846" s="11">
        <f>IF($J21 = "Eligible", J843 * 'Facility Detail'!$G$3257, 0 )</f>
        <v>0</v>
      </c>
      <c r="K846" s="11">
        <f>IF($J21 = "Eligible", K843 * 'Facility Detail'!$G$3257, 0 )</f>
        <v>0</v>
      </c>
      <c r="L846" s="11">
        <f>IF($J21 = "Eligible", L843 * 'Facility Detail'!$G$3257, 0 )</f>
        <v>0</v>
      </c>
      <c r="M846" s="11">
        <f>IF($J21 = "Eligible", M843 * 'Facility Detail'!$G$3257, 0 )</f>
        <v>0</v>
      </c>
      <c r="N846" s="11">
        <f>IF($J21 = "Eligible", N843 * 'Facility Detail'!$G$3257, 0 )</f>
        <v>0</v>
      </c>
      <c r="O846" s="11">
        <f>IF($J21 = "Eligible", O843 * 'Facility Detail'!$G$3257, 0 )</f>
        <v>0</v>
      </c>
      <c r="P846" s="11">
        <f>IF($J21 = "Eligible", P843 * 'Facility Detail'!$G$3257, 0 )</f>
        <v>0</v>
      </c>
      <c r="Q846" s="11">
        <f>IF($J21 = "Eligible", Q843 * 'Facility Detail'!$G$3257, 0 )</f>
        <v>0</v>
      </c>
      <c r="R846" s="11">
        <f>IF($J21 = "Eligible", R843 * 'Facility Detail'!$G$3257, 0 )</f>
        <v>0</v>
      </c>
      <c r="S846" s="11">
        <f>IF($J21 = "Eligible", S843 * 'Facility Detail'!$G$3257, 0 )</f>
        <v>0</v>
      </c>
      <c r="T846" s="11">
        <f>IF($J21 = "Eligible", T843 * 'Facility Detail'!$G$3257, 0 )</f>
        <v>0</v>
      </c>
      <c r="U846" s="223">
        <f>IF($J21 = "Eligible", U843 * 'Facility Detail'!$G$3257, 0 )</f>
        <v>0</v>
      </c>
      <c r="W846" s="1"/>
      <c r="X846" s="1"/>
      <c r="Y846" s="1"/>
    </row>
    <row r="847" spans="1:25">
      <c r="G847" s="62" t="s">
        <v>6</v>
      </c>
      <c r="H847" s="57"/>
      <c r="I847" s="39">
        <f t="shared" ref="I847:U847" si="373">IF($K21= "Eligible", I843, 0 )</f>
        <v>0</v>
      </c>
      <c r="J847" s="193">
        <f t="shared" si="373"/>
        <v>0</v>
      </c>
      <c r="K847" s="193">
        <f t="shared" si="373"/>
        <v>0</v>
      </c>
      <c r="L847" s="193">
        <f t="shared" si="373"/>
        <v>0</v>
      </c>
      <c r="M847" s="193">
        <f t="shared" si="373"/>
        <v>0</v>
      </c>
      <c r="N847" s="193">
        <f t="shared" si="373"/>
        <v>0</v>
      </c>
      <c r="O847" s="193">
        <f t="shared" si="373"/>
        <v>0</v>
      </c>
      <c r="P847" s="193">
        <f t="shared" si="373"/>
        <v>0</v>
      </c>
      <c r="Q847" s="193">
        <f t="shared" si="373"/>
        <v>0</v>
      </c>
      <c r="R847" s="193">
        <f t="shared" si="373"/>
        <v>0</v>
      </c>
      <c r="S847" s="193">
        <f t="shared" si="373"/>
        <v>0</v>
      </c>
      <c r="T847" s="193">
        <f t="shared" si="373"/>
        <v>0</v>
      </c>
      <c r="U847" s="224">
        <f t="shared" si="373"/>
        <v>0</v>
      </c>
      <c r="W847" s="1"/>
      <c r="X847" s="1"/>
      <c r="Y847" s="1"/>
    </row>
    <row r="848" spans="1:25">
      <c r="G848" s="26" t="s">
        <v>120</v>
      </c>
      <c r="H848" s="6"/>
      <c r="I848" s="32">
        <f>SUM(I846:I847)</f>
        <v>0</v>
      </c>
      <c r="J848" s="33">
        <f t="shared" ref="J848:S848" si="374">SUM(J846:J847)</f>
        <v>0</v>
      </c>
      <c r="K848" s="33">
        <f t="shared" si="374"/>
        <v>0</v>
      </c>
      <c r="L848" s="33">
        <f t="shared" si="374"/>
        <v>0</v>
      </c>
      <c r="M848" s="33">
        <f t="shared" si="374"/>
        <v>0</v>
      </c>
      <c r="N848" s="33">
        <f t="shared" si="374"/>
        <v>0</v>
      </c>
      <c r="O848" s="33">
        <f t="shared" si="374"/>
        <v>0</v>
      </c>
      <c r="P848" s="33">
        <f t="shared" si="374"/>
        <v>0</v>
      </c>
      <c r="Q848" s="33">
        <f t="shared" si="374"/>
        <v>0</v>
      </c>
      <c r="R848" s="33">
        <f t="shared" si="374"/>
        <v>0</v>
      </c>
      <c r="S848" s="33">
        <f t="shared" si="374"/>
        <v>0</v>
      </c>
      <c r="T848" s="33">
        <f t="shared" ref="T848:U848" si="375">SUM(T846:T847)</f>
        <v>0</v>
      </c>
      <c r="U848" s="33">
        <f t="shared" si="375"/>
        <v>0</v>
      </c>
      <c r="W848" s="1"/>
      <c r="X848" s="1"/>
      <c r="Y848" s="1"/>
    </row>
    <row r="849" spans="6:25">
      <c r="I849" s="31"/>
      <c r="J849" s="24"/>
      <c r="K849" s="24"/>
      <c r="L849" s="24"/>
      <c r="M849" s="24"/>
      <c r="N849" s="24"/>
      <c r="O849" s="24"/>
      <c r="P849" s="24"/>
      <c r="Q849" s="24"/>
      <c r="R849" s="24"/>
      <c r="S849" s="24"/>
      <c r="T849" s="24"/>
      <c r="U849" s="24"/>
      <c r="W849" s="1"/>
      <c r="X849" s="1"/>
      <c r="Y849" s="1"/>
    </row>
    <row r="850" spans="6:25" ht="18.75">
      <c r="F850" s="9" t="s">
        <v>30</v>
      </c>
      <c r="I850" s="2">
        <v>2011</v>
      </c>
      <c r="J850" s="2">
        <f>I850+1</f>
        <v>2012</v>
      </c>
      <c r="K850" s="2">
        <f t="shared" ref="K850:R850" si="376">J850+1</f>
        <v>2013</v>
      </c>
      <c r="L850" s="2">
        <f t="shared" si="376"/>
        <v>2014</v>
      </c>
      <c r="M850" s="2">
        <f t="shared" si="376"/>
        <v>2015</v>
      </c>
      <c r="N850" s="2">
        <f t="shared" si="376"/>
        <v>2016</v>
      </c>
      <c r="O850" s="2">
        <f t="shared" si="376"/>
        <v>2017</v>
      </c>
      <c r="P850" s="2">
        <f t="shared" si="376"/>
        <v>2018</v>
      </c>
      <c r="Q850" s="2">
        <f t="shared" si="376"/>
        <v>2019</v>
      </c>
      <c r="R850" s="2">
        <f t="shared" si="376"/>
        <v>2020</v>
      </c>
      <c r="S850" s="2">
        <f>R850+1</f>
        <v>2021</v>
      </c>
      <c r="T850" s="2">
        <f>S850+1</f>
        <v>2022</v>
      </c>
      <c r="U850" s="2">
        <f>T850+1</f>
        <v>2023</v>
      </c>
      <c r="W850" s="1"/>
      <c r="X850" s="1"/>
      <c r="Y850" s="1"/>
    </row>
    <row r="851" spans="6:25">
      <c r="G851" s="62" t="s">
        <v>47</v>
      </c>
      <c r="H851" s="57"/>
      <c r="I851" s="71"/>
      <c r="J851" s="72"/>
      <c r="K851" s="72"/>
      <c r="L851" s="72"/>
      <c r="M851" s="72"/>
      <c r="N851" s="72"/>
      <c r="O851" s="72"/>
      <c r="P851" s="72"/>
      <c r="Q851" s="72"/>
      <c r="R851" s="72"/>
      <c r="S851" s="72"/>
      <c r="T851" s="72"/>
      <c r="U851" s="73"/>
      <c r="W851" s="1"/>
      <c r="X851" s="1"/>
      <c r="Y851" s="1"/>
    </row>
    <row r="852" spans="6:25">
      <c r="G852" s="63" t="s">
        <v>23</v>
      </c>
      <c r="H852" s="135"/>
      <c r="I852" s="74"/>
      <c r="J852" s="75"/>
      <c r="K852" s="75"/>
      <c r="L852" s="75"/>
      <c r="M852" s="75"/>
      <c r="N852" s="75"/>
      <c r="O852" s="75"/>
      <c r="P852" s="75"/>
      <c r="Q852" s="75"/>
      <c r="R852" s="75"/>
      <c r="S852" s="75"/>
      <c r="T852" s="75"/>
      <c r="U852" s="76"/>
      <c r="W852" s="1"/>
      <c r="X852" s="1"/>
      <c r="Y852" s="1"/>
    </row>
    <row r="853" spans="6:25">
      <c r="G853" s="63" t="s">
        <v>89</v>
      </c>
      <c r="H853" s="134"/>
      <c r="I853" s="43"/>
      <c r="J853" s="44"/>
      <c r="K853" s="44"/>
      <c r="L853" s="44"/>
      <c r="M853" s="44"/>
      <c r="N853" s="44"/>
      <c r="O853" s="44"/>
      <c r="P853" s="44"/>
      <c r="Q853" s="44"/>
      <c r="R853" s="44"/>
      <c r="S853" s="44"/>
      <c r="T853" s="44"/>
      <c r="U853" s="45"/>
      <c r="W853" s="1"/>
      <c r="X853" s="1"/>
      <c r="Y853" s="1"/>
    </row>
    <row r="854" spans="6:25">
      <c r="G854" s="26" t="s">
        <v>90</v>
      </c>
      <c r="I854" s="7">
        <v>0</v>
      </c>
      <c r="J854" s="7">
        <v>0</v>
      </c>
      <c r="K854" s="7">
        <v>0</v>
      </c>
      <c r="L854" s="7">
        <v>0</v>
      </c>
      <c r="M854" s="7">
        <v>0</v>
      </c>
      <c r="N854" s="7">
        <v>0</v>
      </c>
      <c r="O854" s="7">
        <v>0</v>
      </c>
      <c r="P854" s="7">
        <v>0</v>
      </c>
      <c r="Q854" s="7">
        <v>0</v>
      </c>
      <c r="R854" s="7">
        <v>0</v>
      </c>
      <c r="S854" s="7">
        <v>0</v>
      </c>
      <c r="T854" s="7">
        <v>0</v>
      </c>
      <c r="U854" s="7">
        <v>0</v>
      </c>
      <c r="W854" s="1"/>
      <c r="X854" s="1"/>
      <c r="Y854" s="1"/>
    </row>
    <row r="855" spans="6:25">
      <c r="G855" s="6"/>
      <c r="I855" s="7"/>
      <c r="J855" s="7"/>
      <c r="K855" s="7"/>
      <c r="L855" s="23"/>
      <c r="M855" s="23"/>
      <c r="N855" s="23"/>
      <c r="O855" s="23"/>
      <c r="P855" s="23"/>
      <c r="Q855" s="23"/>
      <c r="R855" s="23"/>
      <c r="S855" s="282"/>
      <c r="T855" s="23"/>
      <c r="U855" s="23"/>
      <c r="W855" s="1"/>
      <c r="X855" s="1"/>
      <c r="Y855" s="1"/>
    </row>
    <row r="856" spans="6:25" ht="18.75">
      <c r="F856" s="9" t="s">
        <v>100</v>
      </c>
      <c r="I856" s="2">
        <f>'Facility Detail'!$G$3260</f>
        <v>2011</v>
      </c>
      <c r="J856" s="2">
        <f>I856+1</f>
        <v>2012</v>
      </c>
      <c r="K856" s="2">
        <f t="shared" ref="K856:R856" si="377">J856+1</f>
        <v>2013</v>
      </c>
      <c r="L856" s="2">
        <f t="shared" si="377"/>
        <v>2014</v>
      </c>
      <c r="M856" s="2">
        <f t="shared" si="377"/>
        <v>2015</v>
      </c>
      <c r="N856" s="2">
        <f t="shared" si="377"/>
        <v>2016</v>
      </c>
      <c r="O856" s="2">
        <f t="shared" si="377"/>
        <v>2017</v>
      </c>
      <c r="P856" s="2">
        <f t="shared" si="377"/>
        <v>2018</v>
      </c>
      <c r="Q856" s="2">
        <f t="shared" si="377"/>
        <v>2019</v>
      </c>
      <c r="R856" s="2">
        <f t="shared" si="377"/>
        <v>2020</v>
      </c>
      <c r="S856" s="2">
        <f>R856+1</f>
        <v>2021</v>
      </c>
      <c r="T856" s="2">
        <f>S856+1</f>
        <v>2022</v>
      </c>
      <c r="U856" s="2">
        <f>T856+1</f>
        <v>2023</v>
      </c>
      <c r="W856" s="1"/>
      <c r="X856" s="1"/>
      <c r="Y856" s="1"/>
    </row>
    <row r="857" spans="6:25">
      <c r="G857" s="62" t="s">
        <v>68</v>
      </c>
      <c r="H857" s="57"/>
      <c r="I857" s="3"/>
      <c r="J857" s="46">
        <f>I857</f>
        <v>0</v>
      </c>
      <c r="K857" s="106"/>
      <c r="L857" s="106"/>
      <c r="M857" s="106"/>
      <c r="N857" s="106"/>
      <c r="O857" s="106"/>
      <c r="P857" s="106"/>
      <c r="Q857" s="106"/>
      <c r="R857" s="106"/>
      <c r="S857" s="106"/>
      <c r="T857" s="217"/>
      <c r="U857" s="47"/>
      <c r="W857" s="1"/>
      <c r="X857" s="1"/>
      <c r="Y857" s="1"/>
    </row>
    <row r="858" spans="6:25">
      <c r="G858" s="62" t="s">
        <v>69</v>
      </c>
      <c r="H858" s="57"/>
      <c r="I858" s="127">
        <f>J858</f>
        <v>0</v>
      </c>
      <c r="J858" s="10"/>
      <c r="K858" s="60"/>
      <c r="L858" s="60"/>
      <c r="M858" s="60"/>
      <c r="N858" s="60"/>
      <c r="O858" s="60"/>
      <c r="P858" s="60"/>
      <c r="Q858" s="60"/>
      <c r="R858" s="60"/>
      <c r="S858" s="60"/>
      <c r="T858" s="218"/>
      <c r="U858" s="128"/>
      <c r="W858" s="1"/>
      <c r="X858" s="1"/>
      <c r="Y858" s="1"/>
    </row>
    <row r="859" spans="6:25">
      <c r="G859" s="62" t="s">
        <v>70</v>
      </c>
      <c r="H859" s="57"/>
      <c r="I859" s="48"/>
      <c r="J859" s="10">
        <f>J843</f>
        <v>0</v>
      </c>
      <c r="K859" s="56">
        <f>J859</f>
        <v>0</v>
      </c>
      <c r="L859" s="60"/>
      <c r="M859" s="60"/>
      <c r="N859" s="60"/>
      <c r="O859" s="60"/>
      <c r="P859" s="60"/>
      <c r="Q859" s="60"/>
      <c r="R859" s="60"/>
      <c r="S859" s="60"/>
      <c r="T859" s="218"/>
      <c r="U859" s="128"/>
      <c r="W859" s="1"/>
      <c r="X859" s="1"/>
      <c r="Y859" s="1"/>
    </row>
    <row r="860" spans="6:25">
      <c r="G860" s="62" t="s">
        <v>71</v>
      </c>
      <c r="H860" s="57"/>
      <c r="I860" s="48"/>
      <c r="J860" s="56">
        <f>K860</f>
        <v>0</v>
      </c>
      <c r="K860" s="10"/>
      <c r="L860" s="60"/>
      <c r="M860" s="60"/>
      <c r="N860" s="60"/>
      <c r="O860" s="60"/>
      <c r="P860" s="60"/>
      <c r="Q860" s="60"/>
      <c r="R860" s="60"/>
      <c r="S860" s="60"/>
      <c r="T860" s="218"/>
      <c r="U860" s="128"/>
      <c r="W860" s="1"/>
      <c r="X860" s="1"/>
      <c r="Y860" s="1"/>
    </row>
    <row r="861" spans="6:25">
      <c r="G861" s="62" t="s">
        <v>170</v>
      </c>
      <c r="I861" s="48"/>
      <c r="J861" s="118"/>
      <c r="K861" s="10">
        <f>K843</f>
        <v>0</v>
      </c>
      <c r="L861" s="119">
        <f>K861</f>
        <v>0</v>
      </c>
      <c r="M861" s="60"/>
      <c r="N861" s="60"/>
      <c r="O861" s="60"/>
      <c r="P861" s="60"/>
      <c r="Q861" s="60"/>
      <c r="R861" s="60"/>
      <c r="S861" s="60"/>
      <c r="T861" s="146"/>
      <c r="U861" s="122"/>
      <c r="W861" s="1"/>
      <c r="X861" s="1"/>
      <c r="Y861" s="1"/>
    </row>
    <row r="862" spans="6:25">
      <c r="G862" s="62" t="s">
        <v>171</v>
      </c>
      <c r="I862" s="48"/>
      <c r="J862" s="118"/>
      <c r="K862" s="56">
        <f>L862</f>
        <v>0</v>
      </c>
      <c r="L862" s="10"/>
      <c r="M862" s="60"/>
      <c r="N862" s="60"/>
      <c r="O862" s="60"/>
      <c r="P862" s="60"/>
      <c r="Q862" s="60"/>
      <c r="R862" s="60"/>
      <c r="S862" s="60"/>
      <c r="T862" s="146"/>
      <c r="U862" s="122"/>
      <c r="W862" s="1"/>
      <c r="X862" s="1"/>
      <c r="Y862" s="1"/>
    </row>
    <row r="863" spans="6:25">
      <c r="G863" s="62" t="s">
        <v>172</v>
      </c>
      <c r="I863" s="48"/>
      <c r="J863" s="118"/>
      <c r="K863" s="118"/>
      <c r="L863" s="10">
        <f>L843</f>
        <v>0</v>
      </c>
      <c r="M863" s="119">
        <f>L863</f>
        <v>0</v>
      </c>
      <c r="N863" s="118"/>
      <c r="O863" s="60"/>
      <c r="P863" s="60"/>
      <c r="Q863" s="60"/>
      <c r="R863" s="60"/>
      <c r="S863" s="60"/>
      <c r="T863" s="146"/>
      <c r="U863" s="122"/>
      <c r="W863" s="1"/>
      <c r="X863" s="1"/>
      <c r="Y863" s="1"/>
    </row>
    <row r="864" spans="6:25">
      <c r="G864" s="62" t="s">
        <v>173</v>
      </c>
      <c r="I864" s="48"/>
      <c r="J864" s="118"/>
      <c r="K864" s="118"/>
      <c r="L864" s="56"/>
      <c r="M864" s="10"/>
      <c r="N864" s="118"/>
      <c r="O864" s="60"/>
      <c r="P864" s="60"/>
      <c r="Q864" s="60"/>
      <c r="R864" s="60"/>
      <c r="S864" s="60"/>
      <c r="T864" s="146"/>
      <c r="U864" s="122"/>
      <c r="W864" s="1"/>
      <c r="X864" s="1"/>
      <c r="Y864" s="1"/>
    </row>
    <row r="865" spans="7:25">
      <c r="G865" s="62" t="s">
        <v>174</v>
      </c>
      <c r="I865" s="48"/>
      <c r="J865" s="118"/>
      <c r="K865" s="118"/>
      <c r="L865" s="118"/>
      <c r="M865" s="10">
        <v>0</v>
      </c>
      <c r="N865" s="119">
        <f>M865</f>
        <v>0</v>
      </c>
      <c r="O865" s="60"/>
      <c r="P865" s="60"/>
      <c r="Q865" s="60"/>
      <c r="R865" s="60"/>
      <c r="S865" s="60"/>
      <c r="T865" s="146"/>
      <c r="U865" s="122"/>
      <c r="W865" s="1"/>
      <c r="X865" s="1"/>
      <c r="Y865" s="1"/>
    </row>
    <row r="866" spans="7:25">
      <c r="G866" s="62" t="s">
        <v>175</v>
      </c>
      <c r="I866" s="48"/>
      <c r="J866" s="118"/>
      <c r="K866" s="118"/>
      <c r="L866" s="118"/>
      <c r="M866" s="56"/>
      <c r="N866" s="10"/>
      <c r="O866" s="60"/>
      <c r="P866" s="60"/>
      <c r="Q866" s="60"/>
      <c r="R866" s="60"/>
      <c r="S866" s="60"/>
      <c r="T866" s="146"/>
      <c r="U866" s="122"/>
      <c r="W866" s="1"/>
      <c r="X866" s="1"/>
      <c r="Y866" s="1"/>
    </row>
    <row r="867" spans="7:25">
      <c r="G867" s="62" t="s">
        <v>176</v>
      </c>
      <c r="I867" s="48"/>
      <c r="J867" s="118"/>
      <c r="K867" s="118"/>
      <c r="L867" s="118"/>
      <c r="M867" s="118"/>
      <c r="N867" s="149">
        <f>N843</f>
        <v>0</v>
      </c>
      <c r="O867" s="120">
        <f>N867</f>
        <v>0</v>
      </c>
      <c r="P867" s="60"/>
      <c r="Q867" s="60"/>
      <c r="R867" s="60"/>
      <c r="S867" s="60"/>
      <c r="T867" s="146"/>
      <c r="U867" s="122"/>
      <c r="W867" s="1"/>
      <c r="X867" s="1"/>
      <c r="Y867" s="1"/>
    </row>
    <row r="868" spans="7:25">
      <c r="G868" s="62" t="s">
        <v>167</v>
      </c>
      <c r="I868" s="48"/>
      <c r="J868" s="118"/>
      <c r="K868" s="118"/>
      <c r="L868" s="118"/>
      <c r="M868" s="118"/>
      <c r="N868" s="150"/>
      <c r="O868" s="121"/>
      <c r="P868" s="60"/>
      <c r="Q868" s="60"/>
      <c r="R868" s="60"/>
      <c r="S868" s="60"/>
      <c r="T868" s="146"/>
      <c r="U868" s="122"/>
      <c r="W868" s="1"/>
      <c r="X868" s="1"/>
      <c r="Y868" s="1"/>
    </row>
    <row r="869" spans="7:25">
      <c r="G869" s="62" t="s">
        <v>168</v>
      </c>
      <c r="I869" s="48"/>
      <c r="J869" s="118"/>
      <c r="K869" s="118"/>
      <c r="L869" s="118"/>
      <c r="M869" s="118"/>
      <c r="N869" s="118"/>
      <c r="O869" s="121">
        <f>O843</f>
        <v>0</v>
      </c>
      <c r="P869" s="120">
        <f>O869</f>
        <v>0</v>
      </c>
      <c r="Q869" s="60"/>
      <c r="R869" s="60"/>
      <c r="S869" s="60"/>
      <c r="T869" s="146"/>
      <c r="U869" s="122"/>
      <c r="W869" s="1"/>
      <c r="X869" s="1"/>
      <c r="Y869" s="1"/>
    </row>
    <row r="870" spans="7:25">
      <c r="G870" s="62" t="s">
        <v>185</v>
      </c>
      <c r="I870" s="48"/>
      <c r="J870" s="118"/>
      <c r="K870" s="118"/>
      <c r="L870" s="118"/>
      <c r="M870" s="118"/>
      <c r="N870" s="118"/>
      <c r="O870" s="120"/>
      <c r="P870" s="121"/>
      <c r="Q870" s="60"/>
      <c r="R870" s="60"/>
      <c r="S870" s="60"/>
      <c r="T870" s="146"/>
      <c r="U870" s="122"/>
      <c r="W870" s="1"/>
      <c r="X870" s="1"/>
      <c r="Y870" s="1"/>
    </row>
    <row r="871" spans="7:25">
      <c r="G871" s="62" t="s">
        <v>186</v>
      </c>
      <c r="I871" s="48"/>
      <c r="J871" s="118"/>
      <c r="K871" s="118"/>
      <c r="L871" s="118"/>
      <c r="M871" s="118"/>
      <c r="N871" s="118"/>
      <c r="O871" s="118"/>
      <c r="P871" s="121">
        <f>P843</f>
        <v>648</v>
      </c>
      <c r="Q871" s="56">
        <f>P871</f>
        <v>648</v>
      </c>
      <c r="R871" s="60"/>
      <c r="S871" s="60"/>
      <c r="T871" s="146"/>
      <c r="U871" s="122"/>
      <c r="W871" s="1"/>
      <c r="X871" s="1"/>
      <c r="Y871" s="1"/>
    </row>
    <row r="872" spans="7:25">
      <c r="G872" s="62" t="s">
        <v>187</v>
      </c>
      <c r="I872" s="48"/>
      <c r="J872" s="118"/>
      <c r="K872" s="118"/>
      <c r="L872" s="118"/>
      <c r="M872" s="118"/>
      <c r="N872" s="118"/>
      <c r="O872" s="118"/>
      <c r="P872" s="120"/>
      <c r="Q872" s="306"/>
      <c r="R872" s="60"/>
      <c r="S872" s="60"/>
      <c r="T872" s="146"/>
      <c r="U872" s="122"/>
      <c r="W872" s="1"/>
      <c r="X872" s="1"/>
      <c r="Y872" s="1"/>
    </row>
    <row r="873" spans="7:25">
      <c r="G873" s="62" t="s">
        <v>188</v>
      </c>
      <c r="I873" s="48"/>
      <c r="J873" s="118"/>
      <c r="K873" s="118"/>
      <c r="L873" s="118"/>
      <c r="M873" s="118"/>
      <c r="N873" s="118"/>
      <c r="O873" s="118"/>
      <c r="P873" s="118"/>
      <c r="Q873" s="121"/>
      <c r="R873" s="151"/>
      <c r="S873" s="60"/>
      <c r="T873" s="146"/>
      <c r="U873" s="122"/>
      <c r="W873" s="1"/>
      <c r="X873" s="1"/>
      <c r="Y873" s="1"/>
    </row>
    <row r="874" spans="7:25">
      <c r="G874" s="62" t="s">
        <v>189</v>
      </c>
      <c r="I874" s="48"/>
      <c r="J874" s="118"/>
      <c r="K874" s="118"/>
      <c r="L874" s="118"/>
      <c r="M874" s="118"/>
      <c r="N874" s="118"/>
      <c r="O874" s="118"/>
      <c r="P874" s="118"/>
      <c r="Q874" s="151">
        <v>3364</v>
      </c>
      <c r="R874" s="173">
        <v>3364</v>
      </c>
      <c r="S874" s="60"/>
      <c r="T874" s="146"/>
      <c r="U874" s="122"/>
      <c r="W874" s="1"/>
      <c r="X874" s="1"/>
      <c r="Y874" s="1"/>
    </row>
    <row r="875" spans="7:25">
      <c r="G875" s="62" t="s">
        <v>190</v>
      </c>
      <c r="I875" s="48"/>
      <c r="J875" s="118"/>
      <c r="K875" s="118"/>
      <c r="L875" s="118"/>
      <c r="M875" s="118"/>
      <c r="N875" s="118"/>
      <c r="O875" s="118"/>
      <c r="P875" s="118"/>
      <c r="Q875" s="118"/>
      <c r="R875" s="173">
        <v>0</v>
      </c>
      <c r="S875" s="151">
        <f>R875</f>
        <v>0</v>
      </c>
      <c r="T875" s="146"/>
      <c r="U875" s="122"/>
      <c r="W875" s="1"/>
      <c r="X875" s="1"/>
      <c r="Y875" s="1"/>
    </row>
    <row r="876" spans="7:25">
      <c r="G876" s="62" t="s">
        <v>199</v>
      </c>
      <c r="I876" s="48"/>
      <c r="J876" s="118"/>
      <c r="K876" s="118"/>
      <c r="L876" s="118"/>
      <c r="M876" s="118"/>
      <c r="N876" s="118"/>
      <c r="O876" s="118"/>
      <c r="P876" s="118"/>
      <c r="Q876" s="118"/>
      <c r="R876" s="120">
        <v>0</v>
      </c>
      <c r="S876" s="173">
        <v>0</v>
      </c>
      <c r="T876" s="146"/>
      <c r="U876" s="122"/>
      <c r="W876" s="1"/>
      <c r="X876" s="1"/>
      <c r="Y876" s="1"/>
    </row>
    <row r="877" spans="7:25">
      <c r="G877" s="62" t="s">
        <v>200</v>
      </c>
      <c r="I877" s="48"/>
      <c r="J877" s="118"/>
      <c r="K877" s="118"/>
      <c r="L877" s="118"/>
      <c r="M877" s="118"/>
      <c r="N877" s="118"/>
      <c r="O877" s="118"/>
      <c r="P877" s="118"/>
      <c r="Q877" s="118"/>
      <c r="R877" s="118"/>
      <c r="S877" s="173">
        <v>0</v>
      </c>
      <c r="T877" s="151">
        <f>S877</f>
        <v>0</v>
      </c>
      <c r="U877" s="122"/>
      <c r="W877" s="1"/>
      <c r="X877" s="1"/>
      <c r="Y877" s="1"/>
    </row>
    <row r="878" spans="7:25">
      <c r="G878" s="62" t="s">
        <v>308</v>
      </c>
      <c r="I878" s="48"/>
      <c r="J878" s="118"/>
      <c r="K878" s="118"/>
      <c r="L878" s="118"/>
      <c r="M878" s="118"/>
      <c r="N878" s="118"/>
      <c r="O878" s="118"/>
      <c r="P878" s="118"/>
      <c r="Q878" s="118"/>
      <c r="R878" s="118"/>
      <c r="S878" s="120">
        <f>T878</f>
        <v>0</v>
      </c>
      <c r="T878" s="173">
        <v>0</v>
      </c>
      <c r="U878" s="122"/>
      <c r="W878" s="1"/>
      <c r="X878" s="1"/>
      <c r="Y878" s="1"/>
    </row>
    <row r="879" spans="7:25">
      <c r="G879" s="62" t="s">
        <v>307</v>
      </c>
      <c r="I879" s="114"/>
      <c r="J879" s="107"/>
      <c r="K879" s="107"/>
      <c r="L879" s="107"/>
      <c r="M879" s="107"/>
      <c r="N879" s="107"/>
      <c r="O879" s="107"/>
      <c r="P879" s="107"/>
      <c r="Q879" s="107"/>
      <c r="R879" s="107"/>
      <c r="S879" s="107"/>
      <c r="T879" s="173">
        <v>0</v>
      </c>
      <c r="U879" s="456">
        <f>T879</f>
        <v>0</v>
      </c>
      <c r="W879" s="1"/>
      <c r="X879" s="1"/>
      <c r="Y879" s="1"/>
    </row>
    <row r="880" spans="7:25">
      <c r="G880" s="62" t="s">
        <v>318</v>
      </c>
      <c r="I880" s="114"/>
      <c r="J880" s="107"/>
      <c r="K880" s="107"/>
      <c r="L880" s="107"/>
      <c r="M880" s="107"/>
      <c r="N880" s="107"/>
      <c r="O880" s="107"/>
      <c r="P880" s="107"/>
      <c r="Q880" s="107"/>
      <c r="R880" s="107"/>
      <c r="S880" s="107"/>
      <c r="T880" s="120">
        <f>U880</f>
        <v>0</v>
      </c>
      <c r="U880" s="457">
        <v>0</v>
      </c>
      <c r="W880" s="1"/>
      <c r="X880" s="1"/>
      <c r="Y880" s="1"/>
    </row>
    <row r="881" spans="1:25">
      <c r="G881" s="62" t="s">
        <v>319</v>
      </c>
      <c r="I881" s="49"/>
      <c r="J881" s="194"/>
      <c r="K881" s="194"/>
      <c r="L881" s="194"/>
      <c r="M881" s="194"/>
      <c r="N881" s="194"/>
      <c r="O881" s="194"/>
      <c r="P881" s="194"/>
      <c r="Q881" s="194"/>
      <c r="R881" s="194"/>
      <c r="S881" s="194"/>
      <c r="T881" s="194"/>
      <c r="U881" s="458">
        <v>0</v>
      </c>
      <c r="W881" s="1"/>
      <c r="X881" s="1"/>
      <c r="Y881" s="1"/>
    </row>
    <row r="882" spans="1:25">
      <c r="B882" s="1" t="s">
        <v>180</v>
      </c>
      <c r="G882" s="26" t="s">
        <v>17</v>
      </c>
      <c r="I882" s="7"/>
      <c r="J882" s="7"/>
      <c r="K882" s="7"/>
      <c r="L882" s="7"/>
      <c r="M882" s="7"/>
      <c r="N882" s="7"/>
      <c r="O882" s="7"/>
      <c r="P882" s="154">
        <f>P869-P870-P871</f>
        <v>-648</v>
      </c>
      <c r="Q882" s="154">
        <f>Q871-Q873+Q874</f>
        <v>4012</v>
      </c>
      <c r="R882" s="154">
        <f>R873</f>
        <v>0</v>
      </c>
      <c r="S882" s="7">
        <f>S875-S876+S877-S878</f>
        <v>0</v>
      </c>
      <c r="T882" s="7">
        <f>T877-T878-T879+T880</f>
        <v>0</v>
      </c>
      <c r="U882" s="7">
        <f>U879-U880-U881</f>
        <v>0</v>
      </c>
      <c r="W882" s="1"/>
      <c r="X882" s="1"/>
      <c r="Y882" s="1"/>
    </row>
    <row r="883" spans="1:25">
      <c r="G883" s="6"/>
      <c r="I883" s="154"/>
      <c r="J883" s="154"/>
      <c r="K883" s="154"/>
      <c r="L883" s="154"/>
      <c r="M883" s="154"/>
      <c r="N883" s="154"/>
      <c r="O883" s="154"/>
      <c r="P883" s="154"/>
      <c r="Q883" s="154"/>
      <c r="R883" s="154"/>
      <c r="S883" s="154"/>
      <c r="T883" s="154"/>
      <c r="U883" s="154"/>
      <c r="W883" s="1"/>
      <c r="X883" s="1"/>
      <c r="Y883" s="1"/>
    </row>
    <row r="884" spans="1:25">
      <c r="G884" s="26" t="s">
        <v>12</v>
      </c>
      <c r="H884" s="57"/>
      <c r="I884" s="155"/>
      <c r="J884" s="156"/>
      <c r="K884" s="156"/>
      <c r="L884" s="156"/>
      <c r="M884" s="156"/>
      <c r="N884" s="156"/>
      <c r="O884" s="156"/>
      <c r="P884" s="156"/>
      <c r="Q884" s="156"/>
      <c r="R884" s="156"/>
      <c r="S884" s="156"/>
      <c r="T884" s="156"/>
      <c r="U884" s="267"/>
      <c r="W884" s="1"/>
      <c r="X884" s="1"/>
      <c r="Y884" s="1"/>
    </row>
    <row r="885" spans="1:25">
      <c r="G885" s="6"/>
      <c r="I885" s="154"/>
      <c r="J885" s="154"/>
      <c r="K885" s="154"/>
      <c r="L885" s="154"/>
      <c r="M885" s="154"/>
      <c r="N885" s="154"/>
      <c r="O885" s="154"/>
      <c r="P885" s="154"/>
      <c r="Q885" s="154"/>
      <c r="R885" s="154"/>
      <c r="S885" s="154"/>
      <c r="T885" s="154"/>
      <c r="U885" s="154"/>
      <c r="W885" s="1"/>
      <c r="X885" s="1"/>
      <c r="Y885" s="1"/>
    </row>
    <row r="886" spans="1:25" ht="18.75">
      <c r="C886" s="1" t="s">
        <v>180</v>
      </c>
      <c r="D886" s="1" t="s">
        <v>194</v>
      </c>
      <c r="E886" s="1" t="s">
        <v>108</v>
      </c>
      <c r="F886" s="9" t="s">
        <v>26</v>
      </c>
      <c r="H886" s="57"/>
      <c r="I886" s="157">
        <f t="shared" ref="I886:Q886" si="378" xml:space="preserve"> I843 + I848 - I854 + I882 + I884</f>
        <v>0</v>
      </c>
      <c r="J886" s="158">
        <f t="shared" si="378"/>
        <v>0</v>
      </c>
      <c r="K886" s="158">
        <f t="shared" si="378"/>
        <v>0</v>
      </c>
      <c r="L886" s="158">
        <f t="shared" si="378"/>
        <v>0</v>
      </c>
      <c r="M886" s="158">
        <f t="shared" si="378"/>
        <v>0</v>
      </c>
      <c r="N886" s="158">
        <f t="shared" si="378"/>
        <v>0</v>
      </c>
      <c r="O886" s="158">
        <f t="shared" si="378"/>
        <v>0</v>
      </c>
      <c r="P886" s="158">
        <f t="shared" si="378"/>
        <v>0</v>
      </c>
      <c r="Q886" s="158">
        <f t="shared" si="378"/>
        <v>8625.2065323271891</v>
      </c>
      <c r="R886" s="158">
        <f xml:space="preserve"> R843 + R848 - R854 + R873-R874</f>
        <v>1761.8840444896341</v>
      </c>
      <c r="S886" s="158">
        <f xml:space="preserve"> S843 + S848 - S854 + S882 + S884</f>
        <v>4978</v>
      </c>
      <c r="T886" s="158">
        <f xml:space="preserve"> T843 + T848 - T854 + T882 + T884</f>
        <v>4898</v>
      </c>
      <c r="U886" s="268">
        <f xml:space="preserve"> U843 + U848 - U854 + U882 + U884</f>
        <v>4346</v>
      </c>
      <c r="W886" s="1"/>
      <c r="X886" s="1"/>
      <c r="Y886" s="1"/>
    </row>
    <row r="887" spans="1:25" ht="15.75" thickBot="1">
      <c r="W887" s="1"/>
      <c r="X887" s="1"/>
      <c r="Y887" s="1"/>
    </row>
    <row r="888" spans="1:25">
      <c r="F888" s="8"/>
      <c r="G888" s="8"/>
      <c r="H888" s="8"/>
      <c r="I888" s="8"/>
      <c r="J888" s="8"/>
      <c r="K888" s="8"/>
      <c r="L888" s="8"/>
      <c r="M888" s="8"/>
      <c r="N888" s="8"/>
      <c r="O888" s="8"/>
      <c r="P888" s="8"/>
      <c r="Q888" s="8"/>
      <c r="R888" s="8"/>
      <c r="S888" s="290"/>
      <c r="T888" s="8"/>
      <c r="U888" s="8"/>
      <c r="W888" s="1"/>
      <c r="X888" s="1"/>
      <c r="Y888" s="1"/>
    </row>
    <row r="889" spans="1:25" ht="15.75" thickBot="1">
      <c r="W889" s="1"/>
      <c r="X889" s="1"/>
      <c r="Y889" s="1"/>
    </row>
    <row r="890" spans="1:25" ht="21.75" thickBot="1">
      <c r="F890" s="13" t="s">
        <v>4</v>
      </c>
      <c r="G890" s="13"/>
      <c r="H890" s="185" t="str">
        <f>G22</f>
        <v>Elkhorn Valley Wind - REC Only</v>
      </c>
      <c r="I890" s="186"/>
      <c r="J890" s="174"/>
      <c r="W890" s="1"/>
      <c r="X890" s="1"/>
      <c r="Y890" s="1"/>
    </row>
    <row r="891" spans="1:25">
      <c r="W891" s="1"/>
      <c r="X891" s="1"/>
      <c r="Y891" s="1"/>
    </row>
    <row r="892" spans="1:25" ht="18.75">
      <c r="F892" s="9" t="s">
        <v>21</v>
      </c>
      <c r="G892" s="9"/>
      <c r="I892" s="2">
        <f>'Facility Detail'!$G$3260</f>
        <v>2011</v>
      </c>
      <c r="J892" s="2">
        <f>I892+1</f>
        <v>2012</v>
      </c>
      <c r="K892" s="2">
        <f>J892+1</f>
        <v>2013</v>
      </c>
      <c r="L892" s="2">
        <f t="shared" ref="L892:R892" si="379">K892+1</f>
        <v>2014</v>
      </c>
      <c r="M892" s="2">
        <f t="shared" si="379"/>
        <v>2015</v>
      </c>
      <c r="N892" s="2">
        <f t="shared" si="379"/>
        <v>2016</v>
      </c>
      <c r="O892" s="2">
        <f t="shared" si="379"/>
        <v>2017</v>
      </c>
      <c r="P892" s="2">
        <f t="shared" si="379"/>
        <v>2018</v>
      </c>
      <c r="Q892" s="2">
        <f t="shared" si="379"/>
        <v>2019</v>
      </c>
      <c r="R892" s="2">
        <f t="shared" si="379"/>
        <v>2020</v>
      </c>
      <c r="S892" s="304">
        <f>R892+1</f>
        <v>2021</v>
      </c>
      <c r="T892" s="2">
        <f>S892+1</f>
        <v>2022</v>
      </c>
      <c r="U892" s="2">
        <f>T892+1</f>
        <v>2023</v>
      </c>
      <c r="W892" s="1"/>
      <c r="X892" s="1"/>
      <c r="Y892" s="1"/>
    </row>
    <row r="893" spans="1:25">
      <c r="G893" s="62" t="str">
        <f>"Total MWh Produced / Purchased from " &amp; H890</f>
        <v>Total MWh Produced / Purchased from Elkhorn Valley Wind - REC Only</v>
      </c>
      <c r="H893" s="57"/>
      <c r="I893" s="3"/>
      <c r="J893" s="4"/>
      <c r="K893" s="4"/>
      <c r="L893" s="4"/>
      <c r="M893" s="4">
        <v>4468</v>
      </c>
      <c r="N893" s="4"/>
      <c r="O893" s="4"/>
      <c r="P893" s="4"/>
      <c r="Q893" s="4"/>
      <c r="R893" s="4"/>
      <c r="S893" s="308"/>
      <c r="T893" s="4"/>
      <c r="U893" s="5"/>
      <c r="W893" s="1"/>
      <c r="X893" s="1"/>
      <c r="Y893" s="1"/>
    </row>
    <row r="894" spans="1:25">
      <c r="G894" s="62" t="s">
        <v>25</v>
      </c>
      <c r="H894" s="57"/>
      <c r="I894" s="269"/>
      <c r="J894" s="41"/>
      <c r="K894" s="41"/>
      <c r="L894" s="41"/>
      <c r="M894" s="41">
        <v>1</v>
      </c>
      <c r="N894" s="41"/>
      <c r="O894" s="41"/>
      <c r="P894" s="41"/>
      <c r="Q894" s="41"/>
      <c r="R894" s="41"/>
      <c r="S894" s="309"/>
      <c r="T894" s="41"/>
      <c r="U894" s="42"/>
      <c r="W894" s="1"/>
      <c r="X894" s="1"/>
      <c r="Y894" s="1"/>
    </row>
    <row r="895" spans="1:25">
      <c r="G895" s="62" t="s">
        <v>20</v>
      </c>
      <c r="H895" s="57"/>
      <c r="I895" s="270"/>
      <c r="J895" s="36"/>
      <c r="K895" s="36"/>
      <c r="L895" s="36"/>
      <c r="M895" s="36">
        <v>1</v>
      </c>
      <c r="N895" s="36"/>
      <c r="O895" s="36"/>
      <c r="P895" s="36"/>
      <c r="Q895" s="36"/>
      <c r="R895" s="36"/>
      <c r="S895" s="310"/>
      <c r="T895" s="36"/>
      <c r="U895" s="37"/>
      <c r="W895" s="1"/>
      <c r="X895" s="1"/>
      <c r="Y895" s="1"/>
    </row>
    <row r="896" spans="1:25">
      <c r="A896" s="1" t="s">
        <v>284</v>
      </c>
      <c r="G896" s="26" t="s">
        <v>22</v>
      </c>
      <c r="H896" s="6"/>
      <c r="I896" s="30">
        <f xml:space="preserve"> I893 * I894 * I895</f>
        <v>0</v>
      </c>
      <c r="J896" s="30">
        <f xml:space="preserve"> J893 * J894 * J895</f>
        <v>0</v>
      </c>
      <c r="K896" s="30">
        <f xml:space="preserve"> K893 * K894 * K895</f>
        <v>0</v>
      </c>
      <c r="L896" s="30">
        <f t="shared" ref="L896:S896" si="380" xml:space="preserve"> L893 * L894 * L895</f>
        <v>0</v>
      </c>
      <c r="M896" s="30">
        <v>4468</v>
      </c>
      <c r="N896" s="161">
        <f t="shared" si="380"/>
        <v>0</v>
      </c>
      <c r="O896" s="161">
        <f t="shared" si="380"/>
        <v>0</v>
      </c>
      <c r="P896" s="161">
        <f t="shared" si="380"/>
        <v>0</v>
      </c>
      <c r="Q896" s="161">
        <f t="shared" si="380"/>
        <v>0</v>
      </c>
      <c r="R896" s="161">
        <f t="shared" si="380"/>
        <v>0</v>
      </c>
      <c r="S896" s="311">
        <f t="shared" si="380"/>
        <v>0</v>
      </c>
      <c r="T896" s="161">
        <f t="shared" ref="T896:U896" si="381" xml:space="preserve"> T893 * T894 * T895</f>
        <v>0</v>
      </c>
      <c r="U896" s="161">
        <f t="shared" si="381"/>
        <v>0</v>
      </c>
      <c r="W896" s="1"/>
      <c r="X896" s="1"/>
      <c r="Y896" s="1"/>
    </row>
    <row r="897" spans="6:25">
      <c r="I897" s="29"/>
      <c r="J897" s="29"/>
      <c r="K897" s="29"/>
      <c r="L897" s="29"/>
      <c r="M897" s="29"/>
      <c r="N897" s="20"/>
      <c r="O897" s="20"/>
      <c r="P897" s="20"/>
      <c r="Q897" s="20"/>
      <c r="R897" s="20"/>
      <c r="S897" s="312"/>
      <c r="T897" s="20"/>
      <c r="U897" s="20"/>
      <c r="W897" s="1"/>
      <c r="X897" s="1"/>
      <c r="Y897" s="1"/>
    </row>
    <row r="898" spans="6:25" ht="18.75">
      <c r="F898" s="9" t="s">
        <v>118</v>
      </c>
      <c r="I898" s="2">
        <f>'Facility Detail'!$G$3260</f>
        <v>2011</v>
      </c>
      <c r="J898" s="2">
        <f>I898+1</f>
        <v>2012</v>
      </c>
      <c r="K898" s="2">
        <f>J898+1</f>
        <v>2013</v>
      </c>
      <c r="L898" s="2">
        <f t="shared" ref="L898:R898" si="382">K898+1</f>
        <v>2014</v>
      </c>
      <c r="M898" s="2">
        <f t="shared" si="382"/>
        <v>2015</v>
      </c>
      <c r="N898" s="2">
        <f t="shared" si="382"/>
        <v>2016</v>
      </c>
      <c r="O898" s="2">
        <f t="shared" si="382"/>
        <v>2017</v>
      </c>
      <c r="P898" s="2">
        <f t="shared" si="382"/>
        <v>2018</v>
      </c>
      <c r="Q898" s="2">
        <f t="shared" si="382"/>
        <v>2019</v>
      </c>
      <c r="R898" s="2">
        <f t="shared" si="382"/>
        <v>2020</v>
      </c>
      <c r="S898" s="304">
        <f>R898+1</f>
        <v>2021</v>
      </c>
      <c r="T898" s="2">
        <f>S898+1</f>
        <v>2022</v>
      </c>
      <c r="U898" s="2">
        <f>T898+1</f>
        <v>2023</v>
      </c>
      <c r="W898" s="1"/>
      <c r="X898" s="1"/>
      <c r="Y898" s="1"/>
    </row>
    <row r="899" spans="6:25">
      <c r="G899" s="62" t="s">
        <v>10</v>
      </c>
      <c r="H899" s="57"/>
      <c r="I899" s="38">
        <f>IF($J22 = "Eligible", I896 * 'Facility Detail'!$G$3257, 0 )</f>
        <v>0</v>
      </c>
      <c r="J899" s="11">
        <f>IF($J22 = "Eligible", J896 * 'Facility Detail'!$G$3257, 0 )</f>
        <v>0</v>
      </c>
      <c r="K899" s="11">
        <f>IF($J22 = "Eligible", K896 * 'Facility Detail'!$G$3257, 0 )</f>
        <v>0</v>
      </c>
      <c r="L899" s="11">
        <f>IF($J22 = "Eligible", L896 * 'Facility Detail'!$G$3257, 0 )</f>
        <v>0</v>
      </c>
      <c r="M899" s="11">
        <f>IF($J22 = "Eligible", M896 * 'Facility Detail'!$G$3257, 0 )</f>
        <v>0</v>
      </c>
      <c r="N899" s="11">
        <f>IF($J22 = "Eligible", N896 * 'Facility Detail'!$G$3257, 0 )</f>
        <v>0</v>
      </c>
      <c r="O899" s="11">
        <f>IF($J22 = "Eligible", O896 * 'Facility Detail'!$G$3257, 0 )</f>
        <v>0</v>
      </c>
      <c r="P899" s="11">
        <f>IF($J22 = "Eligible", P896 * 'Facility Detail'!$G$3257, 0 )</f>
        <v>0</v>
      </c>
      <c r="Q899" s="11">
        <f>IF($J22 = "Eligible", Q896 * 'Facility Detail'!$G$3257, 0 )</f>
        <v>0</v>
      </c>
      <c r="R899" s="11">
        <f>IF($J22 = "Eligible", R896 * 'Facility Detail'!$G$3257, 0 )</f>
        <v>0</v>
      </c>
      <c r="S899" s="313">
        <f>IF($J22 = "Eligible", S896 * 'Facility Detail'!$G$3257, 0 )</f>
        <v>0</v>
      </c>
      <c r="T899" s="11">
        <f>IF($J22 = "Eligible", T896 * 'Facility Detail'!$G$3257, 0 )</f>
        <v>0</v>
      </c>
      <c r="U899" s="223">
        <f>IF($J22 = "Eligible", U896 * 'Facility Detail'!$G$3257, 0 )</f>
        <v>0</v>
      </c>
      <c r="W899" s="1"/>
      <c r="X899" s="1"/>
      <c r="Y899" s="1"/>
    </row>
    <row r="900" spans="6:25">
      <c r="G900" s="62" t="s">
        <v>6</v>
      </c>
      <c r="H900" s="57"/>
      <c r="I900" s="39">
        <f t="shared" ref="I900:U900" si="383">IF($K22= "Eligible", I896, 0 )</f>
        <v>0</v>
      </c>
      <c r="J900" s="193">
        <f t="shared" si="383"/>
        <v>0</v>
      </c>
      <c r="K900" s="193">
        <f t="shared" si="383"/>
        <v>0</v>
      </c>
      <c r="L900" s="193">
        <f t="shared" si="383"/>
        <v>0</v>
      </c>
      <c r="M900" s="193">
        <f t="shared" si="383"/>
        <v>0</v>
      </c>
      <c r="N900" s="193">
        <f t="shared" si="383"/>
        <v>0</v>
      </c>
      <c r="O900" s="193">
        <f t="shared" si="383"/>
        <v>0</v>
      </c>
      <c r="P900" s="193">
        <f t="shared" si="383"/>
        <v>0</v>
      </c>
      <c r="Q900" s="193">
        <f t="shared" si="383"/>
        <v>0</v>
      </c>
      <c r="R900" s="193">
        <f t="shared" si="383"/>
        <v>0</v>
      </c>
      <c r="S900" s="314">
        <f t="shared" si="383"/>
        <v>0</v>
      </c>
      <c r="T900" s="193">
        <f t="shared" si="383"/>
        <v>0</v>
      </c>
      <c r="U900" s="224">
        <f t="shared" si="383"/>
        <v>0</v>
      </c>
      <c r="W900" s="1"/>
      <c r="X900" s="1"/>
      <c r="Y900" s="1"/>
    </row>
    <row r="901" spans="6:25">
      <c r="G901" s="26" t="s">
        <v>120</v>
      </c>
      <c r="H901" s="6"/>
      <c r="I901" s="32">
        <f>SUM(I899:I900)</f>
        <v>0</v>
      </c>
      <c r="J901" s="33">
        <f>SUM(J899:J900)</f>
        <v>0</v>
      </c>
      <c r="K901" s="33">
        <f>SUM(K899:K900)</f>
        <v>0</v>
      </c>
      <c r="L901" s="33">
        <f t="shared" ref="L901:S901" si="384">SUM(L899:L900)</f>
        <v>0</v>
      </c>
      <c r="M901" s="33">
        <f t="shared" si="384"/>
        <v>0</v>
      </c>
      <c r="N901" s="33">
        <f t="shared" si="384"/>
        <v>0</v>
      </c>
      <c r="O901" s="33">
        <f t="shared" si="384"/>
        <v>0</v>
      </c>
      <c r="P901" s="33">
        <f t="shared" si="384"/>
        <v>0</v>
      </c>
      <c r="Q901" s="33">
        <f t="shared" si="384"/>
        <v>0</v>
      </c>
      <c r="R901" s="33">
        <f t="shared" si="384"/>
        <v>0</v>
      </c>
      <c r="S901" s="315">
        <f t="shared" si="384"/>
        <v>0</v>
      </c>
      <c r="T901" s="33">
        <f t="shared" ref="T901:U901" si="385">SUM(T899:T900)</f>
        <v>0</v>
      </c>
      <c r="U901" s="33">
        <f t="shared" si="385"/>
        <v>0</v>
      </c>
      <c r="W901" s="1"/>
      <c r="X901" s="1"/>
      <c r="Y901" s="1"/>
    </row>
    <row r="902" spans="6:25">
      <c r="I902" s="31"/>
      <c r="J902" s="24"/>
      <c r="K902" s="24"/>
      <c r="L902" s="24"/>
      <c r="M902" s="24"/>
      <c r="N902" s="24"/>
      <c r="O902" s="24"/>
      <c r="P902" s="24"/>
      <c r="Q902" s="24"/>
      <c r="R902" s="24"/>
      <c r="S902" s="316"/>
      <c r="T902" s="24"/>
      <c r="U902" s="24"/>
      <c r="W902" s="1"/>
      <c r="X902" s="1"/>
      <c r="Y902" s="1"/>
    </row>
    <row r="903" spans="6:25" ht="18.75">
      <c r="F903" s="9" t="s">
        <v>30</v>
      </c>
      <c r="I903" s="2">
        <f>'Facility Detail'!$G$3260</f>
        <v>2011</v>
      </c>
      <c r="J903" s="2">
        <f>I903+1</f>
        <v>2012</v>
      </c>
      <c r="K903" s="2">
        <f>J903+1</f>
        <v>2013</v>
      </c>
      <c r="L903" s="2">
        <f t="shared" ref="L903:R903" si="386">K903+1</f>
        <v>2014</v>
      </c>
      <c r="M903" s="2">
        <f t="shared" si="386"/>
        <v>2015</v>
      </c>
      <c r="N903" s="2">
        <f t="shared" si="386"/>
        <v>2016</v>
      </c>
      <c r="O903" s="2">
        <f t="shared" si="386"/>
        <v>2017</v>
      </c>
      <c r="P903" s="2">
        <f t="shared" si="386"/>
        <v>2018</v>
      </c>
      <c r="Q903" s="2">
        <f t="shared" si="386"/>
        <v>2019</v>
      </c>
      <c r="R903" s="2">
        <f t="shared" si="386"/>
        <v>2020</v>
      </c>
      <c r="S903" s="304">
        <f>R903+1</f>
        <v>2021</v>
      </c>
      <c r="T903" s="2">
        <f>S903+1</f>
        <v>2022</v>
      </c>
      <c r="U903" s="2">
        <f>T903+1</f>
        <v>2023</v>
      </c>
      <c r="W903" s="1"/>
      <c r="X903" s="1"/>
      <c r="Y903" s="1"/>
    </row>
    <row r="904" spans="6:25">
      <c r="G904" s="62" t="s">
        <v>47</v>
      </c>
      <c r="H904" s="57"/>
      <c r="I904" s="71"/>
      <c r="J904" s="72"/>
      <c r="K904" s="72"/>
      <c r="L904" s="72"/>
      <c r="M904" s="72"/>
      <c r="N904" s="72"/>
      <c r="O904" s="72"/>
      <c r="P904" s="72"/>
      <c r="Q904" s="72"/>
      <c r="R904" s="72"/>
      <c r="S904" s="317"/>
      <c r="T904" s="72"/>
      <c r="U904" s="73"/>
      <c r="W904" s="1"/>
      <c r="X904" s="1"/>
      <c r="Y904" s="1"/>
    </row>
    <row r="905" spans="6:25">
      <c r="G905" s="63" t="s">
        <v>23</v>
      </c>
      <c r="H905" s="135"/>
      <c r="I905" s="74"/>
      <c r="J905" s="75"/>
      <c r="K905" s="75"/>
      <c r="L905" s="75"/>
      <c r="M905" s="75"/>
      <c r="N905" s="75"/>
      <c r="O905" s="75"/>
      <c r="P905" s="75"/>
      <c r="Q905" s="75"/>
      <c r="R905" s="75"/>
      <c r="S905" s="318"/>
      <c r="T905" s="75"/>
      <c r="U905" s="76"/>
      <c r="W905" s="1"/>
      <c r="X905" s="1"/>
      <c r="Y905" s="1"/>
    </row>
    <row r="906" spans="6:25">
      <c r="G906" s="63" t="s">
        <v>89</v>
      </c>
      <c r="H906" s="134"/>
      <c r="I906" s="43"/>
      <c r="J906" s="44"/>
      <c r="K906" s="44"/>
      <c r="L906" s="44"/>
      <c r="M906" s="44"/>
      <c r="N906" s="44"/>
      <c r="O906" s="44"/>
      <c r="P906" s="44"/>
      <c r="Q906" s="44"/>
      <c r="R906" s="44"/>
      <c r="S906" s="319"/>
      <c r="T906" s="44"/>
      <c r="U906" s="45"/>
      <c r="W906" s="1"/>
      <c r="X906" s="1"/>
      <c r="Y906" s="1"/>
    </row>
    <row r="907" spans="6:25">
      <c r="G907" s="26" t="s">
        <v>90</v>
      </c>
      <c r="I907" s="7">
        <f>SUM(I904:I906)</f>
        <v>0</v>
      </c>
      <c r="J907" s="7">
        <f>SUM(J904:J906)</f>
        <v>0</v>
      </c>
      <c r="K907" s="7">
        <f>SUM(K904:K906)</f>
        <v>0</v>
      </c>
      <c r="L907" s="7">
        <f t="shared" ref="L907:S907" si="387">SUM(L904:L906)</f>
        <v>0</v>
      </c>
      <c r="M907" s="7">
        <f t="shared" si="387"/>
        <v>0</v>
      </c>
      <c r="N907" s="7">
        <f t="shared" si="387"/>
        <v>0</v>
      </c>
      <c r="O907" s="7">
        <f t="shared" si="387"/>
        <v>0</v>
      </c>
      <c r="P907" s="7">
        <f t="shared" si="387"/>
        <v>0</v>
      </c>
      <c r="Q907" s="7">
        <f t="shared" si="387"/>
        <v>0</v>
      </c>
      <c r="R907" s="7">
        <f t="shared" si="387"/>
        <v>0</v>
      </c>
      <c r="S907" s="320">
        <f t="shared" si="387"/>
        <v>0</v>
      </c>
      <c r="T907" s="7">
        <f t="shared" ref="T907:U907" si="388">SUM(T904:T906)</f>
        <v>0</v>
      </c>
      <c r="U907" s="7">
        <f t="shared" si="388"/>
        <v>0</v>
      </c>
      <c r="W907" s="1"/>
      <c r="X907" s="1"/>
      <c r="Y907" s="1"/>
    </row>
    <row r="908" spans="6:25">
      <c r="G908" s="6"/>
      <c r="I908" s="7"/>
      <c r="J908" s="7"/>
      <c r="K908" s="7"/>
      <c r="L908" s="7"/>
      <c r="M908" s="7"/>
      <c r="N908" s="7"/>
      <c r="O908" s="7"/>
      <c r="P908" s="7"/>
      <c r="Q908" s="7"/>
      <c r="R908" s="7"/>
      <c r="S908" s="320"/>
      <c r="T908" s="7"/>
      <c r="U908" s="7"/>
      <c r="W908" s="1"/>
      <c r="X908" s="1"/>
      <c r="Y908" s="1"/>
    </row>
    <row r="909" spans="6:25" ht="18.75">
      <c r="F909" s="9" t="s">
        <v>100</v>
      </c>
      <c r="I909" s="2">
        <f>'Facility Detail'!$G$3260</f>
        <v>2011</v>
      </c>
      <c r="J909" s="2">
        <f>I909+1</f>
        <v>2012</v>
      </c>
      <c r="K909" s="2">
        <f>J909+1</f>
        <v>2013</v>
      </c>
      <c r="L909" s="2">
        <f t="shared" ref="L909:R909" si="389">K909+1</f>
        <v>2014</v>
      </c>
      <c r="M909" s="2">
        <f t="shared" si="389"/>
        <v>2015</v>
      </c>
      <c r="N909" s="2">
        <f t="shared" si="389"/>
        <v>2016</v>
      </c>
      <c r="O909" s="2">
        <f t="shared" si="389"/>
        <v>2017</v>
      </c>
      <c r="P909" s="2">
        <f t="shared" si="389"/>
        <v>2018</v>
      </c>
      <c r="Q909" s="2">
        <f t="shared" si="389"/>
        <v>2019</v>
      </c>
      <c r="R909" s="2">
        <f t="shared" si="389"/>
        <v>2020</v>
      </c>
      <c r="S909" s="304">
        <f>R909+1</f>
        <v>2021</v>
      </c>
      <c r="T909" s="2">
        <f>S909+1</f>
        <v>2022</v>
      </c>
      <c r="U909" s="2">
        <f>T909+1</f>
        <v>2023</v>
      </c>
      <c r="W909" s="1"/>
      <c r="X909" s="1"/>
      <c r="Y909" s="1"/>
    </row>
    <row r="910" spans="6:25">
      <c r="G910" s="62" t="s">
        <v>68</v>
      </c>
      <c r="H910" s="57"/>
      <c r="I910" s="3"/>
      <c r="J910" s="46">
        <f>I910</f>
        <v>0</v>
      </c>
      <c r="K910" s="106"/>
      <c r="L910" s="106"/>
      <c r="M910" s="106"/>
      <c r="N910" s="106"/>
      <c r="O910" s="106"/>
      <c r="P910" s="106"/>
      <c r="Q910" s="106"/>
      <c r="R910" s="106"/>
      <c r="S910" s="322"/>
      <c r="T910" s="106"/>
      <c r="U910" s="47"/>
      <c r="W910" s="1"/>
      <c r="X910" s="1"/>
      <c r="Y910" s="1"/>
    </row>
    <row r="911" spans="6:25">
      <c r="G911" s="62" t="s">
        <v>69</v>
      </c>
      <c r="H911" s="57"/>
      <c r="I911" s="127">
        <f>J911</f>
        <v>0</v>
      </c>
      <c r="J911" s="10"/>
      <c r="K911" s="60"/>
      <c r="L911" s="60"/>
      <c r="M911" s="60"/>
      <c r="N911" s="60"/>
      <c r="O911" s="60"/>
      <c r="P911" s="60"/>
      <c r="Q911" s="60"/>
      <c r="R911" s="60"/>
      <c r="S911" s="330"/>
      <c r="T911" s="60"/>
      <c r="U911" s="128"/>
      <c r="W911" s="1"/>
      <c r="X911" s="1"/>
      <c r="Y911" s="1"/>
    </row>
    <row r="912" spans="6:25">
      <c r="G912" s="62" t="s">
        <v>70</v>
      </c>
      <c r="H912" s="57"/>
      <c r="I912" s="48"/>
      <c r="J912" s="10">
        <f>J896</f>
        <v>0</v>
      </c>
      <c r="K912" s="56">
        <f>J912</f>
        <v>0</v>
      </c>
      <c r="L912" s="60"/>
      <c r="M912" s="60"/>
      <c r="N912" s="60"/>
      <c r="O912" s="60"/>
      <c r="P912" s="60"/>
      <c r="Q912" s="60"/>
      <c r="R912" s="60"/>
      <c r="S912" s="330"/>
      <c r="T912" s="60"/>
      <c r="U912" s="128"/>
      <c r="W912" s="1"/>
      <c r="X912" s="1"/>
      <c r="Y912" s="1"/>
    </row>
    <row r="913" spans="2:25">
      <c r="G913" s="62" t="s">
        <v>71</v>
      </c>
      <c r="H913" s="57"/>
      <c r="I913" s="48"/>
      <c r="J913" s="56">
        <f>K913</f>
        <v>0</v>
      </c>
      <c r="K913" s="126"/>
      <c r="L913" s="60"/>
      <c r="M913" s="60"/>
      <c r="N913" s="60"/>
      <c r="O913" s="60"/>
      <c r="P913" s="60"/>
      <c r="Q913" s="60"/>
      <c r="R913" s="60"/>
      <c r="S913" s="330"/>
      <c r="T913" s="60"/>
      <c r="U913" s="128"/>
      <c r="W913" s="1"/>
      <c r="X913" s="1"/>
      <c r="Y913" s="1"/>
    </row>
    <row r="914" spans="2:25">
      <c r="G914" s="62" t="s">
        <v>170</v>
      </c>
      <c r="I914" s="48"/>
      <c r="J914" s="118"/>
      <c r="K914" s="10">
        <f>K896</f>
        <v>0</v>
      </c>
      <c r="L914" s="119">
        <f>K914</f>
        <v>0</v>
      </c>
      <c r="M914" s="60"/>
      <c r="N914" s="60"/>
      <c r="O914" s="60"/>
      <c r="P914" s="60"/>
      <c r="Q914" s="60"/>
      <c r="R914" s="60"/>
      <c r="S914" s="330"/>
      <c r="T914" s="60"/>
      <c r="U914" s="128"/>
      <c r="W914" s="1"/>
      <c r="X914" s="1"/>
      <c r="Y914" s="1"/>
    </row>
    <row r="915" spans="2:25">
      <c r="G915" s="62" t="s">
        <v>171</v>
      </c>
      <c r="I915" s="48"/>
      <c r="J915" s="118"/>
      <c r="K915" s="56">
        <f>L915</f>
        <v>0</v>
      </c>
      <c r="L915" s="10"/>
      <c r="M915" s="60"/>
      <c r="N915" s="60"/>
      <c r="O915" s="60"/>
      <c r="P915" s="60"/>
      <c r="Q915" s="60"/>
      <c r="R915" s="60"/>
      <c r="S915" s="330"/>
      <c r="T915" s="60"/>
      <c r="U915" s="128"/>
      <c r="W915" s="1"/>
      <c r="X915" s="1"/>
      <c r="Y915" s="1"/>
    </row>
    <row r="916" spans="2:25">
      <c r="G916" s="62" t="s">
        <v>172</v>
      </c>
      <c r="I916" s="48"/>
      <c r="J916" s="118"/>
      <c r="K916" s="118"/>
      <c r="L916" s="10">
        <f>L896</f>
        <v>0</v>
      </c>
      <c r="M916" s="119">
        <f>L916</f>
        <v>0</v>
      </c>
      <c r="N916" s="118">
        <f>M916</f>
        <v>0</v>
      </c>
      <c r="O916" s="118"/>
      <c r="P916" s="118"/>
      <c r="Q916" s="118"/>
      <c r="R916" s="118"/>
      <c r="S916" s="324"/>
      <c r="T916" s="118"/>
      <c r="U916" s="122"/>
      <c r="W916" s="1"/>
      <c r="X916" s="1"/>
      <c r="Y916" s="1"/>
    </row>
    <row r="917" spans="2:25">
      <c r="G917" s="62" t="s">
        <v>173</v>
      </c>
      <c r="I917" s="48"/>
      <c r="J917" s="118"/>
      <c r="K917" s="118"/>
      <c r="L917" s="120"/>
      <c r="M917" s="121"/>
      <c r="N917" s="118"/>
      <c r="O917" s="118"/>
      <c r="P917" s="118"/>
      <c r="Q917" s="118"/>
      <c r="R917" s="118"/>
      <c r="S917" s="324"/>
      <c r="T917" s="118"/>
      <c r="U917" s="122"/>
      <c r="W917" s="1"/>
      <c r="X917" s="1"/>
      <c r="Y917" s="1"/>
    </row>
    <row r="918" spans="2:25">
      <c r="G918" s="62" t="s">
        <v>174</v>
      </c>
      <c r="I918" s="48"/>
      <c r="J918" s="118"/>
      <c r="K918" s="118"/>
      <c r="L918" s="118"/>
      <c r="M918" s="121">
        <f>M896</f>
        <v>4468</v>
      </c>
      <c r="N918" s="119">
        <f>M918</f>
        <v>4468</v>
      </c>
      <c r="O918" s="118"/>
      <c r="P918" s="118"/>
      <c r="Q918" s="118"/>
      <c r="R918" s="118"/>
      <c r="S918" s="324"/>
      <c r="T918" s="118"/>
      <c r="U918" s="122"/>
      <c r="W918" s="1"/>
      <c r="X918" s="1"/>
      <c r="Y918" s="1"/>
    </row>
    <row r="919" spans="2:25">
      <c r="G919" s="62" t="s">
        <v>175</v>
      </c>
      <c r="I919" s="48"/>
      <c r="J919" s="118"/>
      <c r="K919" s="118"/>
      <c r="L919" s="118"/>
      <c r="M919" s="56"/>
      <c r="N919" s="121"/>
      <c r="O919" s="119"/>
      <c r="P919" s="118"/>
      <c r="Q919" s="118"/>
      <c r="R919" s="118"/>
      <c r="S919" s="324"/>
      <c r="T919" s="118"/>
      <c r="U919" s="122"/>
      <c r="W919" s="1"/>
      <c r="X919" s="1"/>
      <c r="Y919" s="1"/>
    </row>
    <row r="920" spans="2:25">
      <c r="G920" s="62" t="s">
        <v>176</v>
      </c>
      <c r="I920" s="48"/>
      <c r="J920" s="118"/>
      <c r="K920" s="118"/>
      <c r="L920" s="118"/>
      <c r="M920" s="118"/>
      <c r="N920" s="121">
        <f>N896</f>
        <v>0</v>
      </c>
      <c r="O920" s="121">
        <f>N920</f>
        <v>0</v>
      </c>
      <c r="P920" s="118"/>
      <c r="Q920" s="118"/>
      <c r="R920" s="118"/>
      <c r="S920" s="324"/>
      <c r="T920" s="118"/>
      <c r="U920" s="122"/>
      <c r="W920" s="1"/>
      <c r="X920" s="1"/>
      <c r="Y920" s="1"/>
    </row>
    <row r="921" spans="2:25">
      <c r="G921" s="62" t="s">
        <v>167</v>
      </c>
      <c r="I921" s="48"/>
      <c r="J921" s="118"/>
      <c r="K921" s="118"/>
      <c r="L921" s="118"/>
      <c r="M921" s="118"/>
      <c r="N921" s="56"/>
      <c r="O921" s="121"/>
      <c r="P921" s="119"/>
      <c r="Q921" s="118"/>
      <c r="R921" s="118"/>
      <c r="S921" s="324"/>
      <c r="T921" s="118"/>
      <c r="U921" s="122"/>
      <c r="W921" s="1"/>
      <c r="X921" s="1"/>
      <c r="Y921" s="1"/>
    </row>
    <row r="922" spans="2:25">
      <c r="G922" s="62" t="s">
        <v>168</v>
      </c>
      <c r="I922" s="49"/>
      <c r="J922" s="108"/>
      <c r="K922" s="108"/>
      <c r="L922" s="108"/>
      <c r="M922" s="108"/>
      <c r="N922" s="108"/>
      <c r="O922" s="271"/>
      <c r="P922" s="123"/>
      <c r="Q922" s="108"/>
      <c r="R922" s="108"/>
      <c r="S922" s="325"/>
      <c r="T922" s="108"/>
      <c r="U922" s="459"/>
      <c r="W922" s="1"/>
      <c r="X922" s="1"/>
      <c r="Y922" s="1"/>
    </row>
    <row r="923" spans="2:25">
      <c r="B923" s="1" t="s">
        <v>284</v>
      </c>
      <c r="G923" s="26" t="s">
        <v>17</v>
      </c>
      <c r="I923" s="7">
        <f xml:space="preserve"> I911 - I910</f>
        <v>0</v>
      </c>
      <c r="J923" s="7">
        <f xml:space="preserve"> J910 + J913 - J912 - J911</f>
        <v>0</v>
      </c>
      <c r="K923" s="7">
        <f>K912 - K913</f>
        <v>0</v>
      </c>
      <c r="L923" s="7">
        <f t="shared" ref="L923" si="390">L912 - L913</f>
        <v>0</v>
      </c>
      <c r="M923" s="7">
        <f>M916-M917-M918</f>
        <v>-4468</v>
      </c>
      <c r="N923" s="7">
        <f>N918-N919-N920</f>
        <v>4468</v>
      </c>
      <c r="O923" s="7">
        <f>O920-O921-O922</f>
        <v>0</v>
      </c>
      <c r="P923" s="7">
        <f>P922</f>
        <v>0</v>
      </c>
      <c r="Q923" s="7">
        <f t="shared" ref="Q923:S923" si="391">Q922</f>
        <v>0</v>
      </c>
      <c r="R923" s="7">
        <f t="shared" si="391"/>
        <v>0</v>
      </c>
      <c r="S923" s="320">
        <f t="shared" si="391"/>
        <v>0</v>
      </c>
      <c r="T923" s="7">
        <f t="shared" ref="T923:U923" si="392">T922</f>
        <v>0</v>
      </c>
      <c r="U923" s="7">
        <f t="shared" si="392"/>
        <v>0</v>
      </c>
      <c r="W923" s="1"/>
      <c r="X923" s="1"/>
      <c r="Y923" s="1"/>
    </row>
    <row r="924" spans="2:25">
      <c r="G924" s="6"/>
      <c r="I924" s="7"/>
      <c r="J924" s="7"/>
      <c r="K924" s="7"/>
      <c r="L924" s="7"/>
      <c r="M924" s="7"/>
      <c r="N924" s="7"/>
      <c r="O924" s="7"/>
      <c r="P924" s="7"/>
      <c r="Q924" s="7"/>
      <c r="R924" s="7"/>
      <c r="S924" s="320"/>
      <c r="T924" s="7"/>
      <c r="U924" s="7"/>
      <c r="W924" s="1"/>
      <c r="X924" s="1"/>
      <c r="Y924" s="1"/>
    </row>
    <row r="925" spans="2:25">
      <c r="G925" s="26" t="s">
        <v>12</v>
      </c>
      <c r="H925" s="57"/>
      <c r="I925" s="155"/>
      <c r="J925" s="156"/>
      <c r="K925" s="156"/>
      <c r="L925" s="156"/>
      <c r="M925" s="156"/>
      <c r="N925" s="156"/>
      <c r="O925" s="156"/>
      <c r="P925" s="156"/>
      <c r="Q925" s="156"/>
      <c r="R925" s="156"/>
      <c r="S925" s="326"/>
      <c r="T925" s="156"/>
      <c r="U925" s="267"/>
      <c r="W925" s="1"/>
      <c r="X925" s="1"/>
      <c r="Y925" s="1"/>
    </row>
    <row r="926" spans="2:25">
      <c r="G926" s="6"/>
      <c r="I926" s="154"/>
      <c r="J926" s="154"/>
      <c r="K926" s="154"/>
      <c r="L926" s="154"/>
      <c r="M926" s="154"/>
      <c r="N926" s="154"/>
      <c r="O926" s="154"/>
      <c r="P926" s="154"/>
      <c r="Q926" s="154"/>
      <c r="R926" s="154"/>
      <c r="S926" s="327"/>
      <c r="T926" s="154"/>
      <c r="U926" s="154"/>
      <c r="W926" s="1"/>
      <c r="X926" s="1"/>
      <c r="Y926" s="1"/>
    </row>
    <row r="927" spans="2:25" ht="18.75">
      <c r="C927" s="1" t="s">
        <v>284</v>
      </c>
      <c r="D927" s="1" t="s">
        <v>285</v>
      </c>
      <c r="E927" s="1" t="s">
        <v>107</v>
      </c>
      <c r="F927" s="9" t="s">
        <v>26</v>
      </c>
      <c r="H927" s="57"/>
      <c r="I927" s="157">
        <f t="shared" ref="I927:S927" si="393" xml:space="preserve"> I896 + I901 - I907 + I923 + I925</f>
        <v>0</v>
      </c>
      <c r="J927" s="158">
        <f t="shared" si="393"/>
        <v>0</v>
      </c>
      <c r="K927" s="158">
        <f t="shared" si="393"/>
        <v>0</v>
      </c>
      <c r="L927" s="158">
        <f t="shared" si="393"/>
        <v>0</v>
      </c>
      <c r="M927" s="158">
        <f t="shared" si="393"/>
        <v>0</v>
      </c>
      <c r="N927" s="158">
        <f t="shared" si="393"/>
        <v>4468</v>
      </c>
      <c r="O927" s="158">
        <f t="shared" si="393"/>
        <v>0</v>
      </c>
      <c r="P927" s="158">
        <f t="shared" si="393"/>
        <v>0</v>
      </c>
      <c r="Q927" s="158">
        <f t="shared" si="393"/>
        <v>0</v>
      </c>
      <c r="R927" s="158">
        <f t="shared" si="393"/>
        <v>0</v>
      </c>
      <c r="S927" s="328">
        <f t="shared" si="393"/>
        <v>0</v>
      </c>
      <c r="T927" s="158">
        <f t="shared" ref="T927:U927" si="394" xml:space="preserve"> T896 + T901 - T907 + T923 + T925</f>
        <v>0</v>
      </c>
      <c r="U927" s="268">
        <f t="shared" si="394"/>
        <v>0</v>
      </c>
      <c r="W927" s="1"/>
      <c r="X927" s="1"/>
      <c r="Y927" s="1"/>
    </row>
    <row r="928" spans="2:25">
      <c r="G928" s="6"/>
      <c r="I928" s="7"/>
      <c r="J928" s="7"/>
      <c r="K928" s="7"/>
      <c r="L928" s="23"/>
      <c r="M928" s="23"/>
      <c r="N928" s="23"/>
      <c r="O928" s="23"/>
      <c r="P928" s="23"/>
      <c r="Q928" s="23"/>
      <c r="R928" s="23"/>
      <c r="S928" s="282"/>
      <c r="T928" s="23"/>
      <c r="U928" s="23"/>
      <c r="W928" s="1"/>
      <c r="X928" s="1"/>
      <c r="Y928" s="1"/>
    </row>
    <row r="929" spans="1:25" ht="15.75" thickBot="1">
      <c r="W929" s="1"/>
      <c r="X929" s="1"/>
      <c r="Y929" s="1"/>
    </row>
    <row r="930" spans="1:25" ht="15.75" thickBot="1">
      <c r="F930" s="8"/>
      <c r="G930" s="8"/>
      <c r="H930" s="8"/>
      <c r="I930" s="8"/>
      <c r="J930" s="8"/>
      <c r="K930" s="8"/>
      <c r="L930" s="8"/>
      <c r="M930" s="8"/>
      <c r="N930" s="8"/>
      <c r="O930" s="8"/>
      <c r="P930" s="8"/>
      <c r="Q930" s="8"/>
      <c r="R930" s="8"/>
      <c r="S930" s="290"/>
      <c r="T930" s="8"/>
      <c r="U930" s="8"/>
      <c r="W930" s="1"/>
      <c r="X930" s="1"/>
      <c r="Y930" s="1"/>
    </row>
    <row r="931" spans="1:25" ht="21.75" thickBot="1">
      <c r="F931" s="13" t="s">
        <v>4</v>
      </c>
      <c r="G931" s="13"/>
      <c r="H931" s="185" t="s">
        <v>181</v>
      </c>
      <c r="I931" s="183"/>
      <c r="W931" s="1"/>
      <c r="X931" s="1"/>
      <c r="Y931" s="1"/>
    </row>
    <row r="932" spans="1:25">
      <c r="W932" s="1"/>
      <c r="X932" s="1"/>
      <c r="Y932" s="1"/>
    </row>
    <row r="933" spans="1:25" ht="18.75">
      <c r="F933" s="9" t="s">
        <v>21</v>
      </c>
      <c r="G933" s="9"/>
      <c r="I933" s="2">
        <v>2011</v>
      </c>
      <c r="J933" s="2">
        <f>I933+1</f>
        <v>2012</v>
      </c>
      <c r="K933" s="2">
        <f t="shared" ref="K933:R933" si="395">J933+1</f>
        <v>2013</v>
      </c>
      <c r="L933" s="2">
        <f t="shared" si="395"/>
        <v>2014</v>
      </c>
      <c r="M933" s="2">
        <f t="shared" si="395"/>
        <v>2015</v>
      </c>
      <c r="N933" s="2">
        <f t="shared" si="395"/>
        <v>2016</v>
      </c>
      <c r="O933" s="2">
        <f t="shared" si="395"/>
        <v>2017</v>
      </c>
      <c r="P933" s="2">
        <f t="shared" si="395"/>
        <v>2018</v>
      </c>
      <c r="Q933" s="2">
        <f t="shared" si="395"/>
        <v>2019</v>
      </c>
      <c r="R933" s="2">
        <f t="shared" si="395"/>
        <v>2020</v>
      </c>
      <c r="S933" s="2">
        <f>R933+1</f>
        <v>2021</v>
      </c>
      <c r="T933" s="2">
        <f>S933+1</f>
        <v>2022</v>
      </c>
      <c r="U933" s="2">
        <f>T933+1</f>
        <v>2023</v>
      </c>
      <c r="W933" s="1"/>
      <c r="X933" s="1"/>
      <c r="Y933" s="1"/>
    </row>
    <row r="934" spans="1:25">
      <c r="G934" s="62" t="str">
        <f>"Total MWh Produced / Purchased from " &amp; H931</f>
        <v>Total MWh Produced / Purchased from Enterprise Solar</v>
      </c>
      <c r="H934" s="57"/>
      <c r="I934" s="3"/>
      <c r="J934" s="4"/>
      <c r="K934" s="4"/>
      <c r="L934" s="4"/>
      <c r="M934" s="4"/>
      <c r="N934" s="4">
        <v>84577</v>
      </c>
      <c r="O934" s="4">
        <v>224267</v>
      </c>
      <c r="P934" s="4">
        <v>225336</v>
      </c>
      <c r="Q934" s="4">
        <v>220052</v>
      </c>
      <c r="R934" s="4">
        <v>234941</v>
      </c>
      <c r="S934" s="4">
        <v>222436</v>
      </c>
      <c r="T934" s="4">
        <v>227719</v>
      </c>
      <c r="U934" s="5">
        <v>209979</v>
      </c>
      <c r="W934" s="1"/>
      <c r="X934" s="1"/>
      <c r="Y934" s="1"/>
    </row>
    <row r="935" spans="1:25">
      <c r="G935" s="62" t="s">
        <v>25</v>
      </c>
      <c r="H935" s="57"/>
      <c r="I935" s="269"/>
      <c r="J935" s="41"/>
      <c r="K935" s="41"/>
      <c r="L935" s="41"/>
      <c r="M935" s="41"/>
      <c r="N935" s="41">
        <v>1</v>
      </c>
      <c r="O935" s="41">
        <v>1</v>
      </c>
      <c r="P935" s="41">
        <v>1</v>
      </c>
      <c r="Q935" s="41">
        <v>1</v>
      </c>
      <c r="R935" s="41">
        <v>1</v>
      </c>
      <c r="S935" s="41">
        <v>1</v>
      </c>
      <c r="T935" s="41">
        <v>1</v>
      </c>
      <c r="U935" s="42">
        <v>1</v>
      </c>
      <c r="W935" s="1"/>
      <c r="X935" s="1"/>
      <c r="Y935" s="1"/>
    </row>
    <row r="936" spans="1:25">
      <c r="G936" s="62" t="s">
        <v>20</v>
      </c>
      <c r="H936" s="57"/>
      <c r="I936" s="270"/>
      <c r="J936" s="36"/>
      <c r="K936" s="36"/>
      <c r="L936" s="36"/>
      <c r="M936" s="36"/>
      <c r="N936" s="36">
        <v>0.22741888098063476</v>
      </c>
      <c r="O936" s="36">
        <v>0.22498369104255439</v>
      </c>
      <c r="P936" s="36">
        <f>P79</f>
        <v>0.22007817037432531</v>
      </c>
      <c r="Q936" s="36">
        <f>Q79</f>
        <v>0.2223660721260575</v>
      </c>
      <c r="R936" s="36">
        <f>R79</f>
        <v>0.22351563443464154</v>
      </c>
      <c r="S936" s="36">
        <f>S3</f>
        <v>0.22350374113192695</v>
      </c>
      <c r="T936" s="36">
        <f>T3</f>
        <v>0.2182158613775059</v>
      </c>
      <c r="U936" s="36">
        <f>U3</f>
        <v>0.21529999999999999</v>
      </c>
      <c r="W936" s="1"/>
      <c r="X936" s="1"/>
      <c r="Y936" s="1"/>
    </row>
    <row r="937" spans="1:25">
      <c r="A937" s="1" t="s">
        <v>214</v>
      </c>
      <c r="G937" s="26" t="s">
        <v>22</v>
      </c>
      <c r="H937" s="6"/>
      <c r="I937" s="30">
        <v>0</v>
      </c>
      <c r="J937" s="30">
        <v>0</v>
      </c>
      <c r="K937" s="30">
        <v>0</v>
      </c>
      <c r="L937" s="30">
        <v>0</v>
      </c>
      <c r="M937" s="30">
        <v>0</v>
      </c>
      <c r="N937" s="161">
        <v>19234.406696699145</v>
      </c>
      <c r="O937" s="161">
        <v>50456</v>
      </c>
      <c r="P937" s="161">
        <v>49593</v>
      </c>
      <c r="Q937" s="161">
        <f>Q934*Q936</f>
        <v>48932.098903483202</v>
      </c>
      <c r="R937" s="161">
        <f>R934*R936</f>
        <v>52512.98666970912</v>
      </c>
      <c r="S937" s="161">
        <f>(ROUNDUP(S934*S936,0))</f>
        <v>49716</v>
      </c>
      <c r="T937" s="161">
        <f>ROUNDDOWN(T934*T936,0)</f>
        <v>49691</v>
      </c>
      <c r="U937" s="161">
        <f>ROUNDUP(U934*U936,0)</f>
        <v>45209</v>
      </c>
      <c r="W937" s="1"/>
      <c r="X937" s="1"/>
      <c r="Y937" s="1"/>
    </row>
    <row r="938" spans="1:25">
      <c r="I938" s="29"/>
      <c r="J938" s="29"/>
      <c r="K938" s="29"/>
      <c r="L938" s="29"/>
      <c r="M938" s="29"/>
      <c r="N938" s="20"/>
      <c r="O938" s="20"/>
      <c r="P938" s="20"/>
      <c r="Q938" s="20"/>
      <c r="R938" s="20"/>
      <c r="S938" s="292"/>
      <c r="T938" s="20"/>
      <c r="U938" s="20"/>
      <c r="W938" s="1"/>
      <c r="X938" s="1"/>
      <c r="Y938" s="1"/>
    </row>
    <row r="939" spans="1:25" ht="18.75">
      <c r="F939" s="9" t="s">
        <v>118</v>
      </c>
      <c r="I939" s="2">
        <v>2011</v>
      </c>
      <c r="J939" s="2">
        <f>I939+1</f>
        <v>2012</v>
      </c>
      <c r="K939" s="2">
        <f t="shared" ref="K939:R939" si="396">J939+1</f>
        <v>2013</v>
      </c>
      <c r="L939" s="2">
        <f t="shared" si="396"/>
        <v>2014</v>
      </c>
      <c r="M939" s="2">
        <f t="shared" si="396"/>
        <v>2015</v>
      </c>
      <c r="N939" s="2">
        <f t="shared" si="396"/>
        <v>2016</v>
      </c>
      <c r="O939" s="2">
        <f t="shared" si="396"/>
        <v>2017</v>
      </c>
      <c r="P939" s="2">
        <f t="shared" si="396"/>
        <v>2018</v>
      </c>
      <c r="Q939" s="2">
        <f t="shared" si="396"/>
        <v>2019</v>
      </c>
      <c r="R939" s="2">
        <f t="shared" si="396"/>
        <v>2020</v>
      </c>
      <c r="S939" s="2">
        <f>R939+1</f>
        <v>2021</v>
      </c>
      <c r="T939" s="2">
        <f>S939+1</f>
        <v>2022</v>
      </c>
      <c r="U939" s="2">
        <f>T939+1</f>
        <v>2023</v>
      </c>
      <c r="W939" s="1"/>
      <c r="X939" s="1"/>
      <c r="Y939" s="1"/>
    </row>
    <row r="940" spans="1:25">
      <c r="G940" s="62" t="s">
        <v>10</v>
      </c>
      <c r="H940" s="57"/>
      <c r="I940" s="38">
        <f>IF($J23 = "Eligible", I937 * 'Facility Detail'!$G$3257, 0 )</f>
        <v>0</v>
      </c>
      <c r="J940" s="11">
        <f>IF($J23 = "Eligible", J937 * 'Facility Detail'!$G$3257, 0 )</f>
        <v>0</v>
      </c>
      <c r="K940" s="11">
        <f>IF($J23 = "Eligible", K937 * 'Facility Detail'!$G$3257, 0 )</f>
        <v>0</v>
      </c>
      <c r="L940" s="11">
        <f>IF($J23 = "Eligible", L937 * 'Facility Detail'!$G$3257, 0 )</f>
        <v>0</v>
      </c>
      <c r="M940" s="11">
        <f>IF($J23 = "Eligible", M937 * 'Facility Detail'!$G$3257, 0 )</f>
        <v>0</v>
      </c>
      <c r="N940" s="11">
        <f>IF($J23 = "Eligible", N937 * 'Facility Detail'!$G$3257, 0 )</f>
        <v>0</v>
      </c>
      <c r="O940" s="11">
        <f>IF($J23 = "Eligible", O937 * 'Facility Detail'!$G$3257, 0 )</f>
        <v>0</v>
      </c>
      <c r="P940" s="11">
        <f>IF($J23 = "Eligible", P937 * 'Facility Detail'!$G$3257, 0 )</f>
        <v>0</v>
      </c>
      <c r="Q940" s="11">
        <f>IF($J23 = "Eligible", Q937 * 'Facility Detail'!$G$3257, 0 )</f>
        <v>0</v>
      </c>
      <c r="R940" s="11">
        <f>IF($J23 = "Eligible", R937 * 'Facility Detail'!$G$3257, 0 )</f>
        <v>0</v>
      </c>
      <c r="S940" s="11">
        <f>IF($J23 = "Eligible", S937 * 'Facility Detail'!$G$3257, 0 )</f>
        <v>0</v>
      </c>
      <c r="T940" s="11">
        <f>IF($J23 = "Eligible", T937 * 'Facility Detail'!$G$3257, 0 )</f>
        <v>0</v>
      </c>
      <c r="U940" s="223">
        <f>IF($J23 = "Eligible", U937 * 'Facility Detail'!$G$3257, 0 )</f>
        <v>0</v>
      </c>
      <c r="W940" s="1"/>
      <c r="X940" s="1"/>
      <c r="Y940" s="1"/>
    </row>
    <row r="941" spans="1:25">
      <c r="G941" s="62" t="s">
        <v>6</v>
      </c>
      <c r="H941" s="57"/>
      <c r="I941" s="39">
        <f t="shared" ref="I941:U941" si="397">IF($K23= "Eligible", I937, 0 )</f>
        <v>0</v>
      </c>
      <c r="J941" s="193">
        <f t="shared" si="397"/>
        <v>0</v>
      </c>
      <c r="K941" s="193">
        <f t="shared" si="397"/>
        <v>0</v>
      </c>
      <c r="L941" s="193">
        <f t="shared" si="397"/>
        <v>0</v>
      </c>
      <c r="M941" s="193">
        <f t="shared" si="397"/>
        <v>0</v>
      </c>
      <c r="N941" s="193">
        <f t="shared" si="397"/>
        <v>0</v>
      </c>
      <c r="O941" s="193">
        <f t="shared" si="397"/>
        <v>0</v>
      </c>
      <c r="P941" s="193">
        <f t="shared" si="397"/>
        <v>0</v>
      </c>
      <c r="Q941" s="193">
        <f t="shared" si="397"/>
        <v>0</v>
      </c>
      <c r="R941" s="193">
        <f t="shared" si="397"/>
        <v>0</v>
      </c>
      <c r="S941" s="193">
        <f t="shared" si="397"/>
        <v>0</v>
      </c>
      <c r="T941" s="193">
        <f t="shared" si="397"/>
        <v>0</v>
      </c>
      <c r="U941" s="224">
        <f t="shared" si="397"/>
        <v>0</v>
      </c>
      <c r="W941" s="1"/>
      <c r="X941" s="1"/>
      <c r="Y941" s="1"/>
    </row>
    <row r="942" spans="1:25">
      <c r="G942" s="26" t="s">
        <v>120</v>
      </c>
      <c r="H942" s="6"/>
      <c r="I942" s="32">
        <f>SUM(I940:I941)</f>
        <v>0</v>
      </c>
      <c r="J942" s="33">
        <f t="shared" ref="J942:S942" si="398">SUM(J940:J941)</f>
        <v>0</v>
      </c>
      <c r="K942" s="33">
        <f t="shared" si="398"/>
        <v>0</v>
      </c>
      <c r="L942" s="33">
        <f t="shared" si="398"/>
        <v>0</v>
      </c>
      <c r="M942" s="33">
        <f t="shared" si="398"/>
        <v>0</v>
      </c>
      <c r="N942" s="33">
        <f t="shared" si="398"/>
        <v>0</v>
      </c>
      <c r="O942" s="33">
        <f t="shared" si="398"/>
        <v>0</v>
      </c>
      <c r="P942" s="33">
        <f t="shared" si="398"/>
        <v>0</v>
      </c>
      <c r="Q942" s="33">
        <f t="shared" si="398"/>
        <v>0</v>
      </c>
      <c r="R942" s="33">
        <f t="shared" si="398"/>
        <v>0</v>
      </c>
      <c r="S942" s="33">
        <f t="shared" si="398"/>
        <v>0</v>
      </c>
      <c r="T942" s="33">
        <f t="shared" ref="T942:U942" si="399">SUM(T940:T941)</f>
        <v>0</v>
      </c>
      <c r="U942" s="33">
        <f t="shared" si="399"/>
        <v>0</v>
      </c>
      <c r="W942" s="1"/>
      <c r="X942" s="1"/>
      <c r="Y942" s="1"/>
    </row>
    <row r="943" spans="1:25">
      <c r="I943" s="31"/>
      <c r="J943" s="24"/>
      <c r="K943" s="24"/>
      <c r="L943" s="24"/>
      <c r="M943" s="24"/>
      <c r="N943" s="24"/>
      <c r="O943" s="24"/>
      <c r="P943" s="24"/>
      <c r="Q943" s="24"/>
      <c r="R943" s="24"/>
      <c r="S943" s="24"/>
      <c r="T943" s="24"/>
      <c r="U943" s="24"/>
      <c r="W943" s="1"/>
      <c r="X943" s="1"/>
      <c r="Y943" s="1"/>
    </row>
    <row r="944" spans="1:25" ht="18.75">
      <c r="F944" s="9" t="s">
        <v>30</v>
      </c>
      <c r="I944" s="2">
        <v>2011</v>
      </c>
      <c r="J944" s="2">
        <f>I944+1</f>
        <v>2012</v>
      </c>
      <c r="K944" s="2">
        <f t="shared" ref="K944:R944" si="400">J944+1</f>
        <v>2013</v>
      </c>
      <c r="L944" s="2">
        <f t="shared" si="400"/>
        <v>2014</v>
      </c>
      <c r="M944" s="2">
        <f t="shared" si="400"/>
        <v>2015</v>
      </c>
      <c r="N944" s="2">
        <f t="shared" si="400"/>
        <v>2016</v>
      </c>
      <c r="O944" s="2">
        <f t="shared" si="400"/>
        <v>2017</v>
      </c>
      <c r="P944" s="2">
        <f t="shared" si="400"/>
        <v>2018</v>
      </c>
      <c r="Q944" s="2">
        <f t="shared" si="400"/>
        <v>2019</v>
      </c>
      <c r="R944" s="2">
        <f t="shared" si="400"/>
        <v>2020</v>
      </c>
      <c r="S944" s="2">
        <f>R944+1</f>
        <v>2021</v>
      </c>
      <c r="T944" s="2">
        <f>S944+1</f>
        <v>2022</v>
      </c>
      <c r="U944" s="2">
        <f>T944+1</f>
        <v>2023</v>
      </c>
      <c r="W944" s="1"/>
      <c r="X944" s="1"/>
      <c r="Y944" s="1"/>
    </row>
    <row r="945" spans="6:25">
      <c r="G945" s="62" t="s">
        <v>47</v>
      </c>
      <c r="H945" s="57"/>
      <c r="I945" s="71"/>
      <c r="J945" s="72"/>
      <c r="K945" s="72"/>
      <c r="L945" s="72"/>
      <c r="M945" s="72"/>
      <c r="N945" s="72"/>
      <c r="O945" s="72"/>
      <c r="P945" s="72"/>
      <c r="Q945" s="72"/>
      <c r="R945" s="72"/>
      <c r="S945" s="72"/>
      <c r="T945" s="72"/>
      <c r="U945" s="73"/>
      <c r="W945" s="1"/>
      <c r="X945" s="1"/>
      <c r="Y945" s="1"/>
    </row>
    <row r="946" spans="6:25">
      <c r="G946" s="63" t="s">
        <v>23</v>
      </c>
      <c r="H946" s="135"/>
      <c r="I946" s="74"/>
      <c r="J946" s="75"/>
      <c r="K946" s="75"/>
      <c r="L946" s="75"/>
      <c r="M946" s="75"/>
      <c r="N946" s="75"/>
      <c r="O946" s="75"/>
      <c r="P946" s="75"/>
      <c r="Q946" s="75"/>
      <c r="R946" s="75"/>
      <c r="S946" s="75"/>
      <c r="T946" s="75"/>
      <c r="U946" s="76"/>
      <c r="W946" s="1"/>
      <c r="X946" s="1"/>
      <c r="Y946" s="1"/>
    </row>
    <row r="947" spans="6:25">
      <c r="G947" s="63" t="s">
        <v>89</v>
      </c>
      <c r="H947" s="134"/>
      <c r="I947" s="43"/>
      <c r="J947" s="44"/>
      <c r="K947" s="44"/>
      <c r="L947" s="44"/>
      <c r="M947" s="44"/>
      <c r="N947" s="44"/>
      <c r="O947" s="44"/>
      <c r="P947" s="44"/>
      <c r="Q947" s="44"/>
      <c r="R947" s="44"/>
      <c r="S947" s="44"/>
      <c r="T947" s="44"/>
      <c r="U947" s="45"/>
      <c r="W947" s="1"/>
      <c r="X947" s="1"/>
      <c r="Y947" s="1"/>
    </row>
    <row r="948" spans="6:25">
      <c r="G948" s="26" t="s">
        <v>90</v>
      </c>
      <c r="I948" s="7">
        <v>0</v>
      </c>
      <c r="J948" s="7">
        <v>0</v>
      </c>
      <c r="K948" s="7">
        <v>0</v>
      </c>
      <c r="L948" s="7">
        <v>0</v>
      </c>
      <c r="M948" s="7">
        <v>0</v>
      </c>
      <c r="N948" s="7">
        <v>0</v>
      </c>
      <c r="O948" s="7">
        <v>0</v>
      </c>
      <c r="P948" s="7">
        <v>0</v>
      </c>
      <c r="Q948" s="7">
        <v>0</v>
      </c>
      <c r="R948" s="7">
        <v>0</v>
      </c>
      <c r="S948" s="7">
        <v>0</v>
      </c>
      <c r="T948" s="7">
        <v>0</v>
      </c>
      <c r="U948" s="7">
        <v>0</v>
      </c>
      <c r="W948" s="1"/>
      <c r="X948" s="1"/>
      <c r="Y948" s="1"/>
    </row>
    <row r="949" spans="6:25">
      <c r="G949" s="6"/>
      <c r="I949" s="7"/>
      <c r="J949" s="7"/>
      <c r="K949" s="7"/>
      <c r="L949" s="23"/>
      <c r="M949" s="23"/>
      <c r="N949" s="23"/>
      <c r="O949" s="23"/>
      <c r="P949" s="23"/>
      <c r="Q949" s="23"/>
      <c r="R949" s="23"/>
      <c r="S949" s="282"/>
      <c r="T949" s="23"/>
      <c r="U949" s="23"/>
      <c r="W949" s="1"/>
      <c r="X949" s="1"/>
      <c r="Y949" s="1"/>
    </row>
    <row r="950" spans="6:25" ht="18.75">
      <c r="F950" s="9" t="s">
        <v>100</v>
      </c>
      <c r="I950" s="2">
        <f>'Facility Detail'!$G$3260</f>
        <v>2011</v>
      </c>
      <c r="J950" s="2">
        <f>I950+1</f>
        <v>2012</v>
      </c>
      <c r="K950" s="2">
        <f t="shared" ref="K950:R950" si="401">J950+1</f>
        <v>2013</v>
      </c>
      <c r="L950" s="2">
        <f t="shared" si="401"/>
        <v>2014</v>
      </c>
      <c r="M950" s="2">
        <f t="shared" si="401"/>
        <v>2015</v>
      </c>
      <c r="N950" s="2">
        <f t="shared" si="401"/>
        <v>2016</v>
      </c>
      <c r="O950" s="2">
        <f t="shared" si="401"/>
        <v>2017</v>
      </c>
      <c r="P950" s="2">
        <f t="shared" si="401"/>
        <v>2018</v>
      </c>
      <c r="Q950" s="2">
        <f t="shared" si="401"/>
        <v>2019</v>
      </c>
      <c r="R950" s="2">
        <f t="shared" si="401"/>
        <v>2020</v>
      </c>
      <c r="S950" s="2">
        <f>R950+1</f>
        <v>2021</v>
      </c>
      <c r="T950" s="2">
        <f>S950+1</f>
        <v>2022</v>
      </c>
      <c r="U950" s="2">
        <f>T950+1</f>
        <v>2023</v>
      </c>
      <c r="W950" s="1"/>
      <c r="X950" s="1"/>
      <c r="Y950" s="1"/>
    </row>
    <row r="951" spans="6:25">
      <c r="G951" s="62" t="s">
        <v>68</v>
      </c>
      <c r="H951" s="57"/>
      <c r="I951" s="3"/>
      <c r="J951" s="46">
        <f>I951</f>
        <v>0</v>
      </c>
      <c r="K951" s="106"/>
      <c r="L951" s="106"/>
      <c r="M951" s="106"/>
      <c r="N951" s="106"/>
      <c r="O951" s="106"/>
      <c r="P951" s="106"/>
      <c r="Q951" s="106"/>
      <c r="R951" s="106"/>
      <c r="S951" s="106"/>
      <c r="T951" s="217"/>
      <c r="U951" s="47"/>
      <c r="W951" s="1"/>
      <c r="X951" s="1"/>
      <c r="Y951" s="1"/>
    </row>
    <row r="952" spans="6:25">
      <c r="G952" s="62" t="s">
        <v>69</v>
      </c>
      <c r="H952" s="57"/>
      <c r="I952" s="127">
        <f>J952</f>
        <v>0</v>
      </c>
      <c r="J952" s="10"/>
      <c r="K952" s="60"/>
      <c r="L952" s="60"/>
      <c r="M952" s="60"/>
      <c r="N952" s="60"/>
      <c r="O952" s="60"/>
      <c r="P952" s="60"/>
      <c r="Q952" s="60"/>
      <c r="R952" s="60"/>
      <c r="S952" s="60"/>
      <c r="T952" s="218"/>
      <c r="U952" s="128"/>
      <c r="W952" s="1"/>
      <c r="X952" s="1"/>
      <c r="Y952" s="1"/>
    </row>
    <row r="953" spans="6:25">
      <c r="G953" s="62" t="s">
        <v>70</v>
      </c>
      <c r="H953" s="57"/>
      <c r="I953" s="48"/>
      <c r="J953" s="10">
        <f>J937</f>
        <v>0</v>
      </c>
      <c r="K953" s="56">
        <f>J953</f>
        <v>0</v>
      </c>
      <c r="L953" s="60"/>
      <c r="M953" s="60"/>
      <c r="N953" s="60"/>
      <c r="O953" s="60"/>
      <c r="P953" s="60"/>
      <c r="Q953" s="60"/>
      <c r="R953" s="60"/>
      <c r="S953" s="60"/>
      <c r="T953" s="218"/>
      <c r="U953" s="128"/>
      <c r="W953" s="1"/>
      <c r="X953" s="1"/>
      <c r="Y953" s="1"/>
    </row>
    <row r="954" spans="6:25">
      <c r="G954" s="62" t="s">
        <v>71</v>
      </c>
      <c r="H954" s="57"/>
      <c r="I954" s="48"/>
      <c r="J954" s="56">
        <f>K954</f>
        <v>0</v>
      </c>
      <c r="K954" s="10"/>
      <c r="L954" s="60"/>
      <c r="M954" s="60"/>
      <c r="N954" s="60"/>
      <c r="O954" s="60"/>
      <c r="P954" s="60"/>
      <c r="Q954" s="60"/>
      <c r="R954" s="60"/>
      <c r="S954" s="60"/>
      <c r="T954" s="218"/>
      <c r="U954" s="128"/>
      <c r="W954" s="1"/>
      <c r="X954" s="1"/>
      <c r="Y954" s="1"/>
    </row>
    <row r="955" spans="6:25">
      <c r="G955" s="62" t="s">
        <v>170</v>
      </c>
      <c r="I955" s="48"/>
      <c r="J955" s="118"/>
      <c r="K955" s="10">
        <f>K937</f>
        <v>0</v>
      </c>
      <c r="L955" s="119">
        <f>K955</f>
        <v>0</v>
      </c>
      <c r="M955" s="60"/>
      <c r="N955" s="60"/>
      <c r="O955" s="60"/>
      <c r="P955" s="60"/>
      <c r="Q955" s="60"/>
      <c r="R955" s="60"/>
      <c r="S955" s="60"/>
      <c r="T955" s="146"/>
      <c r="U955" s="122"/>
      <c r="W955" s="1"/>
      <c r="X955" s="1"/>
      <c r="Y955" s="1"/>
    </row>
    <row r="956" spans="6:25">
      <c r="G956" s="62" t="s">
        <v>171</v>
      </c>
      <c r="I956" s="48"/>
      <c r="J956" s="118"/>
      <c r="K956" s="56">
        <f>L956</f>
        <v>0</v>
      </c>
      <c r="L956" s="10"/>
      <c r="M956" s="60"/>
      <c r="N956" s="60"/>
      <c r="O956" s="60"/>
      <c r="P956" s="60"/>
      <c r="Q956" s="60"/>
      <c r="R956" s="60"/>
      <c r="S956" s="60"/>
      <c r="T956" s="146"/>
      <c r="U956" s="122"/>
      <c r="W956" s="1"/>
      <c r="X956" s="1"/>
      <c r="Y956" s="1"/>
    </row>
    <row r="957" spans="6:25">
      <c r="G957" s="62" t="s">
        <v>172</v>
      </c>
      <c r="I957" s="48"/>
      <c r="J957" s="118"/>
      <c r="K957" s="118"/>
      <c r="L957" s="10">
        <f>L937</f>
        <v>0</v>
      </c>
      <c r="M957" s="119">
        <f>L957</f>
        <v>0</v>
      </c>
      <c r="N957" s="118"/>
      <c r="O957" s="60"/>
      <c r="P957" s="60"/>
      <c r="Q957" s="60"/>
      <c r="R957" s="60"/>
      <c r="S957" s="60"/>
      <c r="T957" s="146"/>
      <c r="U957" s="122"/>
      <c r="W957" s="1"/>
      <c r="X957" s="1"/>
      <c r="Y957" s="1"/>
    </row>
    <row r="958" spans="6:25">
      <c r="G958" s="62" t="s">
        <v>173</v>
      </c>
      <c r="I958" s="48"/>
      <c r="J958" s="118"/>
      <c r="K958" s="118"/>
      <c r="L958" s="56"/>
      <c r="M958" s="10"/>
      <c r="N958" s="118"/>
      <c r="O958" s="60"/>
      <c r="P958" s="60"/>
      <c r="Q958" s="60"/>
      <c r="R958" s="60"/>
      <c r="S958" s="60"/>
      <c r="T958" s="146"/>
      <c r="U958" s="122"/>
      <c r="W958" s="1"/>
      <c r="X958" s="1"/>
      <c r="Y958" s="1"/>
    </row>
    <row r="959" spans="6:25">
      <c r="G959" s="62" t="s">
        <v>174</v>
      </c>
      <c r="I959" s="48"/>
      <c r="J959" s="118"/>
      <c r="K959" s="118"/>
      <c r="L959" s="118"/>
      <c r="M959" s="10">
        <v>0</v>
      </c>
      <c r="N959" s="119">
        <f>M959</f>
        <v>0</v>
      </c>
      <c r="O959" s="60"/>
      <c r="P959" s="60"/>
      <c r="Q959" s="60"/>
      <c r="R959" s="60"/>
      <c r="S959" s="60"/>
      <c r="T959" s="146"/>
      <c r="U959" s="122"/>
      <c r="W959" s="1"/>
      <c r="X959" s="1"/>
      <c r="Y959" s="1"/>
    </row>
    <row r="960" spans="6:25">
      <c r="G960" s="62" t="s">
        <v>175</v>
      </c>
      <c r="I960" s="48"/>
      <c r="J960" s="118"/>
      <c r="K960" s="118"/>
      <c r="L960" s="118"/>
      <c r="M960" s="56"/>
      <c r="N960" s="10"/>
      <c r="O960" s="60"/>
      <c r="P960" s="60"/>
      <c r="Q960" s="60"/>
      <c r="R960" s="60"/>
      <c r="S960" s="60"/>
      <c r="T960" s="146"/>
      <c r="U960" s="122"/>
      <c r="W960" s="1"/>
      <c r="X960" s="1"/>
      <c r="Y960" s="1"/>
    </row>
    <row r="961" spans="2:25">
      <c r="G961" s="62" t="s">
        <v>176</v>
      </c>
      <c r="I961" s="48"/>
      <c r="J961" s="118"/>
      <c r="K961" s="118"/>
      <c r="L961" s="118"/>
      <c r="M961" s="118"/>
      <c r="N961" s="149">
        <f>N937</f>
        <v>19234.406696699145</v>
      </c>
      <c r="O961" s="120">
        <f>N961</f>
        <v>19234.406696699145</v>
      </c>
      <c r="P961" s="60"/>
      <c r="Q961" s="60"/>
      <c r="R961" s="60"/>
      <c r="S961" s="60"/>
      <c r="T961" s="146"/>
      <c r="U961" s="122"/>
      <c r="W961" s="1"/>
      <c r="X961" s="1"/>
      <c r="Y961" s="1"/>
    </row>
    <row r="962" spans="2:25">
      <c r="G962" s="62" t="s">
        <v>167</v>
      </c>
      <c r="I962" s="48"/>
      <c r="J962" s="118"/>
      <c r="K962" s="118"/>
      <c r="L962" s="118"/>
      <c r="M962" s="118"/>
      <c r="N962" s="150"/>
      <c r="O962" s="121"/>
      <c r="P962" s="60"/>
      <c r="Q962" s="60"/>
      <c r="R962" s="60"/>
      <c r="S962" s="60"/>
      <c r="T962" s="146"/>
      <c r="U962" s="122"/>
      <c r="W962" s="1"/>
      <c r="X962" s="1"/>
      <c r="Y962" s="1"/>
    </row>
    <row r="963" spans="2:25">
      <c r="G963" s="62" t="s">
        <v>168</v>
      </c>
      <c r="I963" s="48"/>
      <c r="J963" s="118"/>
      <c r="K963" s="118"/>
      <c r="L963" s="118"/>
      <c r="M963" s="118"/>
      <c r="N963" s="118"/>
      <c r="O963" s="121">
        <f>O937</f>
        <v>50456</v>
      </c>
      <c r="P963" s="120">
        <f>O963</f>
        <v>50456</v>
      </c>
      <c r="Q963" s="60"/>
      <c r="R963" s="60"/>
      <c r="S963" s="60"/>
      <c r="T963" s="146"/>
      <c r="U963" s="122"/>
      <c r="W963" s="1"/>
      <c r="X963" s="1"/>
      <c r="Y963" s="1"/>
    </row>
    <row r="964" spans="2:25">
      <c r="G964" s="62" t="s">
        <v>185</v>
      </c>
      <c r="I964" s="48"/>
      <c r="J964" s="118"/>
      <c r="K964" s="118"/>
      <c r="L964" s="118"/>
      <c r="M964" s="118"/>
      <c r="N964" s="118"/>
      <c r="O964" s="120"/>
      <c r="P964" s="121"/>
      <c r="Q964" s="60"/>
      <c r="R964" s="60"/>
      <c r="S964" s="60"/>
      <c r="T964" s="146"/>
      <c r="U964" s="122"/>
      <c r="W964" s="1"/>
      <c r="X964" s="1"/>
      <c r="Y964" s="1"/>
    </row>
    <row r="965" spans="2:25">
      <c r="G965" s="62" t="s">
        <v>186</v>
      </c>
      <c r="I965" s="48"/>
      <c r="J965" s="118"/>
      <c r="K965" s="118"/>
      <c r="L965" s="118"/>
      <c r="M965" s="118"/>
      <c r="N965" s="118"/>
      <c r="O965" s="118"/>
      <c r="P965" s="121">
        <v>35344</v>
      </c>
      <c r="Q965" s="56">
        <f>P965</f>
        <v>35344</v>
      </c>
      <c r="R965" s="60"/>
      <c r="S965" s="60"/>
      <c r="T965" s="146"/>
      <c r="U965" s="122"/>
      <c r="W965" s="1"/>
      <c r="X965" s="1"/>
      <c r="Y965" s="1"/>
    </row>
    <row r="966" spans="2:25">
      <c r="G966" s="62" t="s">
        <v>187</v>
      </c>
      <c r="I966" s="48"/>
      <c r="J966" s="118"/>
      <c r="K966" s="118"/>
      <c r="L966" s="118"/>
      <c r="M966" s="118"/>
      <c r="N966" s="118"/>
      <c r="O966" s="118"/>
      <c r="P966" s="120"/>
      <c r="Q966" s="306"/>
      <c r="R966" s="60"/>
      <c r="S966" s="60"/>
      <c r="T966" s="146"/>
      <c r="U966" s="122"/>
      <c r="W966" s="1"/>
      <c r="X966" s="1"/>
      <c r="Y966" s="1"/>
    </row>
    <row r="967" spans="2:25">
      <c r="G967" s="62" t="s">
        <v>188</v>
      </c>
      <c r="I967" s="48"/>
      <c r="J967" s="118"/>
      <c r="K967" s="118"/>
      <c r="L967" s="118"/>
      <c r="M967" s="118"/>
      <c r="N967" s="118"/>
      <c r="O967" s="118"/>
      <c r="P967" s="118"/>
      <c r="Q967" s="121"/>
      <c r="R967" s="151">
        <f>Q967</f>
        <v>0</v>
      </c>
      <c r="S967" s="60"/>
      <c r="T967" s="146"/>
      <c r="U967" s="122"/>
      <c r="W967" s="1"/>
      <c r="X967" s="1"/>
      <c r="Y967" s="1"/>
    </row>
    <row r="968" spans="2:25">
      <c r="G968" s="62" t="s">
        <v>189</v>
      </c>
      <c r="I968" s="48"/>
      <c r="J968" s="118"/>
      <c r="K968" s="118"/>
      <c r="L968" s="118"/>
      <c r="M968" s="118"/>
      <c r="N968" s="118"/>
      <c r="O968" s="118"/>
      <c r="P968" s="118"/>
      <c r="Q968" s="151">
        <v>33198</v>
      </c>
      <c r="R968" s="173">
        <f>Q968</f>
        <v>33198</v>
      </c>
      <c r="S968" s="60"/>
      <c r="T968" s="146"/>
      <c r="U968" s="122"/>
      <c r="W968" s="1"/>
      <c r="X968" s="1"/>
      <c r="Y968" s="1"/>
    </row>
    <row r="969" spans="2:25">
      <c r="G969" s="62" t="s">
        <v>190</v>
      </c>
      <c r="I969" s="48"/>
      <c r="J969" s="118"/>
      <c r="K969" s="118"/>
      <c r="L969" s="118"/>
      <c r="M969" s="118"/>
      <c r="N969" s="118"/>
      <c r="O969" s="118"/>
      <c r="P969" s="118"/>
      <c r="Q969" s="118"/>
      <c r="R969" s="173"/>
      <c r="S969" s="151">
        <f>R969</f>
        <v>0</v>
      </c>
      <c r="T969" s="146"/>
      <c r="U969" s="122"/>
      <c r="W969" s="1"/>
      <c r="X969" s="1"/>
      <c r="Y969" s="1"/>
    </row>
    <row r="970" spans="2:25">
      <c r="G970" s="62" t="s">
        <v>199</v>
      </c>
      <c r="I970" s="48"/>
      <c r="J970" s="118"/>
      <c r="K970" s="118"/>
      <c r="L970" s="118"/>
      <c r="M970" s="118"/>
      <c r="N970" s="118"/>
      <c r="O970" s="118"/>
      <c r="P970" s="118"/>
      <c r="Q970" s="118"/>
      <c r="R970" s="120"/>
      <c r="S970" s="173"/>
      <c r="T970" s="146"/>
      <c r="U970" s="122"/>
      <c r="W970" s="1"/>
      <c r="X970" s="1"/>
      <c r="Y970" s="1"/>
    </row>
    <row r="971" spans="2:25">
      <c r="G971" s="62" t="s">
        <v>200</v>
      </c>
      <c r="I971" s="48"/>
      <c r="J971" s="118"/>
      <c r="K971" s="118"/>
      <c r="L971" s="118"/>
      <c r="M971" s="118"/>
      <c r="N971" s="118"/>
      <c r="O971" s="118"/>
      <c r="P971" s="118"/>
      <c r="Q971" s="118"/>
      <c r="R971" s="118"/>
      <c r="S971" s="173">
        <v>0</v>
      </c>
      <c r="T971" s="151">
        <f>S971</f>
        <v>0</v>
      </c>
      <c r="U971" s="122"/>
      <c r="W971" s="1"/>
      <c r="X971" s="1"/>
      <c r="Y971" s="1"/>
    </row>
    <row r="972" spans="2:25">
      <c r="G972" s="62" t="s">
        <v>308</v>
      </c>
      <c r="I972" s="48"/>
      <c r="J972" s="118"/>
      <c r="K972" s="118"/>
      <c r="L972" s="118"/>
      <c r="M972" s="118"/>
      <c r="N972" s="118"/>
      <c r="O972" s="118"/>
      <c r="P972" s="118"/>
      <c r="Q972" s="118"/>
      <c r="R972" s="118"/>
      <c r="S972" s="120"/>
      <c r="T972" s="173"/>
      <c r="U972" s="122"/>
      <c r="W972" s="1"/>
      <c r="X972" s="1"/>
      <c r="Y972" s="1"/>
    </row>
    <row r="973" spans="2:25">
      <c r="G973" s="62" t="s">
        <v>307</v>
      </c>
      <c r="I973" s="114"/>
      <c r="J973" s="107"/>
      <c r="K973" s="107"/>
      <c r="L973" s="107"/>
      <c r="M973" s="107"/>
      <c r="N973" s="107"/>
      <c r="O973" s="107"/>
      <c r="P973" s="107"/>
      <c r="Q973" s="107"/>
      <c r="R973" s="107"/>
      <c r="S973" s="107"/>
      <c r="T973" s="173"/>
      <c r="U973" s="456">
        <f>T973</f>
        <v>0</v>
      </c>
      <c r="W973" s="1"/>
      <c r="X973" s="1"/>
      <c r="Y973" s="1"/>
    </row>
    <row r="974" spans="2:25">
      <c r="G974" s="62" t="s">
        <v>318</v>
      </c>
      <c r="I974" s="114"/>
      <c r="J974" s="107"/>
      <c r="K974" s="107"/>
      <c r="L974" s="107"/>
      <c r="M974" s="107"/>
      <c r="N974" s="107"/>
      <c r="O974" s="107"/>
      <c r="P974" s="107"/>
      <c r="Q974" s="107"/>
      <c r="R974" s="107"/>
      <c r="S974" s="107"/>
      <c r="T974" s="120"/>
      <c r="U974" s="457"/>
      <c r="W974" s="1"/>
      <c r="X974" s="1"/>
      <c r="Y974" s="1"/>
    </row>
    <row r="975" spans="2:25">
      <c r="G975" s="62" t="s">
        <v>319</v>
      </c>
      <c r="I975" s="49"/>
      <c r="J975" s="194"/>
      <c r="K975" s="194"/>
      <c r="L975" s="194"/>
      <c r="M975" s="194"/>
      <c r="N975" s="194"/>
      <c r="O975" s="194"/>
      <c r="P975" s="194"/>
      <c r="Q975" s="194"/>
      <c r="R975" s="194"/>
      <c r="S975" s="194"/>
      <c r="T975" s="194"/>
      <c r="U975" s="458"/>
      <c r="W975" s="1"/>
      <c r="X975" s="1"/>
      <c r="Y975" s="1"/>
    </row>
    <row r="976" spans="2:25">
      <c r="B976" s="1" t="s">
        <v>214</v>
      </c>
      <c r="G976" s="26" t="s">
        <v>17</v>
      </c>
      <c r="I976" s="7">
        <f xml:space="preserve"> I957 - I956</f>
        <v>0</v>
      </c>
      <c r="J976" s="7">
        <f xml:space="preserve"> J956 + J959 - J958 - J957</f>
        <v>0</v>
      </c>
      <c r="K976" s="7">
        <f>K958 - K959</f>
        <v>0</v>
      </c>
      <c r="L976" s="7">
        <f>L958 - L959</f>
        <v>0</v>
      </c>
      <c r="M976" s="7">
        <f>M957-M958-M959</f>
        <v>0</v>
      </c>
      <c r="N976" s="7">
        <f>N959-N960-N961</f>
        <v>-19234.406696699145</v>
      </c>
      <c r="O976" s="7">
        <f>O961-O962-O963</f>
        <v>-31221.593303300855</v>
      </c>
      <c r="P976" s="154">
        <f>P963-P964-P965</f>
        <v>15112</v>
      </c>
      <c r="Q976" s="154">
        <f>Q965+Q968-Q967-Q966</f>
        <v>68542</v>
      </c>
      <c r="R976" s="154">
        <f>R967-R968+R970</f>
        <v>-33198</v>
      </c>
      <c r="S976" s="7">
        <f>S969-S970-S971</f>
        <v>0</v>
      </c>
      <c r="T976" s="7">
        <f>T971-T972-T973</f>
        <v>0</v>
      </c>
      <c r="U976" s="7">
        <f>U971-U972-U973</f>
        <v>0</v>
      </c>
      <c r="W976" s="1"/>
      <c r="X976" s="1"/>
      <c r="Y976" s="1"/>
    </row>
    <row r="977" spans="1:25">
      <c r="G977" s="6"/>
      <c r="I977" s="154"/>
      <c r="J977" s="154"/>
      <c r="K977" s="154"/>
      <c r="L977" s="154"/>
      <c r="M977" s="154"/>
      <c r="N977" s="154"/>
      <c r="O977" s="154"/>
      <c r="P977" s="154"/>
      <c r="Q977" s="154"/>
      <c r="R977" s="154"/>
      <c r="S977" s="297"/>
      <c r="T977" s="154"/>
      <c r="U977" s="154"/>
      <c r="W977" s="1"/>
      <c r="X977" s="1"/>
      <c r="Y977" s="1"/>
    </row>
    <row r="978" spans="1:25">
      <c r="G978" s="26" t="s">
        <v>12</v>
      </c>
      <c r="H978" s="57"/>
      <c r="I978" s="155"/>
      <c r="J978" s="156"/>
      <c r="K978" s="156"/>
      <c r="L978" s="156"/>
      <c r="M978" s="156"/>
      <c r="N978" s="156"/>
      <c r="O978" s="156"/>
      <c r="P978" s="156"/>
      <c r="Q978" s="156"/>
      <c r="R978" s="156"/>
      <c r="S978" s="156"/>
      <c r="T978" s="156"/>
      <c r="U978" s="267"/>
      <c r="W978" s="1"/>
      <c r="X978" s="1"/>
      <c r="Y978" s="1"/>
    </row>
    <row r="979" spans="1:25">
      <c r="G979" s="6"/>
      <c r="I979" s="154"/>
      <c r="J979" s="154"/>
      <c r="K979" s="154"/>
      <c r="L979" s="154"/>
      <c r="M979" s="154"/>
      <c r="N979" s="154"/>
      <c r="O979" s="154"/>
      <c r="P979" s="154"/>
      <c r="Q979" s="154"/>
      <c r="R979" s="154"/>
      <c r="S979" s="154"/>
      <c r="T979" s="154"/>
      <c r="U979" s="154"/>
      <c r="W979" s="1"/>
      <c r="X979" s="1"/>
      <c r="Y979" s="1"/>
    </row>
    <row r="980" spans="1:25" ht="18.75">
      <c r="C980" s="1" t="s">
        <v>214</v>
      </c>
      <c r="D980" s="1" t="s">
        <v>184</v>
      </c>
      <c r="E980" s="1" t="s">
        <v>108</v>
      </c>
      <c r="F980" s="9" t="s">
        <v>26</v>
      </c>
      <c r="H980" s="57"/>
      <c r="I980" s="157">
        <f t="shared" ref="I980:S980" si="402" xml:space="preserve"> I937 + I942 - I948 + I976 + I978</f>
        <v>0</v>
      </c>
      <c r="J980" s="158">
        <f t="shared" si="402"/>
        <v>0</v>
      </c>
      <c r="K980" s="158">
        <f t="shared" si="402"/>
        <v>0</v>
      </c>
      <c r="L980" s="158">
        <f t="shared" si="402"/>
        <v>0</v>
      </c>
      <c r="M980" s="158">
        <f t="shared" si="402"/>
        <v>0</v>
      </c>
      <c r="N980" s="158">
        <f t="shared" si="402"/>
        <v>0</v>
      </c>
      <c r="O980" s="158">
        <f t="shared" si="402"/>
        <v>19234.406696699145</v>
      </c>
      <c r="P980" s="158">
        <f t="shared" si="402"/>
        <v>64705</v>
      </c>
      <c r="Q980" s="158">
        <f t="shared" si="402"/>
        <v>117474.0989034832</v>
      </c>
      <c r="R980" s="158">
        <f t="shared" si="402"/>
        <v>19314.98666970912</v>
      </c>
      <c r="S980" s="158">
        <f t="shared" si="402"/>
        <v>49716</v>
      </c>
      <c r="T980" s="158">
        <f t="shared" ref="T980:U980" si="403" xml:space="preserve"> T937 + T942 - T948 + T976 + T978</f>
        <v>49691</v>
      </c>
      <c r="U980" s="268">
        <f t="shared" si="403"/>
        <v>45209</v>
      </c>
      <c r="W980" s="1"/>
      <c r="X980" s="1"/>
      <c r="Y980" s="1"/>
    </row>
    <row r="981" spans="1:25" ht="15.75" thickBot="1">
      <c r="W981" s="1"/>
      <c r="X981" s="1"/>
      <c r="Y981" s="1"/>
    </row>
    <row r="982" spans="1:25">
      <c r="F982" s="8"/>
      <c r="G982" s="8"/>
      <c r="H982" s="8"/>
      <c r="I982" s="8"/>
      <c r="J982" s="8"/>
      <c r="K982" s="8"/>
      <c r="L982" s="8"/>
      <c r="M982" s="8"/>
      <c r="N982" s="8"/>
      <c r="O982" s="8"/>
      <c r="P982" s="8"/>
      <c r="Q982" s="8"/>
      <c r="R982" s="8"/>
      <c r="S982" s="290"/>
      <c r="T982" s="8"/>
      <c r="U982" s="8"/>
      <c r="W982" s="1"/>
      <c r="X982" s="1"/>
      <c r="Y982" s="1"/>
    </row>
    <row r="983" spans="1:25" ht="15.75" thickBot="1">
      <c r="W983" s="1"/>
      <c r="X983" s="1"/>
      <c r="Y983" s="1"/>
    </row>
    <row r="984" spans="1:25" ht="21.75" thickBot="1">
      <c r="F984" s="13" t="s">
        <v>4</v>
      </c>
      <c r="G984" s="13"/>
      <c r="H984" s="196" t="str">
        <f>G24</f>
        <v>Fighting Creek - REC Only</v>
      </c>
      <c r="I984" s="183"/>
      <c r="W984" s="1"/>
      <c r="X984" s="1"/>
      <c r="Y984" s="1"/>
    </row>
    <row r="985" spans="1:25">
      <c r="W985" s="1"/>
      <c r="X985" s="1"/>
      <c r="Y985" s="1"/>
    </row>
    <row r="986" spans="1:25" ht="18.75">
      <c r="F986" s="9" t="s">
        <v>21</v>
      </c>
      <c r="G986" s="9"/>
      <c r="I986" s="2">
        <f>'Facility Detail'!$G$3260</f>
        <v>2011</v>
      </c>
      <c r="J986" s="2">
        <f>I986+1</f>
        <v>2012</v>
      </c>
      <c r="K986" s="2">
        <f>J986+1</f>
        <v>2013</v>
      </c>
      <c r="L986" s="2">
        <f t="shared" ref="L986:R986" si="404">K986+1</f>
        <v>2014</v>
      </c>
      <c r="M986" s="2">
        <f t="shared" si="404"/>
        <v>2015</v>
      </c>
      <c r="N986" s="2">
        <f t="shared" si="404"/>
        <v>2016</v>
      </c>
      <c r="O986" s="2">
        <f t="shared" si="404"/>
        <v>2017</v>
      </c>
      <c r="P986" s="2">
        <f t="shared" si="404"/>
        <v>2018</v>
      </c>
      <c r="Q986" s="2">
        <f t="shared" si="404"/>
        <v>2019</v>
      </c>
      <c r="R986" s="2">
        <f t="shared" si="404"/>
        <v>2020</v>
      </c>
      <c r="S986" s="304">
        <f>R986+1</f>
        <v>2021</v>
      </c>
      <c r="T986" s="2">
        <f>S986+1</f>
        <v>2022</v>
      </c>
      <c r="U986" s="2">
        <f>T986+1</f>
        <v>2023</v>
      </c>
      <c r="W986" s="1"/>
      <c r="X986" s="1"/>
      <c r="Y986" s="1"/>
    </row>
    <row r="987" spans="1:25">
      <c r="G987" s="62" t="str">
        <f>"Total MWh Produced / Purchased from " &amp; H984</f>
        <v>Total MWh Produced / Purchased from Fighting Creek - REC Only</v>
      </c>
      <c r="H987" s="57"/>
      <c r="I987" s="3"/>
      <c r="J987" s="4"/>
      <c r="K987" s="4"/>
      <c r="L987" s="4"/>
      <c r="M987" s="4">
        <v>730</v>
      </c>
      <c r="N987" s="4"/>
      <c r="O987" s="4"/>
      <c r="P987" s="4"/>
      <c r="Q987" s="4"/>
      <c r="R987" s="4"/>
      <c r="S987" s="308"/>
      <c r="T987" s="4"/>
      <c r="U987" s="5"/>
      <c r="W987" s="1"/>
      <c r="X987" s="1"/>
      <c r="Y987" s="1"/>
    </row>
    <row r="988" spans="1:25">
      <c r="G988" s="62" t="s">
        <v>25</v>
      </c>
      <c r="H988" s="57"/>
      <c r="I988" s="269"/>
      <c r="J988" s="41"/>
      <c r="K988" s="41"/>
      <c r="L988" s="41"/>
      <c r="M988" s="41">
        <v>1</v>
      </c>
      <c r="N988" s="41"/>
      <c r="O988" s="41"/>
      <c r="P988" s="41"/>
      <c r="Q988" s="41"/>
      <c r="R988" s="41"/>
      <c r="S988" s="309"/>
      <c r="T988" s="41"/>
      <c r="U988" s="42"/>
      <c r="W988" s="1"/>
      <c r="X988" s="1"/>
      <c r="Y988" s="1"/>
    </row>
    <row r="989" spans="1:25">
      <c r="G989" s="62" t="s">
        <v>20</v>
      </c>
      <c r="H989" s="57"/>
      <c r="I989" s="270"/>
      <c r="J989" s="36"/>
      <c r="K989" s="36"/>
      <c r="L989" s="36"/>
      <c r="M989" s="36">
        <v>1</v>
      </c>
      <c r="N989" s="36"/>
      <c r="O989" s="36"/>
      <c r="P989" s="36"/>
      <c r="Q989" s="36"/>
      <c r="R989" s="36"/>
      <c r="S989" s="310"/>
      <c r="T989" s="36"/>
      <c r="U989" s="37"/>
      <c r="W989" s="1"/>
      <c r="X989" s="1"/>
      <c r="Y989" s="1"/>
    </row>
    <row r="990" spans="1:25">
      <c r="A990" s="1" t="s">
        <v>280</v>
      </c>
      <c r="G990" s="26" t="s">
        <v>22</v>
      </c>
      <c r="H990" s="6"/>
      <c r="I990" s="30">
        <f xml:space="preserve"> I987 * I988 * I989</f>
        <v>0</v>
      </c>
      <c r="J990" s="30">
        <f xml:space="preserve"> J987 * J988 * J989</f>
        <v>0</v>
      </c>
      <c r="K990" s="30">
        <f xml:space="preserve"> K987 * K988 * K989</f>
        <v>0</v>
      </c>
      <c r="L990" s="30">
        <f t="shared" ref="L990:S990" si="405" xml:space="preserve"> L987 * L988 * L989</f>
        <v>0</v>
      </c>
      <c r="M990" s="30">
        <v>730</v>
      </c>
      <c r="N990" s="161">
        <f t="shared" si="405"/>
        <v>0</v>
      </c>
      <c r="O990" s="161">
        <f t="shared" si="405"/>
        <v>0</v>
      </c>
      <c r="P990" s="161">
        <f t="shared" si="405"/>
        <v>0</v>
      </c>
      <c r="Q990" s="161">
        <f t="shared" si="405"/>
        <v>0</v>
      </c>
      <c r="R990" s="161">
        <f t="shared" si="405"/>
        <v>0</v>
      </c>
      <c r="S990" s="311">
        <f t="shared" si="405"/>
        <v>0</v>
      </c>
      <c r="T990" s="161">
        <f t="shared" ref="T990:U990" si="406" xml:space="preserve"> T987 * T988 * T989</f>
        <v>0</v>
      </c>
      <c r="U990" s="161">
        <f t="shared" si="406"/>
        <v>0</v>
      </c>
      <c r="W990" s="1"/>
      <c r="X990" s="1"/>
      <c r="Y990" s="1"/>
    </row>
    <row r="991" spans="1:25">
      <c r="I991" s="29"/>
      <c r="J991" s="29"/>
      <c r="K991" s="29"/>
      <c r="L991" s="29"/>
      <c r="M991" s="29"/>
      <c r="N991" s="20"/>
      <c r="O991" s="20"/>
      <c r="P991" s="20"/>
      <c r="Q991" s="20"/>
      <c r="R991" s="20"/>
      <c r="S991" s="312"/>
      <c r="T991" s="20"/>
      <c r="U991" s="20"/>
      <c r="W991" s="1"/>
      <c r="X991" s="1"/>
      <c r="Y991" s="1"/>
    </row>
    <row r="992" spans="1:25" ht="18.75">
      <c r="F992" s="9" t="s">
        <v>118</v>
      </c>
      <c r="I992" s="2">
        <f>'Facility Detail'!$G$3260</f>
        <v>2011</v>
      </c>
      <c r="J992" s="2">
        <f>I992+1</f>
        <v>2012</v>
      </c>
      <c r="K992" s="2">
        <f>J992+1</f>
        <v>2013</v>
      </c>
      <c r="L992" s="2">
        <f t="shared" ref="L992:R992" si="407">K992+1</f>
        <v>2014</v>
      </c>
      <c r="M992" s="2">
        <f t="shared" si="407"/>
        <v>2015</v>
      </c>
      <c r="N992" s="2">
        <f t="shared" si="407"/>
        <v>2016</v>
      </c>
      <c r="O992" s="2">
        <f t="shared" si="407"/>
        <v>2017</v>
      </c>
      <c r="P992" s="2">
        <f t="shared" si="407"/>
        <v>2018</v>
      </c>
      <c r="Q992" s="2">
        <f t="shared" si="407"/>
        <v>2019</v>
      </c>
      <c r="R992" s="2">
        <f t="shared" si="407"/>
        <v>2020</v>
      </c>
      <c r="S992" s="304">
        <f>R992+1</f>
        <v>2021</v>
      </c>
      <c r="T992" s="2">
        <f>S992+1</f>
        <v>2022</v>
      </c>
      <c r="U992" s="2">
        <f>T992+1</f>
        <v>2023</v>
      </c>
      <c r="W992" s="1"/>
      <c r="X992" s="1"/>
      <c r="Y992" s="1"/>
    </row>
    <row r="993" spans="6:25">
      <c r="G993" s="62" t="s">
        <v>10</v>
      </c>
      <c r="H993" s="57"/>
      <c r="I993" s="38">
        <f>IF($J24 = "Eligible", I990 * 'Facility Detail'!$G$3257, 0 )</f>
        <v>0</v>
      </c>
      <c r="J993" s="11">
        <f>IF($J24 = "Eligible", J990 * 'Facility Detail'!$G$3257, 0 )</f>
        <v>0</v>
      </c>
      <c r="K993" s="11">
        <f>IF($J24 = "Eligible", K990 * 'Facility Detail'!$G$3257, 0 )</f>
        <v>0</v>
      </c>
      <c r="L993" s="11">
        <f>IF($J24 = "Eligible", L990 * 'Facility Detail'!$G$3257, 0 )</f>
        <v>0</v>
      </c>
      <c r="M993" s="11">
        <f>IF($J24 = "Eligible", M990 * 'Facility Detail'!$G$3257, 0 )</f>
        <v>0</v>
      </c>
      <c r="N993" s="11">
        <f>IF($J24 = "Eligible", N990 * 'Facility Detail'!$G$3257, 0 )</f>
        <v>0</v>
      </c>
      <c r="O993" s="11">
        <f>IF($J24 = "Eligible", O990 * 'Facility Detail'!$G$3257, 0 )</f>
        <v>0</v>
      </c>
      <c r="P993" s="11">
        <f>IF($J24 = "Eligible", P990 * 'Facility Detail'!$G$3257, 0 )</f>
        <v>0</v>
      </c>
      <c r="Q993" s="11">
        <f>IF($J24 = "Eligible", Q990 * 'Facility Detail'!$G$3257, 0 )</f>
        <v>0</v>
      </c>
      <c r="R993" s="11">
        <f>IF($J24 = "Eligible", R990 * 'Facility Detail'!$G$3257, 0 )</f>
        <v>0</v>
      </c>
      <c r="S993" s="313">
        <f>IF($J24 = "Eligible", S990 * 'Facility Detail'!$G$3257, 0 )</f>
        <v>0</v>
      </c>
      <c r="T993" s="11">
        <f>IF($J24 = "Eligible", T990 * 'Facility Detail'!$G$3257, 0 )</f>
        <v>0</v>
      </c>
      <c r="U993" s="223">
        <f>IF($J24 = "Eligible", U990 * 'Facility Detail'!$G$3257, 0 )</f>
        <v>0</v>
      </c>
      <c r="W993" s="1"/>
      <c r="X993" s="1"/>
      <c r="Y993" s="1"/>
    </row>
    <row r="994" spans="6:25">
      <c r="G994" s="62" t="s">
        <v>6</v>
      </c>
      <c r="H994" s="57"/>
      <c r="I994" s="39">
        <f t="shared" ref="I994:U994" si="408">IF($K24= "Eligible", I990, 0 )</f>
        <v>0</v>
      </c>
      <c r="J994" s="193">
        <f t="shared" si="408"/>
        <v>0</v>
      </c>
      <c r="K994" s="193">
        <f t="shared" si="408"/>
        <v>0</v>
      </c>
      <c r="L994" s="193">
        <f t="shared" si="408"/>
        <v>0</v>
      </c>
      <c r="M994" s="193">
        <f t="shared" si="408"/>
        <v>0</v>
      </c>
      <c r="N994" s="193">
        <f t="shared" si="408"/>
        <v>0</v>
      </c>
      <c r="O994" s="193">
        <f t="shared" si="408"/>
        <v>0</v>
      </c>
      <c r="P994" s="193">
        <f t="shared" si="408"/>
        <v>0</v>
      </c>
      <c r="Q994" s="193">
        <f t="shared" si="408"/>
        <v>0</v>
      </c>
      <c r="R994" s="193">
        <f t="shared" si="408"/>
        <v>0</v>
      </c>
      <c r="S994" s="314">
        <f t="shared" si="408"/>
        <v>0</v>
      </c>
      <c r="T994" s="193">
        <f t="shared" si="408"/>
        <v>0</v>
      </c>
      <c r="U994" s="224">
        <f t="shared" si="408"/>
        <v>0</v>
      </c>
      <c r="W994" s="1"/>
      <c r="X994" s="1"/>
      <c r="Y994" s="1"/>
    </row>
    <row r="995" spans="6:25">
      <c r="G995" s="26" t="s">
        <v>120</v>
      </c>
      <c r="H995" s="6"/>
      <c r="I995" s="32">
        <f>SUM(I993:I994)</f>
        <v>0</v>
      </c>
      <c r="J995" s="33">
        <f>SUM(J993:J994)</f>
        <v>0</v>
      </c>
      <c r="K995" s="33">
        <f>SUM(K993:K994)</f>
        <v>0</v>
      </c>
      <c r="L995" s="33">
        <f t="shared" ref="L995:S995" si="409">SUM(L993:L994)</f>
        <v>0</v>
      </c>
      <c r="M995" s="33">
        <f t="shared" si="409"/>
        <v>0</v>
      </c>
      <c r="N995" s="33">
        <f t="shared" si="409"/>
        <v>0</v>
      </c>
      <c r="O995" s="33">
        <f t="shared" si="409"/>
        <v>0</v>
      </c>
      <c r="P995" s="33">
        <f t="shared" si="409"/>
        <v>0</v>
      </c>
      <c r="Q995" s="33">
        <f t="shared" si="409"/>
        <v>0</v>
      </c>
      <c r="R995" s="33">
        <f t="shared" si="409"/>
        <v>0</v>
      </c>
      <c r="S995" s="315">
        <f t="shared" si="409"/>
        <v>0</v>
      </c>
      <c r="T995" s="33">
        <f t="shared" ref="T995:U995" si="410">SUM(T993:T994)</f>
        <v>0</v>
      </c>
      <c r="U995" s="33">
        <f t="shared" si="410"/>
        <v>0</v>
      </c>
      <c r="W995" s="1"/>
      <c r="X995" s="1"/>
      <c r="Y995" s="1"/>
    </row>
    <row r="996" spans="6:25">
      <c r="I996" s="31"/>
      <c r="J996" s="24"/>
      <c r="K996" s="24"/>
      <c r="L996" s="24"/>
      <c r="M996" s="24"/>
      <c r="N996" s="24"/>
      <c r="O996" s="24"/>
      <c r="P996" s="24"/>
      <c r="Q996" s="24"/>
      <c r="R996" s="24"/>
      <c r="S996" s="316"/>
      <c r="T996" s="24"/>
      <c r="U996" s="24"/>
      <c r="W996" s="1"/>
      <c r="X996" s="1"/>
      <c r="Y996" s="1"/>
    </row>
    <row r="997" spans="6:25" ht="18.75">
      <c r="F997" s="9" t="s">
        <v>30</v>
      </c>
      <c r="I997" s="2">
        <f>'Facility Detail'!$G$3260</f>
        <v>2011</v>
      </c>
      <c r="J997" s="2">
        <f>I997+1</f>
        <v>2012</v>
      </c>
      <c r="K997" s="2">
        <f>J997+1</f>
        <v>2013</v>
      </c>
      <c r="L997" s="2">
        <f t="shared" ref="L997:R997" si="411">K997+1</f>
        <v>2014</v>
      </c>
      <c r="M997" s="2">
        <f t="shared" si="411"/>
        <v>2015</v>
      </c>
      <c r="N997" s="2">
        <f t="shared" si="411"/>
        <v>2016</v>
      </c>
      <c r="O997" s="2">
        <f t="shared" si="411"/>
        <v>2017</v>
      </c>
      <c r="P997" s="2">
        <f t="shared" si="411"/>
        <v>2018</v>
      </c>
      <c r="Q997" s="2">
        <f t="shared" si="411"/>
        <v>2019</v>
      </c>
      <c r="R997" s="2">
        <f t="shared" si="411"/>
        <v>2020</v>
      </c>
      <c r="S997" s="304">
        <f>R997+1</f>
        <v>2021</v>
      </c>
      <c r="T997" s="2">
        <f>S997+1</f>
        <v>2022</v>
      </c>
      <c r="U997" s="2">
        <f>T997+1</f>
        <v>2023</v>
      </c>
      <c r="W997" s="1"/>
      <c r="X997" s="1"/>
      <c r="Y997" s="1"/>
    </row>
    <row r="998" spans="6:25">
      <c r="G998" s="62" t="s">
        <v>47</v>
      </c>
      <c r="H998" s="57"/>
      <c r="I998" s="71"/>
      <c r="J998" s="72"/>
      <c r="K998" s="72"/>
      <c r="L998" s="72"/>
      <c r="M998" s="72"/>
      <c r="N998" s="72"/>
      <c r="O998" s="72"/>
      <c r="P998" s="72"/>
      <c r="Q998" s="72"/>
      <c r="R998" s="72"/>
      <c r="S998" s="317"/>
      <c r="T998" s="72"/>
      <c r="U998" s="73"/>
      <c r="W998" s="1"/>
      <c r="X998" s="1"/>
      <c r="Y998" s="1"/>
    </row>
    <row r="999" spans="6:25">
      <c r="G999" s="63" t="s">
        <v>23</v>
      </c>
      <c r="H999" s="135"/>
      <c r="I999" s="74"/>
      <c r="J999" s="75"/>
      <c r="K999" s="75"/>
      <c r="L999" s="75"/>
      <c r="M999" s="75"/>
      <c r="N999" s="75"/>
      <c r="O999" s="75"/>
      <c r="P999" s="75"/>
      <c r="Q999" s="75"/>
      <c r="R999" s="75"/>
      <c r="S999" s="318"/>
      <c r="T999" s="75"/>
      <c r="U999" s="76"/>
      <c r="W999" s="1"/>
      <c r="X999" s="1"/>
      <c r="Y999" s="1"/>
    </row>
    <row r="1000" spans="6:25">
      <c r="G1000" s="63" t="s">
        <v>89</v>
      </c>
      <c r="H1000" s="134"/>
      <c r="I1000" s="43"/>
      <c r="J1000" s="44"/>
      <c r="K1000" s="44"/>
      <c r="L1000" s="44"/>
      <c r="M1000" s="44"/>
      <c r="N1000" s="44"/>
      <c r="O1000" s="44"/>
      <c r="P1000" s="44"/>
      <c r="Q1000" s="44"/>
      <c r="R1000" s="44"/>
      <c r="S1000" s="319"/>
      <c r="T1000" s="44"/>
      <c r="U1000" s="45"/>
      <c r="W1000" s="1"/>
      <c r="X1000" s="1"/>
      <c r="Y1000" s="1"/>
    </row>
    <row r="1001" spans="6:25">
      <c r="G1001" s="26" t="s">
        <v>90</v>
      </c>
      <c r="I1001" s="7">
        <f>SUM(I998:I1000)</f>
        <v>0</v>
      </c>
      <c r="J1001" s="7">
        <f>SUM(J998:J1000)</f>
        <v>0</v>
      </c>
      <c r="K1001" s="7">
        <f>SUM(K998:K1000)</f>
        <v>0</v>
      </c>
      <c r="L1001" s="7">
        <f t="shared" ref="L1001:S1001" si="412">SUM(L998:L1000)</f>
        <v>0</v>
      </c>
      <c r="M1001" s="7">
        <f t="shared" si="412"/>
        <v>0</v>
      </c>
      <c r="N1001" s="7">
        <f t="shared" si="412"/>
        <v>0</v>
      </c>
      <c r="O1001" s="7">
        <f t="shared" si="412"/>
        <v>0</v>
      </c>
      <c r="P1001" s="7">
        <f t="shared" si="412"/>
        <v>0</v>
      </c>
      <c r="Q1001" s="7">
        <f t="shared" si="412"/>
        <v>0</v>
      </c>
      <c r="R1001" s="7">
        <f t="shared" si="412"/>
        <v>0</v>
      </c>
      <c r="S1001" s="320">
        <f t="shared" si="412"/>
        <v>0</v>
      </c>
      <c r="T1001" s="7">
        <f t="shared" ref="T1001:U1001" si="413">SUM(T998:T1000)</f>
        <v>0</v>
      </c>
      <c r="U1001" s="7">
        <f t="shared" si="413"/>
        <v>0</v>
      </c>
      <c r="W1001" s="1"/>
      <c r="X1001" s="1"/>
      <c r="Y1001" s="1"/>
    </row>
    <row r="1002" spans="6:25">
      <c r="G1002" s="6"/>
      <c r="I1002" s="7"/>
      <c r="J1002" s="7"/>
      <c r="K1002" s="7"/>
      <c r="L1002" s="7"/>
      <c r="M1002" s="7"/>
      <c r="N1002" s="7"/>
      <c r="O1002" s="7"/>
      <c r="P1002" s="7"/>
      <c r="Q1002" s="7"/>
      <c r="R1002" s="7"/>
      <c r="S1002" s="320"/>
      <c r="T1002" s="7"/>
      <c r="U1002" s="7"/>
      <c r="W1002" s="1"/>
      <c r="X1002" s="1"/>
      <c r="Y1002" s="1"/>
    </row>
    <row r="1003" spans="6:25" ht="18.75">
      <c r="F1003" s="9" t="s">
        <v>100</v>
      </c>
      <c r="I1003" s="2">
        <f>'Facility Detail'!$G$3260</f>
        <v>2011</v>
      </c>
      <c r="J1003" s="2">
        <f>I1003+1</f>
        <v>2012</v>
      </c>
      <c r="K1003" s="2">
        <f>J1003+1</f>
        <v>2013</v>
      </c>
      <c r="L1003" s="2">
        <f t="shared" ref="L1003:R1003" si="414">K1003+1</f>
        <v>2014</v>
      </c>
      <c r="M1003" s="2">
        <f t="shared" si="414"/>
        <v>2015</v>
      </c>
      <c r="N1003" s="2">
        <f t="shared" si="414"/>
        <v>2016</v>
      </c>
      <c r="O1003" s="2">
        <f t="shared" si="414"/>
        <v>2017</v>
      </c>
      <c r="P1003" s="2">
        <f t="shared" si="414"/>
        <v>2018</v>
      </c>
      <c r="Q1003" s="2">
        <f t="shared" si="414"/>
        <v>2019</v>
      </c>
      <c r="R1003" s="2">
        <f t="shared" si="414"/>
        <v>2020</v>
      </c>
      <c r="S1003" s="304">
        <f>R1003+1</f>
        <v>2021</v>
      </c>
      <c r="T1003" s="2">
        <f>S1003+1</f>
        <v>2022</v>
      </c>
      <c r="U1003" s="2">
        <f>T1003+1</f>
        <v>2023</v>
      </c>
      <c r="W1003" s="1"/>
      <c r="X1003" s="1"/>
      <c r="Y1003" s="1"/>
    </row>
    <row r="1004" spans="6:25">
      <c r="G1004" s="62" t="s">
        <v>68</v>
      </c>
      <c r="H1004" s="57"/>
      <c r="I1004" s="3"/>
      <c r="J1004" s="46">
        <f>I1004</f>
        <v>0</v>
      </c>
      <c r="K1004" s="106"/>
      <c r="L1004" s="106"/>
      <c r="M1004" s="106"/>
      <c r="N1004" s="106"/>
      <c r="O1004" s="106"/>
      <c r="P1004" s="106"/>
      <c r="Q1004" s="106"/>
      <c r="R1004" s="106"/>
      <c r="S1004" s="322"/>
      <c r="T1004" s="106"/>
      <c r="U1004" s="47"/>
      <c r="W1004" s="1"/>
      <c r="X1004" s="1"/>
      <c r="Y1004" s="1"/>
    </row>
    <row r="1005" spans="6:25">
      <c r="G1005" s="62" t="s">
        <v>69</v>
      </c>
      <c r="H1005" s="57"/>
      <c r="I1005" s="127">
        <f>J1005</f>
        <v>0</v>
      </c>
      <c r="J1005" s="10"/>
      <c r="K1005" s="60"/>
      <c r="L1005" s="60"/>
      <c r="M1005" s="60"/>
      <c r="N1005" s="60"/>
      <c r="O1005" s="60"/>
      <c r="P1005" s="60"/>
      <c r="Q1005" s="60"/>
      <c r="R1005" s="60"/>
      <c r="S1005" s="330"/>
      <c r="T1005" s="60"/>
      <c r="U1005" s="128"/>
      <c r="W1005" s="1"/>
      <c r="X1005" s="1"/>
      <c r="Y1005" s="1"/>
    </row>
    <row r="1006" spans="6:25">
      <c r="G1006" s="62" t="s">
        <v>70</v>
      </c>
      <c r="H1006" s="57"/>
      <c r="I1006" s="48"/>
      <c r="J1006" s="10">
        <f>J990</f>
        <v>0</v>
      </c>
      <c r="K1006" s="56">
        <f>J1006</f>
        <v>0</v>
      </c>
      <c r="L1006" s="60"/>
      <c r="M1006" s="60"/>
      <c r="N1006" s="60"/>
      <c r="O1006" s="60"/>
      <c r="P1006" s="60"/>
      <c r="Q1006" s="60"/>
      <c r="R1006" s="60"/>
      <c r="S1006" s="330"/>
      <c r="T1006" s="60"/>
      <c r="U1006" s="128"/>
      <c r="W1006" s="1"/>
      <c r="X1006" s="1"/>
      <c r="Y1006" s="1"/>
    </row>
    <row r="1007" spans="6:25">
      <c r="G1007" s="62" t="s">
        <v>71</v>
      </c>
      <c r="H1007" s="57"/>
      <c r="I1007" s="48"/>
      <c r="J1007" s="56">
        <f>K1007</f>
        <v>0</v>
      </c>
      <c r="K1007" s="126"/>
      <c r="L1007" s="60"/>
      <c r="M1007" s="60"/>
      <c r="N1007" s="60"/>
      <c r="O1007" s="60"/>
      <c r="P1007" s="60"/>
      <c r="Q1007" s="60"/>
      <c r="R1007" s="60"/>
      <c r="S1007" s="330"/>
      <c r="T1007" s="60"/>
      <c r="U1007" s="128"/>
      <c r="W1007" s="1"/>
      <c r="X1007" s="1"/>
      <c r="Y1007" s="1"/>
    </row>
    <row r="1008" spans="6:25">
      <c r="G1008" s="62" t="s">
        <v>170</v>
      </c>
      <c r="H1008" s="57"/>
      <c r="I1008" s="48"/>
      <c r="J1008" s="118"/>
      <c r="K1008" s="10">
        <f>K990</f>
        <v>0</v>
      </c>
      <c r="L1008" s="119">
        <f>K1008</f>
        <v>0</v>
      </c>
      <c r="M1008" s="60"/>
      <c r="N1008" s="60"/>
      <c r="O1008" s="60"/>
      <c r="P1008" s="60"/>
      <c r="Q1008" s="60"/>
      <c r="R1008" s="60"/>
      <c r="S1008" s="330"/>
      <c r="T1008" s="60"/>
      <c r="U1008" s="128"/>
      <c r="W1008" s="1"/>
      <c r="X1008" s="1"/>
      <c r="Y1008" s="1"/>
    </row>
    <row r="1009" spans="2:25">
      <c r="G1009" s="62" t="s">
        <v>171</v>
      </c>
      <c r="H1009" s="57"/>
      <c r="I1009" s="48"/>
      <c r="J1009" s="118"/>
      <c r="K1009" s="56">
        <f>L1009</f>
        <v>0</v>
      </c>
      <c r="L1009" s="10"/>
      <c r="M1009" s="60"/>
      <c r="N1009" s="60"/>
      <c r="O1009" s="60"/>
      <c r="P1009" s="60"/>
      <c r="Q1009" s="60"/>
      <c r="R1009" s="60"/>
      <c r="S1009" s="330"/>
      <c r="T1009" s="60"/>
      <c r="U1009" s="128"/>
      <c r="W1009" s="1"/>
      <c r="X1009" s="1"/>
      <c r="Y1009" s="1"/>
    </row>
    <row r="1010" spans="2:25">
      <c r="G1010" s="62" t="s">
        <v>172</v>
      </c>
      <c r="H1010" s="57"/>
      <c r="I1010" s="48"/>
      <c r="J1010" s="118"/>
      <c r="K1010" s="118"/>
      <c r="L1010" s="10">
        <f>L990</f>
        <v>0</v>
      </c>
      <c r="M1010" s="119">
        <f>L1010</f>
        <v>0</v>
      </c>
      <c r="N1010" s="118"/>
      <c r="O1010" s="118"/>
      <c r="P1010" s="118"/>
      <c r="Q1010" s="118"/>
      <c r="R1010" s="118"/>
      <c r="S1010" s="324"/>
      <c r="T1010" s="118"/>
      <c r="U1010" s="122"/>
      <c r="W1010" s="1"/>
      <c r="X1010" s="1"/>
      <c r="Y1010" s="1"/>
    </row>
    <row r="1011" spans="2:25">
      <c r="G1011" s="62" t="s">
        <v>173</v>
      </c>
      <c r="H1011" s="57"/>
      <c r="I1011" s="48"/>
      <c r="J1011" s="118"/>
      <c r="K1011" s="118"/>
      <c r="L1011" s="120">
        <f>M1011</f>
        <v>0</v>
      </c>
      <c r="M1011" s="121"/>
      <c r="N1011" s="118"/>
      <c r="O1011" s="118"/>
      <c r="P1011" s="118"/>
      <c r="Q1011" s="118"/>
      <c r="R1011" s="118"/>
      <c r="S1011" s="324"/>
      <c r="T1011" s="118"/>
      <c r="U1011" s="122"/>
      <c r="W1011" s="1"/>
      <c r="X1011" s="1"/>
      <c r="Y1011" s="1"/>
    </row>
    <row r="1012" spans="2:25">
      <c r="G1012" s="62" t="s">
        <v>174</v>
      </c>
      <c r="H1012" s="57"/>
      <c r="I1012" s="48"/>
      <c r="J1012" s="118"/>
      <c r="K1012" s="118"/>
      <c r="L1012" s="118"/>
      <c r="M1012" s="121">
        <f>M990</f>
        <v>730</v>
      </c>
      <c r="N1012" s="119">
        <f>M1012</f>
        <v>730</v>
      </c>
      <c r="O1012" s="118"/>
      <c r="P1012" s="60"/>
      <c r="Q1012" s="60"/>
      <c r="R1012" s="60"/>
      <c r="S1012" s="330"/>
      <c r="T1012" s="60"/>
      <c r="U1012" s="128"/>
      <c r="W1012" s="1"/>
      <c r="X1012" s="1"/>
      <c r="Y1012" s="1"/>
    </row>
    <row r="1013" spans="2:25">
      <c r="G1013" s="62" t="s">
        <v>175</v>
      </c>
      <c r="I1013" s="48"/>
      <c r="J1013" s="118"/>
      <c r="K1013" s="118"/>
      <c r="L1013" s="118"/>
      <c r="M1013" s="56">
        <f>N1013</f>
        <v>0</v>
      </c>
      <c r="N1013" s="121"/>
      <c r="O1013" s="118"/>
      <c r="P1013" s="60"/>
      <c r="Q1013" s="60"/>
      <c r="R1013" s="60"/>
      <c r="S1013" s="330"/>
      <c r="T1013" s="60"/>
      <c r="U1013" s="128"/>
      <c r="W1013" s="1"/>
      <c r="X1013" s="1"/>
      <c r="Y1013" s="1"/>
    </row>
    <row r="1014" spans="2:25">
      <c r="G1014" s="62" t="s">
        <v>176</v>
      </c>
      <c r="I1014" s="48"/>
      <c r="J1014" s="118"/>
      <c r="K1014" s="118"/>
      <c r="L1014" s="118"/>
      <c r="M1014" s="118"/>
      <c r="N1014" s="121">
        <f>N990</f>
        <v>0</v>
      </c>
      <c r="O1014" s="119">
        <f>N1014</f>
        <v>0</v>
      </c>
      <c r="P1014" s="60"/>
      <c r="Q1014" s="60"/>
      <c r="R1014" s="60"/>
      <c r="S1014" s="330"/>
      <c r="T1014" s="60"/>
      <c r="U1014" s="128"/>
      <c r="W1014" s="1"/>
      <c r="X1014" s="1"/>
      <c r="Y1014" s="1"/>
    </row>
    <row r="1015" spans="2:25">
      <c r="G1015" s="62" t="s">
        <v>167</v>
      </c>
      <c r="I1015" s="48"/>
      <c r="J1015" s="118"/>
      <c r="K1015" s="118"/>
      <c r="L1015" s="118"/>
      <c r="M1015" s="118"/>
      <c r="N1015" s="151"/>
      <c r="O1015" s="121"/>
      <c r="P1015" s="60"/>
      <c r="Q1015" s="60"/>
      <c r="R1015" s="60"/>
      <c r="S1015" s="330"/>
      <c r="T1015" s="60"/>
      <c r="U1015" s="128"/>
      <c r="W1015" s="1"/>
      <c r="X1015" s="1"/>
      <c r="Y1015" s="1"/>
    </row>
    <row r="1016" spans="2:25">
      <c r="G1016" s="62" t="s">
        <v>168</v>
      </c>
      <c r="I1016" s="49"/>
      <c r="J1016" s="108"/>
      <c r="K1016" s="108"/>
      <c r="L1016" s="108"/>
      <c r="M1016" s="108"/>
      <c r="N1016" s="108"/>
      <c r="O1016" s="123"/>
      <c r="P1016" s="193"/>
      <c r="Q1016" s="108"/>
      <c r="R1016" s="108"/>
      <c r="S1016" s="325"/>
      <c r="T1016" s="108"/>
      <c r="U1016" s="459"/>
      <c r="W1016" s="1"/>
      <c r="X1016" s="1"/>
      <c r="Y1016" s="1"/>
    </row>
    <row r="1017" spans="2:25">
      <c r="B1017" s="1" t="s">
        <v>280</v>
      </c>
      <c r="G1017" s="26" t="s">
        <v>17</v>
      </c>
      <c r="I1017" s="138">
        <f xml:space="preserve"> I1010 - I1009</f>
        <v>0</v>
      </c>
      <c r="J1017" s="138">
        <f xml:space="preserve"> J1009 + J1012 - J1011 - J1010</f>
        <v>0</v>
      </c>
      <c r="K1017" s="138">
        <f>K1006-K1007-K1008</f>
        <v>0</v>
      </c>
      <c r="L1017" s="138">
        <f>L1008-L1009-L1010</f>
        <v>0</v>
      </c>
      <c r="M1017" s="138">
        <f>M1010-M1011-M1012</f>
        <v>-730</v>
      </c>
      <c r="N1017" s="138">
        <f>N1012-N1013-N1014</f>
        <v>730</v>
      </c>
      <c r="O1017" s="138">
        <f>O1014</f>
        <v>0</v>
      </c>
      <c r="P1017" s="138">
        <f>P1014</f>
        <v>0</v>
      </c>
      <c r="Q1017" s="138">
        <f t="shared" ref="Q1017:S1017" si="415">Q1014</f>
        <v>0</v>
      </c>
      <c r="R1017" s="138">
        <f t="shared" si="415"/>
        <v>0</v>
      </c>
      <c r="S1017" s="332">
        <f t="shared" si="415"/>
        <v>0</v>
      </c>
      <c r="T1017" s="138">
        <f t="shared" ref="T1017:U1017" si="416">T1014</f>
        <v>0</v>
      </c>
      <c r="U1017" s="138">
        <f t="shared" si="416"/>
        <v>0</v>
      </c>
      <c r="W1017" s="1"/>
      <c r="X1017" s="1"/>
      <c r="Y1017" s="1"/>
    </row>
    <row r="1018" spans="2:25">
      <c r="G1018" s="6"/>
      <c r="I1018" s="7"/>
      <c r="J1018" s="7"/>
      <c r="K1018" s="7"/>
      <c r="L1018" s="7"/>
      <c r="M1018" s="7"/>
      <c r="N1018" s="7"/>
      <c r="O1018" s="7"/>
      <c r="P1018" s="7"/>
      <c r="Q1018" s="7"/>
      <c r="R1018" s="7"/>
      <c r="S1018" s="320"/>
      <c r="T1018" s="7"/>
      <c r="U1018" s="7"/>
      <c r="W1018" s="1"/>
      <c r="X1018" s="1"/>
      <c r="Y1018" s="1"/>
    </row>
    <row r="1019" spans="2:25">
      <c r="G1019" s="26" t="s">
        <v>12</v>
      </c>
      <c r="H1019" s="57"/>
      <c r="I1019" s="155"/>
      <c r="J1019" s="156"/>
      <c r="K1019" s="156"/>
      <c r="L1019" s="156"/>
      <c r="M1019" s="156"/>
      <c r="N1019" s="156"/>
      <c r="O1019" s="156"/>
      <c r="P1019" s="156"/>
      <c r="Q1019" s="156"/>
      <c r="R1019" s="156"/>
      <c r="S1019" s="326"/>
      <c r="T1019" s="156"/>
      <c r="U1019" s="267"/>
      <c r="W1019" s="1"/>
      <c r="X1019" s="1"/>
      <c r="Y1019" s="1"/>
    </row>
    <row r="1020" spans="2:25">
      <c r="G1020" s="6"/>
      <c r="I1020" s="154"/>
      <c r="J1020" s="154"/>
      <c r="K1020" s="154"/>
      <c r="L1020" s="154"/>
      <c r="M1020" s="154"/>
      <c r="N1020" s="154"/>
      <c r="O1020" s="154"/>
      <c r="P1020" s="154"/>
      <c r="Q1020" s="154"/>
      <c r="R1020" s="154"/>
      <c r="S1020" s="327"/>
      <c r="T1020" s="154"/>
      <c r="U1020" s="154"/>
      <c r="W1020" s="1"/>
      <c r="X1020" s="1"/>
      <c r="Y1020" s="1"/>
    </row>
    <row r="1021" spans="2:25" ht="18.75">
      <c r="C1021" s="1" t="s">
        <v>280</v>
      </c>
      <c r="D1021" s="1" t="s">
        <v>281</v>
      </c>
      <c r="E1021" s="1" t="s">
        <v>110</v>
      </c>
      <c r="F1021" s="9" t="s">
        <v>26</v>
      </c>
      <c r="H1021" s="57"/>
      <c r="I1021" s="157">
        <f xml:space="preserve"> I990 + I995 - I1001 + I1017 + I1019</f>
        <v>0</v>
      </c>
      <c r="J1021" s="158">
        <f xml:space="preserve"> J990 + J995 - J1001 + J1017 + J1019</f>
        <v>0</v>
      </c>
      <c r="K1021" s="158">
        <f t="shared" ref="K1021:S1021" si="417" xml:space="preserve"> K990 + K995 - K1001 + K1017 + K1019</f>
        <v>0</v>
      </c>
      <c r="L1021" s="158">
        <f t="shared" si="417"/>
        <v>0</v>
      </c>
      <c r="M1021" s="158">
        <f t="shared" si="417"/>
        <v>0</v>
      </c>
      <c r="N1021" s="158">
        <f t="shared" si="417"/>
        <v>730</v>
      </c>
      <c r="O1021" s="158">
        <f t="shared" si="417"/>
        <v>0</v>
      </c>
      <c r="P1021" s="158">
        <f t="shared" si="417"/>
        <v>0</v>
      </c>
      <c r="Q1021" s="158">
        <f t="shared" si="417"/>
        <v>0</v>
      </c>
      <c r="R1021" s="158">
        <f t="shared" si="417"/>
        <v>0</v>
      </c>
      <c r="S1021" s="328">
        <f t="shared" si="417"/>
        <v>0</v>
      </c>
      <c r="T1021" s="158">
        <f t="shared" ref="T1021:U1021" si="418" xml:space="preserve"> T990 + T995 - T1001 + T1017 + T1019</f>
        <v>0</v>
      </c>
      <c r="U1021" s="268">
        <f t="shared" si="418"/>
        <v>0</v>
      </c>
      <c r="W1021" s="1"/>
      <c r="X1021" s="1"/>
      <c r="Y1021" s="1"/>
    </row>
    <row r="1022" spans="2:25">
      <c r="G1022" s="6"/>
      <c r="I1022" s="7"/>
      <c r="J1022" s="7"/>
      <c r="K1022" s="7"/>
      <c r="L1022" s="23"/>
      <c r="M1022" s="23"/>
      <c r="N1022" s="23"/>
      <c r="O1022" s="23"/>
      <c r="P1022" s="23"/>
      <c r="Q1022" s="23"/>
      <c r="R1022" s="23"/>
      <c r="S1022" s="23"/>
      <c r="T1022" s="23"/>
      <c r="U1022" s="23"/>
      <c r="W1022" s="1"/>
      <c r="X1022" s="1"/>
      <c r="Y1022" s="1"/>
    </row>
    <row r="1023" spans="2:25" ht="15.75" thickBot="1">
      <c r="W1023" s="1"/>
      <c r="X1023" s="1"/>
      <c r="Y1023" s="1"/>
    </row>
    <row r="1024" spans="2:25" ht="15.75" thickBot="1">
      <c r="F1024" s="8"/>
      <c r="G1024" s="8"/>
      <c r="H1024" s="8"/>
      <c r="I1024" s="8"/>
      <c r="J1024" s="8"/>
      <c r="K1024" s="8"/>
      <c r="L1024" s="8"/>
      <c r="M1024" s="8"/>
      <c r="N1024" s="8"/>
      <c r="O1024" s="8"/>
      <c r="P1024" s="8"/>
      <c r="Q1024" s="8"/>
      <c r="R1024" s="8"/>
      <c r="S1024" s="290"/>
      <c r="T1024" s="8"/>
      <c r="U1024" s="8"/>
      <c r="W1024" s="1"/>
      <c r="X1024" s="1"/>
      <c r="Y1024" s="1"/>
    </row>
    <row r="1025" spans="1:25" ht="21.75" thickBot="1">
      <c r="F1025" s="13" t="s">
        <v>4</v>
      </c>
      <c r="G1025" s="13"/>
      <c r="H1025" s="185" t="s">
        <v>215</v>
      </c>
      <c r="I1025" s="183"/>
      <c r="W1025" s="1"/>
      <c r="X1025" s="1"/>
      <c r="Y1025" s="1"/>
    </row>
    <row r="1026" spans="1:25">
      <c r="W1026" s="1"/>
      <c r="X1026" s="1"/>
      <c r="Y1026" s="1"/>
    </row>
    <row r="1027" spans="1:25" ht="18.75">
      <c r="F1027" s="9" t="s">
        <v>21</v>
      </c>
      <c r="G1027" s="9"/>
      <c r="I1027" s="2">
        <v>2011</v>
      </c>
      <c r="J1027" s="2">
        <f>I1027+1</f>
        <v>2012</v>
      </c>
      <c r="K1027" s="2">
        <f t="shared" ref="K1027" si="419">J1027+1</f>
        <v>2013</v>
      </c>
      <c r="L1027" s="2">
        <f t="shared" ref="L1027" si="420">K1027+1</f>
        <v>2014</v>
      </c>
      <c r="M1027" s="2">
        <f t="shared" ref="M1027" si="421">L1027+1</f>
        <v>2015</v>
      </c>
      <c r="N1027" s="2">
        <f t="shared" ref="N1027" si="422">M1027+1</f>
        <v>2016</v>
      </c>
      <c r="O1027" s="2">
        <f t="shared" ref="O1027" si="423">N1027+1</f>
        <v>2017</v>
      </c>
      <c r="P1027" s="2">
        <f t="shared" ref="P1027" si="424">O1027+1</f>
        <v>2018</v>
      </c>
      <c r="Q1027" s="2">
        <f t="shared" ref="Q1027" si="425">P1027+1</f>
        <v>2019</v>
      </c>
      <c r="R1027" s="2">
        <f t="shared" ref="R1027" si="426">Q1027+1</f>
        <v>2020</v>
      </c>
      <c r="S1027" s="2">
        <f>R1027+1</f>
        <v>2021</v>
      </c>
      <c r="T1027" s="2">
        <f>S1027+1</f>
        <v>2022</v>
      </c>
      <c r="U1027" s="2">
        <f>T1027+1</f>
        <v>2023</v>
      </c>
      <c r="W1027" s="1"/>
      <c r="X1027" s="1"/>
      <c r="Y1027" s="1"/>
    </row>
    <row r="1028" spans="1:25">
      <c r="G1028" s="62" t="str">
        <f>"Total MWh Produced / Purchased from " &amp; H1025</f>
        <v>Total MWh Produced / Purchased from Foote Creek I</v>
      </c>
      <c r="H1028" s="57"/>
      <c r="I1028" s="3"/>
      <c r="J1028" s="4"/>
      <c r="K1028" s="4"/>
      <c r="L1028" s="4"/>
      <c r="M1028" s="4"/>
      <c r="N1028" s="4"/>
      <c r="O1028" s="4"/>
      <c r="P1028" s="4"/>
      <c r="Q1028" s="4"/>
      <c r="R1028" s="4"/>
      <c r="S1028" s="4">
        <v>165215</v>
      </c>
      <c r="T1028" s="4">
        <v>208749</v>
      </c>
      <c r="U1028" s="5">
        <v>146786</v>
      </c>
      <c r="W1028" s="1"/>
      <c r="X1028" s="1"/>
      <c r="Y1028" s="1"/>
    </row>
    <row r="1029" spans="1:25">
      <c r="G1029" s="62" t="s">
        <v>25</v>
      </c>
      <c r="H1029" s="57"/>
      <c r="I1029" s="269"/>
      <c r="J1029" s="41"/>
      <c r="K1029" s="41"/>
      <c r="L1029" s="41"/>
      <c r="M1029" s="41"/>
      <c r="N1029" s="41"/>
      <c r="O1029" s="41"/>
      <c r="P1029" s="41"/>
      <c r="Q1029" s="41"/>
      <c r="R1029" s="41"/>
      <c r="S1029" s="41">
        <v>1</v>
      </c>
      <c r="T1029" s="41">
        <v>1</v>
      </c>
      <c r="U1029" s="42">
        <v>1</v>
      </c>
      <c r="W1029" s="1"/>
      <c r="X1029" s="1"/>
      <c r="Y1029" s="1"/>
    </row>
    <row r="1030" spans="1:25">
      <c r="G1030" s="62" t="s">
        <v>20</v>
      </c>
      <c r="H1030" s="57"/>
      <c r="I1030" s="270"/>
      <c r="J1030" s="36"/>
      <c r="K1030" s="36"/>
      <c r="L1030" s="36"/>
      <c r="M1030" s="36"/>
      <c r="N1030" s="36"/>
      <c r="O1030" s="36"/>
      <c r="P1030" s="36"/>
      <c r="Q1030" s="36"/>
      <c r="R1030" s="36"/>
      <c r="S1030" s="36">
        <f>S2</f>
        <v>7.9696892166366717E-2</v>
      </c>
      <c r="T1030" s="36">
        <f>T2</f>
        <v>7.8737918965874246E-2</v>
      </c>
      <c r="U1030" s="36">
        <f>U2</f>
        <v>7.8407467372863096E-2</v>
      </c>
      <c r="W1030" s="1"/>
      <c r="X1030" s="1"/>
      <c r="Y1030" s="1"/>
    </row>
    <row r="1031" spans="1:25">
      <c r="A1031" s="1" t="s">
        <v>215</v>
      </c>
      <c r="G1031" s="26" t="s">
        <v>22</v>
      </c>
      <c r="H1031" s="6"/>
      <c r="I1031" s="30">
        <v>0</v>
      </c>
      <c r="J1031" s="30">
        <v>0</v>
      </c>
      <c r="K1031" s="30">
        <v>0</v>
      </c>
      <c r="L1031" s="30">
        <v>0</v>
      </c>
      <c r="M1031" s="30">
        <v>0</v>
      </c>
      <c r="N1031" s="161">
        <v>0</v>
      </c>
      <c r="O1031" s="161">
        <v>0</v>
      </c>
      <c r="P1031" s="161">
        <v>0</v>
      </c>
      <c r="Q1031" s="161">
        <f>Q1028*Q1030</f>
        <v>0</v>
      </c>
      <c r="R1031" s="161">
        <f>R1028*R1030</f>
        <v>0</v>
      </c>
      <c r="S1031" s="161">
        <f>S1028*S1030</f>
        <v>13167.122039266278</v>
      </c>
      <c r="T1031" s="161">
        <f>ROUNDUP(T1028*T1030,0)</f>
        <v>16437</v>
      </c>
      <c r="U1031" s="161">
        <f>U1028*U1030</f>
        <v>11509.118505793082</v>
      </c>
      <c r="W1031" s="1"/>
      <c r="X1031" s="1"/>
      <c r="Y1031" s="1"/>
    </row>
    <row r="1032" spans="1:25">
      <c r="I1032" s="29"/>
      <c r="J1032" s="29"/>
      <c r="K1032" s="29"/>
      <c r="L1032" s="29"/>
      <c r="M1032" s="29"/>
      <c r="N1032" s="20"/>
      <c r="O1032" s="20"/>
      <c r="P1032" s="20"/>
      <c r="Q1032" s="20"/>
      <c r="R1032" s="20"/>
      <c r="S1032" s="20"/>
      <c r="T1032" s="20"/>
      <c r="U1032" s="20"/>
      <c r="W1032" s="1"/>
      <c r="X1032" s="1"/>
      <c r="Y1032" s="1"/>
    </row>
    <row r="1033" spans="1:25" ht="18.75">
      <c r="F1033" s="9" t="s">
        <v>118</v>
      </c>
      <c r="I1033" s="2">
        <v>2011</v>
      </c>
      <c r="J1033" s="2">
        <f>I1033+1</f>
        <v>2012</v>
      </c>
      <c r="K1033" s="2">
        <f t="shared" ref="K1033" si="427">J1033+1</f>
        <v>2013</v>
      </c>
      <c r="L1033" s="2">
        <f t="shared" ref="L1033" si="428">K1033+1</f>
        <v>2014</v>
      </c>
      <c r="M1033" s="2">
        <f t="shared" ref="M1033" si="429">L1033+1</f>
        <v>2015</v>
      </c>
      <c r="N1033" s="2">
        <f t="shared" ref="N1033" si="430">M1033+1</f>
        <v>2016</v>
      </c>
      <c r="O1033" s="2">
        <f t="shared" ref="O1033" si="431">N1033+1</f>
        <v>2017</v>
      </c>
      <c r="P1033" s="2">
        <f t="shared" ref="P1033" si="432">O1033+1</f>
        <v>2018</v>
      </c>
      <c r="Q1033" s="2">
        <f t="shared" ref="Q1033" si="433">P1033+1</f>
        <v>2019</v>
      </c>
      <c r="R1033" s="2">
        <f t="shared" ref="R1033" si="434">Q1033+1</f>
        <v>2020</v>
      </c>
      <c r="S1033" s="2">
        <f>R1033+1</f>
        <v>2021</v>
      </c>
      <c r="T1033" s="2">
        <f>S1033+1</f>
        <v>2022</v>
      </c>
      <c r="U1033" s="2">
        <f>T1033+1</f>
        <v>2023</v>
      </c>
      <c r="W1033" s="1"/>
      <c r="X1033" s="1"/>
      <c r="Y1033" s="1"/>
    </row>
    <row r="1034" spans="1:25">
      <c r="G1034" s="62" t="s">
        <v>10</v>
      </c>
      <c r="H1034" s="57"/>
      <c r="I1034" s="38">
        <f>IF($J25 = "Eligible", I1031 * 'Facility Detail'!$G$3257, 0 )</f>
        <v>0</v>
      </c>
      <c r="J1034" s="11">
        <f>IF($J25 = "Eligible", J1031 * 'Facility Detail'!$G$3257, 0 )</f>
        <v>0</v>
      </c>
      <c r="K1034" s="11">
        <f>IF($J25 = "Eligible", K1031 * 'Facility Detail'!$G$3257, 0 )</f>
        <v>0</v>
      </c>
      <c r="L1034" s="11">
        <f>IF($J25 = "Eligible", L1031 * 'Facility Detail'!$G$3257, 0 )</f>
        <v>0</v>
      </c>
      <c r="M1034" s="11">
        <f>IF($J25 = "Eligible", M1031 * 'Facility Detail'!$G$3257, 0 )</f>
        <v>0</v>
      </c>
      <c r="N1034" s="11">
        <f>IF($J25 = "Eligible", N1031 * 'Facility Detail'!$G$3257, 0 )</f>
        <v>0</v>
      </c>
      <c r="O1034" s="11">
        <f>IF($J25 = "Eligible", O1031 * 'Facility Detail'!$G$3257, 0 )</f>
        <v>0</v>
      </c>
      <c r="P1034" s="11">
        <f>IF($J25 = "Eligible", P1031 * 'Facility Detail'!$G$3257, 0 )</f>
        <v>0</v>
      </c>
      <c r="Q1034" s="11">
        <f>IF($J25 = "Eligible", Q1031 * 'Facility Detail'!$G$3257, 0 )</f>
        <v>0</v>
      </c>
      <c r="R1034" s="11">
        <f>IF($J25 = "Eligible", R1031 * 'Facility Detail'!$G$3257, 0 )</f>
        <v>0</v>
      </c>
      <c r="S1034" s="11">
        <f>IF($J25 = "Eligible", S1031 * 'Facility Detail'!$G$3257, 0 )</f>
        <v>0</v>
      </c>
      <c r="T1034" s="11">
        <f>IF($J25 = "Eligible", T1031 * 'Facility Detail'!$G$3257, 0 )</f>
        <v>0</v>
      </c>
      <c r="U1034" s="223">
        <f>IF($J25 = "Eligible", U1031 * 'Facility Detail'!$G$3257, 0 )</f>
        <v>0</v>
      </c>
      <c r="W1034" s="1"/>
      <c r="X1034" s="1"/>
      <c r="Y1034" s="1"/>
    </row>
    <row r="1035" spans="1:25">
      <c r="G1035" s="62" t="s">
        <v>6</v>
      </c>
      <c r="H1035" s="57"/>
      <c r="I1035" s="39">
        <f t="shared" ref="I1035:U1035" si="435">IF($K25= "Eligible", I1031, 0 )</f>
        <v>0</v>
      </c>
      <c r="J1035" s="193">
        <f t="shared" si="435"/>
        <v>0</v>
      </c>
      <c r="K1035" s="193">
        <f t="shared" si="435"/>
        <v>0</v>
      </c>
      <c r="L1035" s="193">
        <f t="shared" si="435"/>
        <v>0</v>
      </c>
      <c r="M1035" s="193">
        <f t="shared" si="435"/>
        <v>0</v>
      </c>
      <c r="N1035" s="193">
        <f t="shared" si="435"/>
        <v>0</v>
      </c>
      <c r="O1035" s="193">
        <f t="shared" si="435"/>
        <v>0</v>
      </c>
      <c r="P1035" s="193">
        <f t="shared" si="435"/>
        <v>0</v>
      </c>
      <c r="Q1035" s="193">
        <f t="shared" si="435"/>
        <v>0</v>
      </c>
      <c r="R1035" s="193">
        <f t="shared" si="435"/>
        <v>0</v>
      </c>
      <c r="S1035" s="193">
        <f t="shared" si="435"/>
        <v>0</v>
      </c>
      <c r="T1035" s="193">
        <f t="shared" si="435"/>
        <v>0</v>
      </c>
      <c r="U1035" s="224">
        <f t="shared" si="435"/>
        <v>0</v>
      </c>
      <c r="W1035" s="1"/>
      <c r="X1035" s="1"/>
      <c r="Y1035" s="1"/>
    </row>
    <row r="1036" spans="1:25">
      <c r="G1036" s="26" t="s">
        <v>120</v>
      </c>
      <c r="H1036" s="6"/>
      <c r="I1036" s="32">
        <f>SUM(I1034:I1035)</f>
        <v>0</v>
      </c>
      <c r="J1036" s="33">
        <f t="shared" ref="J1036:S1036" si="436">SUM(J1034:J1035)</f>
        <v>0</v>
      </c>
      <c r="K1036" s="33">
        <f t="shared" si="436"/>
        <v>0</v>
      </c>
      <c r="L1036" s="33">
        <f t="shared" si="436"/>
        <v>0</v>
      </c>
      <c r="M1036" s="33">
        <f t="shared" si="436"/>
        <v>0</v>
      </c>
      <c r="N1036" s="33">
        <f t="shared" si="436"/>
        <v>0</v>
      </c>
      <c r="O1036" s="33">
        <f t="shared" si="436"/>
        <v>0</v>
      </c>
      <c r="P1036" s="33">
        <f t="shared" si="436"/>
        <v>0</v>
      </c>
      <c r="Q1036" s="33">
        <f t="shared" si="436"/>
        <v>0</v>
      </c>
      <c r="R1036" s="33">
        <f t="shared" si="436"/>
        <v>0</v>
      </c>
      <c r="S1036" s="33">
        <f t="shared" si="436"/>
        <v>0</v>
      </c>
      <c r="T1036" s="33">
        <f t="shared" ref="T1036:U1036" si="437">SUM(T1034:T1035)</f>
        <v>0</v>
      </c>
      <c r="U1036" s="33">
        <f t="shared" si="437"/>
        <v>0</v>
      </c>
      <c r="W1036" s="1"/>
      <c r="X1036" s="1"/>
      <c r="Y1036" s="1"/>
    </row>
    <row r="1037" spans="1:25">
      <c r="I1037" s="31"/>
      <c r="J1037" s="24"/>
      <c r="K1037" s="24"/>
      <c r="L1037" s="24"/>
      <c r="M1037" s="24"/>
      <c r="N1037" s="24"/>
      <c r="O1037" s="24"/>
      <c r="P1037" s="24"/>
      <c r="Q1037" s="24"/>
      <c r="R1037" s="24"/>
      <c r="S1037" s="24"/>
      <c r="T1037" s="24"/>
      <c r="U1037" s="24"/>
      <c r="W1037" s="1"/>
      <c r="X1037" s="1"/>
      <c r="Y1037" s="1"/>
    </row>
    <row r="1038" spans="1:25" ht="18.75">
      <c r="F1038" s="9" t="s">
        <v>30</v>
      </c>
      <c r="I1038" s="2">
        <v>2011</v>
      </c>
      <c r="J1038" s="2">
        <f>I1038+1</f>
        <v>2012</v>
      </c>
      <c r="K1038" s="2">
        <f t="shared" ref="K1038" si="438">J1038+1</f>
        <v>2013</v>
      </c>
      <c r="L1038" s="2">
        <f t="shared" ref="L1038" si="439">K1038+1</f>
        <v>2014</v>
      </c>
      <c r="M1038" s="2">
        <f t="shared" ref="M1038" si="440">L1038+1</f>
        <v>2015</v>
      </c>
      <c r="N1038" s="2">
        <f t="shared" ref="N1038" si="441">M1038+1</f>
        <v>2016</v>
      </c>
      <c r="O1038" s="2">
        <f t="shared" ref="O1038" si="442">N1038+1</f>
        <v>2017</v>
      </c>
      <c r="P1038" s="2">
        <f t="shared" ref="P1038" si="443">O1038+1</f>
        <v>2018</v>
      </c>
      <c r="Q1038" s="2">
        <f t="shared" ref="Q1038" si="444">P1038+1</f>
        <v>2019</v>
      </c>
      <c r="R1038" s="2">
        <f t="shared" ref="R1038" si="445">Q1038+1</f>
        <v>2020</v>
      </c>
      <c r="S1038" s="2">
        <f>R1038+1</f>
        <v>2021</v>
      </c>
      <c r="T1038" s="2">
        <f>S1038+1</f>
        <v>2022</v>
      </c>
      <c r="U1038" s="2">
        <f>T1038+1</f>
        <v>2023</v>
      </c>
      <c r="W1038" s="1"/>
      <c r="X1038" s="1"/>
      <c r="Y1038" s="1"/>
    </row>
    <row r="1039" spans="1:25">
      <c r="G1039" s="62" t="s">
        <v>47</v>
      </c>
      <c r="H1039" s="57"/>
      <c r="I1039" s="71"/>
      <c r="J1039" s="72"/>
      <c r="K1039" s="72"/>
      <c r="L1039" s="72"/>
      <c r="M1039" s="72"/>
      <c r="N1039" s="72"/>
      <c r="O1039" s="72"/>
      <c r="P1039" s="72"/>
      <c r="Q1039" s="72"/>
      <c r="R1039" s="72"/>
      <c r="S1039" s="72"/>
      <c r="T1039" s="72"/>
      <c r="U1039" s="73"/>
      <c r="W1039" s="1"/>
      <c r="X1039" s="1"/>
      <c r="Y1039" s="1"/>
    </row>
    <row r="1040" spans="1:25">
      <c r="G1040" s="63" t="s">
        <v>23</v>
      </c>
      <c r="H1040" s="135"/>
      <c r="I1040" s="74"/>
      <c r="J1040" s="75"/>
      <c r="K1040" s="75"/>
      <c r="L1040" s="75"/>
      <c r="M1040" s="75"/>
      <c r="N1040" s="75"/>
      <c r="O1040" s="75"/>
      <c r="P1040" s="75"/>
      <c r="Q1040" s="75"/>
      <c r="R1040" s="75"/>
      <c r="S1040" s="75"/>
      <c r="T1040" s="75"/>
      <c r="U1040" s="76"/>
      <c r="W1040" s="1"/>
      <c r="X1040" s="1"/>
      <c r="Y1040" s="1"/>
    </row>
    <row r="1041" spans="6:25">
      <c r="G1041" s="63" t="s">
        <v>89</v>
      </c>
      <c r="H1041" s="134"/>
      <c r="I1041" s="43"/>
      <c r="J1041" s="44"/>
      <c r="K1041" s="44"/>
      <c r="L1041" s="44"/>
      <c r="M1041" s="44"/>
      <c r="N1041" s="44"/>
      <c r="O1041" s="44"/>
      <c r="P1041" s="44"/>
      <c r="Q1041" s="44"/>
      <c r="R1041" s="44"/>
      <c r="S1041" s="44"/>
      <c r="T1041" s="44"/>
      <c r="U1041" s="45"/>
      <c r="W1041" s="1"/>
      <c r="X1041" s="1"/>
      <c r="Y1041" s="1"/>
    </row>
    <row r="1042" spans="6:25">
      <c r="G1042" s="26" t="s">
        <v>90</v>
      </c>
      <c r="I1042" s="7">
        <v>0</v>
      </c>
      <c r="J1042" s="7">
        <v>0</v>
      </c>
      <c r="K1042" s="7">
        <v>0</v>
      </c>
      <c r="L1042" s="7">
        <v>0</v>
      </c>
      <c r="M1042" s="7">
        <v>0</v>
      </c>
      <c r="N1042" s="7">
        <v>0</v>
      </c>
      <c r="O1042" s="7">
        <v>0</v>
      </c>
      <c r="P1042" s="7">
        <v>0</v>
      </c>
      <c r="Q1042" s="7">
        <v>0</v>
      </c>
      <c r="R1042" s="7">
        <v>0</v>
      </c>
      <c r="S1042" s="7">
        <v>0</v>
      </c>
      <c r="T1042" s="7">
        <v>0</v>
      </c>
      <c r="U1042" s="7">
        <v>0</v>
      </c>
      <c r="W1042" s="1"/>
      <c r="X1042" s="1"/>
      <c r="Y1042" s="1"/>
    </row>
    <row r="1043" spans="6:25">
      <c r="G1043" s="6"/>
      <c r="I1043" s="7"/>
      <c r="J1043" s="7"/>
      <c r="K1043" s="7"/>
      <c r="L1043" s="23"/>
      <c r="M1043" s="23"/>
      <c r="N1043" s="23"/>
      <c r="O1043" s="23"/>
      <c r="P1043" s="23"/>
      <c r="Q1043" s="23"/>
      <c r="R1043" s="23"/>
      <c r="S1043" s="23"/>
      <c r="T1043" s="23"/>
      <c r="U1043" s="23"/>
      <c r="W1043" s="1"/>
      <c r="X1043" s="1"/>
      <c r="Y1043" s="1"/>
    </row>
    <row r="1044" spans="6:25" ht="18.75">
      <c r="F1044" s="9" t="s">
        <v>100</v>
      </c>
      <c r="I1044" s="2">
        <f>'Facility Detail'!$G$3260</f>
        <v>2011</v>
      </c>
      <c r="J1044" s="2">
        <f>I1044+1</f>
        <v>2012</v>
      </c>
      <c r="K1044" s="2">
        <f t="shared" ref="K1044" si="446">J1044+1</f>
        <v>2013</v>
      </c>
      <c r="L1044" s="2">
        <f t="shared" ref="L1044" si="447">K1044+1</f>
        <v>2014</v>
      </c>
      <c r="M1044" s="2">
        <f t="shared" ref="M1044" si="448">L1044+1</f>
        <v>2015</v>
      </c>
      <c r="N1044" s="2">
        <f t="shared" ref="N1044" si="449">M1044+1</f>
        <v>2016</v>
      </c>
      <c r="O1044" s="2">
        <f t="shared" ref="O1044" si="450">N1044+1</f>
        <v>2017</v>
      </c>
      <c r="P1044" s="2">
        <f t="shared" ref="P1044" si="451">O1044+1</f>
        <v>2018</v>
      </c>
      <c r="Q1044" s="2">
        <f t="shared" ref="Q1044" si="452">P1044+1</f>
        <v>2019</v>
      </c>
      <c r="R1044" s="2">
        <f t="shared" ref="R1044" si="453">Q1044+1</f>
        <v>2020</v>
      </c>
      <c r="S1044" s="2">
        <f>R1044+1</f>
        <v>2021</v>
      </c>
      <c r="T1044" s="2">
        <f>S1044+1</f>
        <v>2022</v>
      </c>
      <c r="U1044" s="2">
        <f>T1044+1</f>
        <v>2023</v>
      </c>
      <c r="W1044" s="1"/>
      <c r="X1044" s="1"/>
      <c r="Y1044" s="1"/>
    </row>
    <row r="1045" spans="6:25">
      <c r="G1045" s="62" t="s">
        <v>68</v>
      </c>
      <c r="H1045" s="57"/>
      <c r="I1045" s="3"/>
      <c r="J1045" s="46">
        <f>I1045</f>
        <v>0</v>
      </c>
      <c r="K1045" s="106"/>
      <c r="L1045" s="106"/>
      <c r="M1045" s="106"/>
      <c r="N1045" s="106"/>
      <c r="O1045" s="106"/>
      <c r="P1045" s="106"/>
      <c r="Q1045" s="106"/>
      <c r="R1045" s="106"/>
      <c r="S1045" s="106"/>
      <c r="T1045" s="217"/>
      <c r="U1045" s="47"/>
      <c r="W1045" s="1"/>
      <c r="X1045" s="1"/>
      <c r="Y1045" s="1"/>
    </row>
    <row r="1046" spans="6:25">
      <c r="G1046" s="62" t="s">
        <v>69</v>
      </c>
      <c r="H1046" s="57"/>
      <c r="I1046" s="127">
        <f>J1046</f>
        <v>0</v>
      </c>
      <c r="J1046" s="10"/>
      <c r="K1046" s="60"/>
      <c r="L1046" s="60"/>
      <c r="M1046" s="60"/>
      <c r="N1046" s="60"/>
      <c r="O1046" s="60"/>
      <c r="P1046" s="60"/>
      <c r="Q1046" s="60"/>
      <c r="R1046" s="60"/>
      <c r="S1046" s="60"/>
      <c r="T1046" s="218"/>
      <c r="U1046" s="128"/>
      <c r="W1046" s="1"/>
      <c r="X1046" s="1"/>
      <c r="Y1046" s="1"/>
    </row>
    <row r="1047" spans="6:25">
      <c r="G1047" s="62" t="s">
        <v>70</v>
      </c>
      <c r="H1047" s="57"/>
      <c r="I1047" s="48"/>
      <c r="J1047" s="10">
        <f>J1031</f>
        <v>0</v>
      </c>
      <c r="K1047" s="56">
        <f>J1047</f>
        <v>0</v>
      </c>
      <c r="L1047" s="60"/>
      <c r="M1047" s="60"/>
      <c r="N1047" s="60"/>
      <c r="O1047" s="60"/>
      <c r="P1047" s="60"/>
      <c r="Q1047" s="60"/>
      <c r="R1047" s="60"/>
      <c r="S1047" s="60"/>
      <c r="T1047" s="218"/>
      <c r="U1047" s="128"/>
      <c r="W1047" s="1"/>
      <c r="X1047" s="1"/>
      <c r="Y1047" s="1"/>
    </row>
    <row r="1048" spans="6:25">
      <c r="G1048" s="62" t="s">
        <v>71</v>
      </c>
      <c r="H1048" s="57"/>
      <c r="I1048" s="48"/>
      <c r="J1048" s="56">
        <f>K1048</f>
        <v>0</v>
      </c>
      <c r="K1048" s="10"/>
      <c r="L1048" s="60"/>
      <c r="M1048" s="60"/>
      <c r="N1048" s="60"/>
      <c r="O1048" s="60"/>
      <c r="P1048" s="60"/>
      <c r="Q1048" s="60"/>
      <c r="R1048" s="60"/>
      <c r="S1048" s="60"/>
      <c r="T1048" s="218"/>
      <c r="U1048" s="128"/>
      <c r="W1048" s="1"/>
      <c r="X1048" s="1"/>
      <c r="Y1048" s="1"/>
    </row>
    <row r="1049" spans="6:25">
      <c r="G1049" s="62" t="s">
        <v>170</v>
      </c>
      <c r="I1049" s="48"/>
      <c r="J1049" s="118"/>
      <c r="K1049" s="10">
        <f>K1031</f>
        <v>0</v>
      </c>
      <c r="L1049" s="119">
        <f>K1049</f>
        <v>0</v>
      </c>
      <c r="M1049" s="60"/>
      <c r="N1049" s="60"/>
      <c r="O1049" s="60"/>
      <c r="P1049" s="60"/>
      <c r="Q1049" s="60"/>
      <c r="R1049" s="60"/>
      <c r="S1049" s="60"/>
      <c r="T1049" s="146"/>
      <c r="U1049" s="122"/>
      <c r="W1049" s="1"/>
      <c r="X1049" s="1"/>
      <c r="Y1049" s="1"/>
    </row>
    <row r="1050" spans="6:25">
      <c r="G1050" s="62" t="s">
        <v>171</v>
      </c>
      <c r="I1050" s="48"/>
      <c r="J1050" s="118"/>
      <c r="K1050" s="56">
        <f>L1050</f>
        <v>0</v>
      </c>
      <c r="L1050" s="10"/>
      <c r="M1050" s="60"/>
      <c r="N1050" s="60"/>
      <c r="O1050" s="60"/>
      <c r="P1050" s="60"/>
      <c r="Q1050" s="60"/>
      <c r="R1050" s="60"/>
      <c r="S1050" s="60"/>
      <c r="T1050" s="146"/>
      <c r="U1050" s="122"/>
      <c r="W1050" s="1"/>
      <c r="X1050" s="1"/>
      <c r="Y1050" s="1"/>
    </row>
    <row r="1051" spans="6:25">
      <c r="G1051" s="62" t="s">
        <v>172</v>
      </c>
      <c r="I1051" s="48"/>
      <c r="J1051" s="118"/>
      <c r="K1051" s="118"/>
      <c r="L1051" s="10">
        <f>L1031</f>
        <v>0</v>
      </c>
      <c r="M1051" s="119">
        <f>L1051</f>
        <v>0</v>
      </c>
      <c r="N1051" s="118"/>
      <c r="O1051" s="60"/>
      <c r="P1051" s="60"/>
      <c r="Q1051" s="60"/>
      <c r="R1051" s="60"/>
      <c r="S1051" s="60"/>
      <c r="T1051" s="146"/>
      <c r="U1051" s="122"/>
      <c r="W1051" s="1"/>
      <c r="X1051" s="1"/>
      <c r="Y1051" s="1"/>
    </row>
    <row r="1052" spans="6:25">
      <c r="G1052" s="62" t="s">
        <v>173</v>
      </c>
      <c r="I1052" s="48"/>
      <c r="J1052" s="118"/>
      <c r="K1052" s="118"/>
      <c r="L1052" s="56"/>
      <c r="M1052" s="10"/>
      <c r="N1052" s="118"/>
      <c r="O1052" s="60"/>
      <c r="P1052" s="60"/>
      <c r="Q1052" s="60"/>
      <c r="R1052" s="60"/>
      <c r="S1052" s="60"/>
      <c r="T1052" s="146"/>
      <c r="U1052" s="122"/>
      <c r="W1052" s="1"/>
      <c r="X1052" s="1"/>
      <c r="Y1052" s="1"/>
    </row>
    <row r="1053" spans="6:25">
      <c r="G1053" s="62" t="s">
        <v>174</v>
      </c>
      <c r="I1053" s="48"/>
      <c r="J1053" s="118"/>
      <c r="K1053" s="118"/>
      <c r="L1053" s="118"/>
      <c r="M1053" s="10">
        <v>0</v>
      </c>
      <c r="N1053" s="119">
        <f>M1053</f>
        <v>0</v>
      </c>
      <c r="O1053" s="60"/>
      <c r="P1053" s="60"/>
      <c r="Q1053" s="60"/>
      <c r="R1053" s="60"/>
      <c r="S1053" s="60"/>
      <c r="T1053" s="146"/>
      <c r="U1053" s="122"/>
      <c r="W1053" s="1"/>
      <c r="X1053" s="1"/>
      <c r="Y1053" s="1"/>
    </row>
    <row r="1054" spans="6:25">
      <c r="G1054" s="62" t="s">
        <v>175</v>
      </c>
      <c r="I1054" s="48"/>
      <c r="J1054" s="118"/>
      <c r="K1054" s="118"/>
      <c r="L1054" s="118"/>
      <c r="M1054" s="56"/>
      <c r="N1054" s="10"/>
      <c r="O1054" s="60"/>
      <c r="P1054" s="60"/>
      <c r="Q1054" s="60"/>
      <c r="R1054" s="60"/>
      <c r="S1054" s="60"/>
      <c r="T1054" s="146"/>
      <c r="U1054" s="122"/>
      <c r="W1054" s="1"/>
      <c r="X1054" s="1"/>
      <c r="Y1054" s="1"/>
    </row>
    <row r="1055" spans="6:25">
      <c r="G1055" s="62" t="s">
        <v>176</v>
      </c>
      <c r="I1055" s="48"/>
      <c r="J1055" s="118"/>
      <c r="K1055" s="118"/>
      <c r="L1055" s="118"/>
      <c r="M1055" s="118"/>
      <c r="N1055" s="149">
        <f>N1031</f>
        <v>0</v>
      </c>
      <c r="O1055" s="120">
        <f>N1055</f>
        <v>0</v>
      </c>
      <c r="P1055" s="60"/>
      <c r="Q1055" s="60"/>
      <c r="R1055" s="60"/>
      <c r="S1055" s="60"/>
      <c r="T1055" s="146"/>
      <c r="U1055" s="122"/>
      <c r="W1055" s="1"/>
      <c r="X1055" s="1"/>
      <c r="Y1055" s="1"/>
    </row>
    <row r="1056" spans="6:25">
      <c r="G1056" s="62" t="s">
        <v>167</v>
      </c>
      <c r="I1056" s="48"/>
      <c r="J1056" s="118"/>
      <c r="K1056" s="118"/>
      <c r="L1056" s="118"/>
      <c r="M1056" s="118"/>
      <c r="N1056" s="150"/>
      <c r="O1056" s="121"/>
      <c r="P1056" s="60"/>
      <c r="Q1056" s="60"/>
      <c r="R1056" s="60"/>
      <c r="S1056" s="60"/>
      <c r="T1056" s="146"/>
      <c r="U1056" s="122"/>
      <c r="W1056" s="1"/>
      <c r="X1056" s="1"/>
      <c r="Y1056" s="1"/>
    </row>
    <row r="1057" spans="2:25">
      <c r="G1057" s="62" t="s">
        <v>168</v>
      </c>
      <c r="I1057" s="48"/>
      <c r="J1057" s="118"/>
      <c r="K1057" s="118"/>
      <c r="L1057" s="118"/>
      <c r="M1057" s="118"/>
      <c r="N1057" s="118"/>
      <c r="O1057" s="121">
        <f>O1031</f>
        <v>0</v>
      </c>
      <c r="P1057" s="120">
        <f>O1057</f>
        <v>0</v>
      </c>
      <c r="Q1057" s="60"/>
      <c r="R1057" s="60"/>
      <c r="S1057" s="60"/>
      <c r="T1057" s="146"/>
      <c r="U1057" s="122"/>
      <c r="W1057" s="1"/>
      <c r="X1057" s="1"/>
      <c r="Y1057" s="1"/>
    </row>
    <row r="1058" spans="2:25">
      <c r="G1058" s="62" t="s">
        <v>185</v>
      </c>
      <c r="I1058" s="48"/>
      <c r="J1058" s="118"/>
      <c r="K1058" s="118"/>
      <c r="L1058" s="118"/>
      <c r="M1058" s="118"/>
      <c r="N1058" s="118"/>
      <c r="O1058" s="120"/>
      <c r="P1058" s="121"/>
      <c r="Q1058" s="60"/>
      <c r="R1058" s="60"/>
      <c r="S1058" s="60"/>
      <c r="T1058" s="146"/>
      <c r="U1058" s="122"/>
      <c r="W1058" s="1"/>
      <c r="X1058" s="1"/>
      <c r="Y1058" s="1"/>
    </row>
    <row r="1059" spans="2:25">
      <c r="G1059" s="62" t="s">
        <v>186</v>
      </c>
      <c r="I1059" s="48"/>
      <c r="J1059" s="118"/>
      <c r="K1059" s="118"/>
      <c r="L1059" s="118"/>
      <c r="M1059" s="118"/>
      <c r="N1059" s="118"/>
      <c r="O1059" s="118"/>
      <c r="P1059" s="121"/>
      <c r="Q1059" s="56">
        <f>P1059</f>
        <v>0</v>
      </c>
      <c r="R1059" s="60"/>
      <c r="S1059" s="60"/>
      <c r="T1059" s="146"/>
      <c r="U1059" s="122"/>
      <c r="W1059" s="1"/>
      <c r="X1059" s="1"/>
      <c r="Y1059" s="1"/>
    </row>
    <row r="1060" spans="2:25">
      <c r="G1060" s="62" t="s">
        <v>187</v>
      </c>
      <c r="I1060" s="48"/>
      <c r="J1060" s="118"/>
      <c r="K1060" s="118"/>
      <c r="L1060" s="118"/>
      <c r="M1060" s="118"/>
      <c r="N1060" s="118"/>
      <c r="O1060" s="118"/>
      <c r="P1060" s="120"/>
      <c r="Q1060" s="306"/>
      <c r="R1060" s="60"/>
      <c r="S1060" s="60"/>
      <c r="T1060" s="146"/>
      <c r="U1060" s="122"/>
      <c r="W1060" s="1"/>
      <c r="X1060" s="1"/>
      <c r="Y1060" s="1"/>
    </row>
    <row r="1061" spans="2:25">
      <c r="G1061" s="62" t="s">
        <v>188</v>
      </c>
      <c r="I1061" s="48"/>
      <c r="J1061" s="118"/>
      <c r="K1061" s="118"/>
      <c r="L1061" s="118"/>
      <c r="M1061" s="118"/>
      <c r="N1061" s="118"/>
      <c r="O1061" s="118"/>
      <c r="P1061" s="118"/>
      <c r="Q1061" s="121"/>
      <c r="R1061" s="151">
        <f>Q1061</f>
        <v>0</v>
      </c>
      <c r="S1061" s="60"/>
      <c r="T1061" s="146"/>
      <c r="U1061" s="122"/>
      <c r="W1061" s="1"/>
      <c r="X1061" s="1"/>
      <c r="Y1061" s="1"/>
    </row>
    <row r="1062" spans="2:25">
      <c r="G1062" s="62" t="s">
        <v>189</v>
      </c>
      <c r="I1062" s="48"/>
      <c r="J1062" s="118"/>
      <c r="K1062" s="118"/>
      <c r="L1062" s="118"/>
      <c r="M1062" s="118"/>
      <c r="N1062" s="118"/>
      <c r="O1062" s="118"/>
      <c r="P1062" s="118"/>
      <c r="Q1062" s="151">
        <f>R1031</f>
        <v>0</v>
      </c>
      <c r="R1062" s="173">
        <f>Q1062</f>
        <v>0</v>
      </c>
      <c r="S1062" s="60"/>
      <c r="T1062" s="146"/>
      <c r="U1062" s="122"/>
      <c r="W1062" s="1"/>
      <c r="X1062" s="1"/>
      <c r="Y1062" s="1"/>
    </row>
    <row r="1063" spans="2:25">
      <c r="G1063" s="62" t="s">
        <v>190</v>
      </c>
      <c r="I1063" s="48"/>
      <c r="J1063" s="118"/>
      <c r="K1063" s="118"/>
      <c r="L1063" s="118"/>
      <c r="M1063" s="118"/>
      <c r="N1063" s="118"/>
      <c r="O1063" s="118"/>
      <c r="P1063" s="118"/>
      <c r="Q1063" s="118"/>
      <c r="R1063" s="173"/>
      <c r="S1063" s="151">
        <f>R1063</f>
        <v>0</v>
      </c>
      <c r="T1063" s="146"/>
      <c r="U1063" s="122"/>
      <c r="W1063" s="1"/>
      <c r="X1063" s="1"/>
      <c r="Y1063" s="1"/>
    </row>
    <row r="1064" spans="2:25">
      <c r="G1064" s="62" t="s">
        <v>199</v>
      </c>
      <c r="I1064" s="48"/>
      <c r="J1064" s="118"/>
      <c r="K1064" s="118"/>
      <c r="L1064" s="118"/>
      <c r="M1064" s="118"/>
      <c r="N1064" s="118"/>
      <c r="O1064" s="118"/>
      <c r="P1064" s="118"/>
      <c r="Q1064" s="118"/>
      <c r="R1064" s="120"/>
      <c r="S1064" s="173">
        <v>0</v>
      </c>
      <c r="T1064" s="146"/>
      <c r="U1064" s="122"/>
      <c r="W1064" s="1"/>
      <c r="X1064" s="1"/>
      <c r="Y1064" s="1"/>
    </row>
    <row r="1065" spans="2:25">
      <c r="G1065" s="62" t="s">
        <v>200</v>
      </c>
      <c r="I1065" s="48"/>
      <c r="J1065" s="118"/>
      <c r="K1065" s="118"/>
      <c r="L1065" s="118"/>
      <c r="M1065" s="118"/>
      <c r="N1065" s="118"/>
      <c r="O1065" s="118"/>
      <c r="P1065" s="118"/>
      <c r="Q1065" s="118"/>
      <c r="R1065" s="118"/>
      <c r="S1065" s="173">
        <v>0</v>
      </c>
      <c r="T1065" s="151">
        <f>S1065</f>
        <v>0</v>
      </c>
      <c r="U1065" s="122"/>
      <c r="W1065" s="1"/>
      <c r="X1065" s="1"/>
      <c r="Y1065" s="1"/>
    </row>
    <row r="1066" spans="2:25">
      <c r="G1066" s="62" t="s">
        <v>308</v>
      </c>
      <c r="I1066" s="48"/>
      <c r="J1066" s="118"/>
      <c r="K1066" s="118"/>
      <c r="L1066" s="118"/>
      <c r="M1066" s="118"/>
      <c r="N1066" s="118"/>
      <c r="O1066" s="118"/>
      <c r="P1066" s="118"/>
      <c r="Q1066" s="118"/>
      <c r="R1066" s="118"/>
      <c r="S1066" s="120">
        <f>T1066</f>
        <v>0</v>
      </c>
      <c r="T1066" s="173">
        <v>0</v>
      </c>
      <c r="U1066" s="122"/>
      <c r="W1066" s="1"/>
      <c r="X1066" s="1"/>
      <c r="Y1066" s="1"/>
    </row>
    <row r="1067" spans="2:25">
      <c r="G1067" s="62" t="s">
        <v>307</v>
      </c>
      <c r="I1067" s="114"/>
      <c r="J1067" s="107"/>
      <c r="K1067" s="107"/>
      <c r="L1067" s="107"/>
      <c r="M1067" s="107"/>
      <c r="N1067" s="107"/>
      <c r="O1067" s="107"/>
      <c r="P1067" s="107"/>
      <c r="Q1067" s="107"/>
      <c r="R1067" s="107"/>
      <c r="S1067" s="107"/>
      <c r="T1067" s="173">
        <v>0</v>
      </c>
      <c r="U1067" s="456">
        <f>T1067</f>
        <v>0</v>
      </c>
      <c r="W1067" s="1"/>
      <c r="X1067" s="1"/>
      <c r="Y1067" s="1"/>
    </row>
    <row r="1068" spans="2:25">
      <c r="G1068" s="62" t="s">
        <v>318</v>
      </c>
      <c r="I1068" s="114"/>
      <c r="J1068" s="107"/>
      <c r="K1068" s="107"/>
      <c r="L1068" s="107"/>
      <c r="M1068" s="107"/>
      <c r="N1068" s="107"/>
      <c r="O1068" s="107"/>
      <c r="P1068" s="107"/>
      <c r="Q1068" s="107"/>
      <c r="R1068" s="107"/>
      <c r="S1068" s="107"/>
      <c r="T1068" s="120">
        <f>U1068</f>
        <v>0</v>
      </c>
      <c r="U1068" s="457">
        <v>0</v>
      </c>
      <c r="W1068" s="1"/>
      <c r="X1068" s="1"/>
      <c r="Y1068" s="1"/>
    </row>
    <row r="1069" spans="2:25">
      <c r="G1069" s="62" t="s">
        <v>319</v>
      </c>
      <c r="I1069" s="49"/>
      <c r="J1069" s="194"/>
      <c r="K1069" s="194"/>
      <c r="L1069" s="194"/>
      <c r="M1069" s="194"/>
      <c r="N1069" s="194"/>
      <c r="O1069" s="194"/>
      <c r="P1069" s="194"/>
      <c r="Q1069" s="194"/>
      <c r="R1069" s="194"/>
      <c r="S1069" s="194"/>
      <c r="T1069" s="194"/>
      <c r="U1069" s="458">
        <v>0</v>
      </c>
      <c r="W1069" s="1"/>
      <c r="X1069" s="1"/>
      <c r="Y1069" s="1"/>
    </row>
    <row r="1070" spans="2:25">
      <c r="B1070" s="1" t="s">
        <v>215</v>
      </c>
      <c r="G1070" s="26" t="s">
        <v>17</v>
      </c>
      <c r="I1070" s="7">
        <f xml:space="preserve"> I1051 - I1050</f>
        <v>0</v>
      </c>
      <c r="J1070" s="7">
        <f xml:space="preserve"> J1050 + J1053 - J1052 - J1051</f>
        <v>0</v>
      </c>
      <c r="K1070" s="7">
        <f>K1052 - K1053</f>
        <v>0</v>
      </c>
      <c r="L1070" s="7">
        <f>L1052 - L1053</f>
        <v>0</v>
      </c>
      <c r="M1070" s="7">
        <f>M1051-M1052-M1053</f>
        <v>0</v>
      </c>
      <c r="N1070" s="7">
        <f>N1053-N1054-N1055</f>
        <v>0</v>
      </c>
      <c r="O1070" s="7">
        <f>O1055-O1056-O1057</f>
        <v>0</v>
      </c>
      <c r="P1070" s="154">
        <f>P1057-P1058-P1059</f>
        <v>0</v>
      </c>
      <c r="Q1070" s="154">
        <f>Q1059+Q1062-Q1061-Q1060</f>
        <v>0</v>
      </c>
      <c r="R1070" s="154">
        <f>R1061-R1062+R1064</f>
        <v>0</v>
      </c>
      <c r="S1070" s="7">
        <f>S1063-S1064+S1065-S1066</f>
        <v>0</v>
      </c>
      <c r="T1070" s="7">
        <f>T1065-T1066-T1067+T1068</f>
        <v>0</v>
      </c>
      <c r="U1070" s="7">
        <f>U1067-U1068-U1069</f>
        <v>0</v>
      </c>
      <c r="W1070" s="1"/>
      <c r="X1070" s="1"/>
      <c r="Y1070" s="1"/>
    </row>
    <row r="1071" spans="2:25">
      <c r="G1071" s="6"/>
      <c r="I1071" s="154"/>
      <c r="J1071" s="154"/>
      <c r="K1071" s="154"/>
      <c r="L1071" s="154"/>
      <c r="M1071" s="154"/>
      <c r="N1071" s="154"/>
      <c r="O1071" s="154"/>
      <c r="P1071" s="154"/>
      <c r="Q1071" s="154"/>
      <c r="R1071" s="154"/>
      <c r="S1071" s="154"/>
      <c r="T1071" s="154"/>
      <c r="U1071" s="154"/>
      <c r="W1071" s="1"/>
      <c r="X1071" s="1"/>
      <c r="Y1071" s="1"/>
    </row>
    <row r="1072" spans="2:25">
      <c r="G1072" s="26" t="s">
        <v>12</v>
      </c>
      <c r="H1072" s="57"/>
      <c r="I1072" s="155"/>
      <c r="J1072" s="156"/>
      <c r="K1072" s="156"/>
      <c r="L1072" s="156"/>
      <c r="M1072" s="156"/>
      <c r="N1072" s="156"/>
      <c r="O1072" s="156"/>
      <c r="P1072" s="156"/>
      <c r="Q1072" s="156"/>
      <c r="R1072" s="156"/>
      <c r="S1072" s="156"/>
      <c r="T1072" s="156"/>
      <c r="U1072" s="267"/>
      <c r="W1072" s="1"/>
      <c r="X1072" s="1"/>
      <c r="Y1072" s="1"/>
    </row>
    <row r="1073" spans="1:25">
      <c r="G1073" s="6"/>
      <c r="I1073" s="154"/>
      <c r="J1073" s="154"/>
      <c r="K1073" s="154"/>
      <c r="L1073" s="154"/>
      <c r="M1073" s="154"/>
      <c r="N1073" s="154"/>
      <c r="O1073" s="154"/>
      <c r="P1073" s="154"/>
      <c r="Q1073" s="154"/>
      <c r="R1073" s="154"/>
      <c r="S1073" s="154"/>
      <c r="T1073" s="154"/>
      <c r="U1073" s="154"/>
      <c r="W1073" s="1"/>
      <c r="X1073" s="1"/>
      <c r="Y1073" s="1"/>
    </row>
    <row r="1074" spans="1:25" ht="18.75">
      <c r="C1074" s="1" t="s">
        <v>215</v>
      </c>
      <c r="D1074" s="1" t="s">
        <v>241</v>
      </c>
      <c r="E1074" s="1" t="s">
        <v>107</v>
      </c>
      <c r="F1074" s="9" t="s">
        <v>26</v>
      </c>
      <c r="H1074" s="57"/>
      <c r="I1074" s="157">
        <f t="shared" ref="I1074:T1074" si="454" xml:space="preserve"> I1031 + I1036 - I1042 + I1070 + I1072</f>
        <v>0</v>
      </c>
      <c r="J1074" s="158">
        <f t="shared" si="454"/>
        <v>0</v>
      </c>
      <c r="K1074" s="158">
        <f t="shared" si="454"/>
        <v>0</v>
      </c>
      <c r="L1074" s="158">
        <f t="shared" si="454"/>
        <v>0</v>
      </c>
      <c r="M1074" s="158">
        <f t="shared" si="454"/>
        <v>0</v>
      </c>
      <c r="N1074" s="158">
        <f t="shared" si="454"/>
        <v>0</v>
      </c>
      <c r="O1074" s="158">
        <f t="shared" si="454"/>
        <v>0</v>
      </c>
      <c r="P1074" s="158">
        <f t="shared" si="454"/>
        <v>0</v>
      </c>
      <c r="Q1074" s="158">
        <f t="shared" si="454"/>
        <v>0</v>
      </c>
      <c r="R1074" s="158">
        <f t="shared" si="454"/>
        <v>0</v>
      </c>
      <c r="S1074" s="158">
        <f t="shared" si="454"/>
        <v>13167.122039266278</v>
      </c>
      <c r="T1074" s="158">
        <f t="shared" si="454"/>
        <v>16437</v>
      </c>
      <c r="U1074" s="268">
        <f t="shared" ref="U1074" si="455" xml:space="preserve"> U1031 + U1036 - U1042 + U1070 + U1072</f>
        <v>11509.118505793082</v>
      </c>
      <c r="W1074" s="1"/>
      <c r="X1074" s="1"/>
      <c r="Y1074" s="1"/>
    </row>
    <row r="1075" spans="1:25" ht="15.75" thickBot="1">
      <c r="W1075" s="1"/>
      <c r="X1075" s="1"/>
      <c r="Y1075" s="1"/>
    </row>
    <row r="1076" spans="1:25">
      <c r="F1076" s="8"/>
      <c r="G1076" s="8"/>
      <c r="H1076" s="8"/>
      <c r="I1076" s="8"/>
      <c r="J1076" s="8"/>
      <c r="K1076" s="8"/>
      <c r="L1076" s="8"/>
      <c r="M1076" s="8"/>
      <c r="N1076" s="8"/>
      <c r="O1076" s="8"/>
      <c r="P1076" s="8"/>
      <c r="Q1076" s="8"/>
      <c r="R1076" s="8"/>
      <c r="S1076" s="290"/>
      <c r="T1076" s="8"/>
      <c r="U1076" s="8"/>
      <c r="W1076" s="1"/>
      <c r="X1076" s="1"/>
      <c r="Y1076" s="1"/>
    </row>
    <row r="1077" spans="1:25" ht="15.75" thickBot="1">
      <c r="W1077" s="1"/>
      <c r="X1077" s="1"/>
      <c r="Y1077" s="1"/>
    </row>
    <row r="1078" spans="1:25" ht="21.75" thickBot="1">
      <c r="F1078" s="13" t="s">
        <v>4</v>
      </c>
      <c r="G1078" s="13"/>
      <c r="H1078" s="185" t="s">
        <v>160</v>
      </c>
      <c r="I1078" s="183"/>
      <c r="W1078" s="1"/>
      <c r="X1078" s="1"/>
      <c r="Y1078" s="1"/>
    </row>
    <row r="1079" spans="1:25">
      <c r="W1079" s="1"/>
      <c r="X1079" s="1"/>
      <c r="Y1079" s="1"/>
    </row>
    <row r="1080" spans="1:25" ht="18.75">
      <c r="F1080" s="9" t="s">
        <v>21</v>
      </c>
      <c r="G1080" s="9"/>
      <c r="I1080" s="2">
        <f>'Facility Detail'!$G$3260</f>
        <v>2011</v>
      </c>
      <c r="J1080" s="2">
        <f>I1080+1</f>
        <v>2012</v>
      </c>
      <c r="K1080" s="2">
        <f>J1080+1</f>
        <v>2013</v>
      </c>
      <c r="L1080" s="2">
        <f t="shared" ref="L1080:P1080" si="456">K1080+1</f>
        <v>2014</v>
      </c>
      <c r="M1080" s="2">
        <f t="shared" si="456"/>
        <v>2015</v>
      </c>
      <c r="N1080" s="2">
        <f t="shared" si="456"/>
        <v>2016</v>
      </c>
      <c r="O1080" s="2">
        <f t="shared" si="456"/>
        <v>2017</v>
      </c>
      <c r="P1080" s="2">
        <f t="shared" si="456"/>
        <v>2018</v>
      </c>
      <c r="Q1080" s="2">
        <f t="shared" ref="Q1080" si="457">P1080+1</f>
        <v>2019</v>
      </c>
      <c r="R1080" s="2">
        <f t="shared" ref="R1080" si="458">Q1080+1</f>
        <v>2020</v>
      </c>
      <c r="S1080" s="2">
        <f>R1080+1</f>
        <v>2021</v>
      </c>
      <c r="T1080" s="2">
        <f>S1080+1</f>
        <v>2022</v>
      </c>
      <c r="U1080" s="2">
        <f>T1080+1</f>
        <v>2023</v>
      </c>
      <c r="W1080" s="1"/>
      <c r="X1080" s="1"/>
      <c r="Y1080" s="1"/>
    </row>
    <row r="1081" spans="1:25">
      <c r="G1081" s="62" t="str">
        <f>"Total MWh Produced / Purchased from " &amp; H1078</f>
        <v>Total MWh Produced / Purchased from Glenrock Wind I</v>
      </c>
      <c r="H1081" s="57"/>
      <c r="I1081" s="3"/>
      <c r="J1081" s="4"/>
      <c r="K1081" s="4"/>
      <c r="L1081" s="4"/>
      <c r="M1081" s="4">
        <v>289386</v>
      </c>
      <c r="N1081" s="4">
        <v>311607</v>
      </c>
      <c r="O1081" s="4">
        <v>268269</v>
      </c>
      <c r="P1081" s="4">
        <v>303865</v>
      </c>
      <c r="Q1081" s="4">
        <v>143370</v>
      </c>
      <c r="R1081" s="4">
        <v>402765</v>
      </c>
      <c r="S1081" s="4">
        <v>339298</v>
      </c>
      <c r="T1081" s="4">
        <v>328535</v>
      </c>
      <c r="U1081" s="5">
        <v>343271</v>
      </c>
      <c r="W1081" s="1"/>
      <c r="X1081" s="1"/>
      <c r="Y1081" s="1"/>
    </row>
    <row r="1082" spans="1:25">
      <c r="G1082" s="62" t="s">
        <v>25</v>
      </c>
      <c r="H1082" s="57"/>
      <c r="I1082" s="269"/>
      <c r="J1082" s="41"/>
      <c r="K1082" s="41"/>
      <c r="L1082" s="41"/>
      <c r="M1082" s="41">
        <v>1</v>
      </c>
      <c r="N1082" s="41">
        <v>1</v>
      </c>
      <c r="O1082" s="41">
        <v>1</v>
      </c>
      <c r="P1082" s="41">
        <v>1</v>
      </c>
      <c r="Q1082" s="41">
        <v>1</v>
      </c>
      <c r="R1082" s="41">
        <v>1</v>
      </c>
      <c r="S1082" s="41">
        <v>1</v>
      </c>
      <c r="T1082" s="41">
        <v>1</v>
      </c>
      <c r="U1082" s="42">
        <v>1</v>
      </c>
      <c r="W1082" s="1"/>
      <c r="X1082" s="1"/>
      <c r="Y1082" s="1"/>
    </row>
    <row r="1083" spans="1:25">
      <c r="G1083" s="62" t="s">
        <v>20</v>
      </c>
      <c r="H1083" s="57"/>
      <c r="I1083" s="270"/>
      <c r="J1083" s="36"/>
      <c r="K1083" s="36"/>
      <c r="L1083" s="36"/>
      <c r="M1083" s="36">
        <v>8.0535999999999996E-2</v>
      </c>
      <c r="N1083" s="36">
        <v>8.1698151927344531E-2</v>
      </c>
      <c r="O1083" s="36">
        <v>8.0833713568703974E-2</v>
      </c>
      <c r="P1083" s="36">
        <v>7.9451999999999995E-2</v>
      </c>
      <c r="Q1083" s="36">
        <v>7.6724662968274293E-2</v>
      </c>
      <c r="R1083" s="36">
        <f>R735</f>
        <v>8.1268700519883177E-2</v>
      </c>
      <c r="S1083" s="36">
        <f>S2</f>
        <v>7.9696892166366717E-2</v>
      </c>
      <c r="T1083" s="36">
        <f>T2</f>
        <v>7.8737918965874246E-2</v>
      </c>
      <c r="U1083" s="36">
        <f>U2</f>
        <v>7.8407467372863096E-2</v>
      </c>
      <c r="W1083" s="1"/>
      <c r="X1083" s="1"/>
      <c r="Y1083" s="1"/>
    </row>
    <row r="1084" spans="1:25">
      <c r="A1084" s="1" t="s">
        <v>216</v>
      </c>
      <c r="G1084" s="26" t="s">
        <v>22</v>
      </c>
      <c r="H1084" s="6"/>
      <c r="I1084" s="30">
        <f>ROUND(I1081 * I1082 * I1083,0)</f>
        <v>0</v>
      </c>
      <c r="J1084" s="30">
        <f t="shared" ref="J1084:L1084" si="459">ROUND(J1081 * J1082 * J1083,0)</f>
        <v>0</v>
      </c>
      <c r="K1084" s="30">
        <f t="shared" si="459"/>
        <v>0</v>
      </c>
      <c r="L1084" s="30">
        <f t="shared" si="459"/>
        <v>0</v>
      </c>
      <c r="M1084" s="30">
        <v>23306</v>
      </c>
      <c r="N1084" s="161">
        <v>25457</v>
      </c>
      <c r="O1084" s="161">
        <v>21686</v>
      </c>
      <c r="P1084" s="161">
        <v>24143</v>
      </c>
      <c r="Q1084" s="161">
        <f>Q1081*Q1083</f>
        <v>11000.014929761486</v>
      </c>
      <c r="R1084" s="161">
        <f>R1081*R1083</f>
        <v>32732.188164890747</v>
      </c>
      <c r="S1084" s="161">
        <f>ROUNDDOWN(S1081*S1083,0)</f>
        <v>27040</v>
      </c>
      <c r="T1084" s="161">
        <f>ROUNDUP(T1081*T1083,0)</f>
        <v>25869</v>
      </c>
      <c r="U1084" s="161">
        <f>U1081*U1083</f>
        <v>26915.009732550086</v>
      </c>
      <c r="W1084" s="1"/>
      <c r="X1084" s="1"/>
      <c r="Y1084" s="1"/>
    </row>
    <row r="1085" spans="1:25">
      <c r="I1085" s="29"/>
      <c r="J1085" s="29"/>
      <c r="K1085" s="29"/>
      <c r="L1085" s="29"/>
      <c r="M1085" s="29"/>
      <c r="N1085" s="20"/>
      <c r="O1085" s="20"/>
      <c r="P1085" s="20"/>
      <c r="Q1085" s="20"/>
      <c r="R1085" s="20"/>
      <c r="S1085" s="20"/>
      <c r="T1085" s="20"/>
      <c r="U1085" s="20"/>
      <c r="W1085" s="1"/>
      <c r="X1085" s="1"/>
      <c r="Y1085" s="1"/>
    </row>
    <row r="1086" spans="1:25" ht="18.75">
      <c r="F1086" s="9" t="s">
        <v>118</v>
      </c>
      <c r="I1086" s="2">
        <f>'Facility Detail'!$G$3260</f>
        <v>2011</v>
      </c>
      <c r="J1086" s="2">
        <f>I1086+1</f>
        <v>2012</v>
      </c>
      <c r="K1086" s="2">
        <f>J1086+1</f>
        <v>2013</v>
      </c>
      <c r="L1086" s="2">
        <f t="shared" ref="L1086:N1086" si="460">K1086+1</f>
        <v>2014</v>
      </c>
      <c r="M1086" s="2">
        <f t="shared" si="460"/>
        <v>2015</v>
      </c>
      <c r="N1086" s="2">
        <f t="shared" si="460"/>
        <v>2016</v>
      </c>
      <c r="O1086" s="2">
        <f t="shared" ref="O1086" si="461">N1086+1</f>
        <v>2017</v>
      </c>
      <c r="P1086" s="2">
        <f t="shared" ref="P1086" si="462">O1086+1</f>
        <v>2018</v>
      </c>
      <c r="Q1086" s="2">
        <f t="shared" ref="Q1086" si="463">P1086+1</f>
        <v>2019</v>
      </c>
      <c r="R1086" s="2">
        <f t="shared" ref="R1086" si="464">Q1086+1</f>
        <v>2020</v>
      </c>
      <c r="S1086" s="2">
        <f>R1086+1</f>
        <v>2021</v>
      </c>
      <c r="T1086" s="2">
        <f>S1086+1</f>
        <v>2022</v>
      </c>
      <c r="U1086" s="2">
        <f>T1086+1</f>
        <v>2023</v>
      </c>
      <c r="W1086" s="1"/>
      <c r="X1086" s="1"/>
      <c r="Y1086" s="1"/>
    </row>
    <row r="1087" spans="1:25">
      <c r="G1087" s="62" t="s">
        <v>10</v>
      </c>
      <c r="H1087" s="57"/>
      <c r="I1087" s="38">
        <f>IF($J26 = "Eligible", I1084 * 'Facility Detail'!$G$3257, 0 )</f>
        <v>0</v>
      </c>
      <c r="J1087" s="11">
        <f>IF($J26 = "Eligible", J1084 * 'Facility Detail'!$G$3257, 0 )</f>
        <v>0</v>
      </c>
      <c r="K1087" s="11">
        <f>IF($J26 = "Eligible", K1084 * 'Facility Detail'!$G$3257, 0 )</f>
        <v>0</v>
      </c>
      <c r="L1087" s="11">
        <f>IF($J26 = "Eligible", L1084 * 'Facility Detail'!$G$3257, 0 )</f>
        <v>0</v>
      </c>
      <c r="M1087" s="11">
        <f>IF($J26 = "Eligible", M1084 * 'Facility Detail'!$G$3257, 0 )</f>
        <v>0</v>
      </c>
      <c r="N1087" s="11">
        <f>IF($J26 = "Eligible", N1084 * 'Facility Detail'!$G$3257, 0 )</f>
        <v>0</v>
      </c>
      <c r="O1087" s="11">
        <f>IF($J26 = "Eligible", O1084 * 'Facility Detail'!$G$3257, 0 )</f>
        <v>0</v>
      </c>
      <c r="P1087" s="11">
        <f>IF($J26 = "Eligible", P1084 * 'Facility Detail'!$G$3257, 0 )</f>
        <v>0</v>
      </c>
      <c r="Q1087" s="11">
        <f>IF($J26 = "Eligible", Q1084 * 'Facility Detail'!$G$3257, 0 )</f>
        <v>0</v>
      </c>
      <c r="R1087" s="11">
        <f>IF($J26 = "Eligible", R1084 * 'Facility Detail'!$G$3257, 0 )</f>
        <v>0</v>
      </c>
      <c r="S1087" s="11">
        <f>IF($J26 = "Eligible", S1084 * 'Facility Detail'!$G$3257, 0 )</f>
        <v>0</v>
      </c>
      <c r="T1087" s="11">
        <f>IF($J26 = "Eligible", T1084 * 'Facility Detail'!$G$3257, 0 )</f>
        <v>0</v>
      </c>
      <c r="U1087" s="223">
        <f>IF($J26 = "Eligible", U1084 * 'Facility Detail'!$G$3257, 0 )</f>
        <v>0</v>
      </c>
      <c r="W1087" s="1"/>
      <c r="X1087" s="1"/>
      <c r="Y1087" s="1"/>
    </row>
    <row r="1088" spans="1:25">
      <c r="G1088" s="62" t="s">
        <v>6</v>
      </c>
      <c r="H1088" s="57"/>
      <c r="I1088" s="39">
        <f t="shared" ref="I1088:U1088" si="465">IF($K26= "Eligible", I1084, 0 )</f>
        <v>0</v>
      </c>
      <c r="J1088" s="193">
        <f t="shared" si="465"/>
        <v>0</v>
      </c>
      <c r="K1088" s="193">
        <f t="shared" si="465"/>
        <v>0</v>
      </c>
      <c r="L1088" s="193">
        <f t="shared" si="465"/>
        <v>0</v>
      </c>
      <c r="M1088" s="193">
        <f t="shared" si="465"/>
        <v>0</v>
      </c>
      <c r="N1088" s="193">
        <f t="shared" si="465"/>
        <v>0</v>
      </c>
      <c r="O1088" s="193">
        <f t="shared" si="465"/>
        <v>0</v>
      </c>
      <c r="P1088" s="193">
        <f t="shared" si="465"/>
        <v>0</v>
      </c>
      <c r="Q1088" s="193">
        <f t="shared" si="465"/>
        <v>0</v>
      </c>
      <c r="R1088" s="193">
        <f t="shared" si="465"/>
        <v>0</v>
      </c>
      <c r="S1088" s="193">
        <f t="shared" si="465"/>
        <v>0</v>
      </c>
      <c r="T1088" s="193">
        <f t="shared" si="465"/>
        <v>0</v>
      </c>
      <c r="U1088" s="224">
        <f t="shared" si="465"/>
        <v>0</v>
      </c>
      <c r="W1088" s="1"/>
      <c r="X1088" s="1"/>
      <c r="Y1088" s="1"/>
    </row>
    <row r="1089" spans="6:25">
      <c r="G1089" s="26" t="s">
        <v>120</v>
      </c>
      <c r="H1089" s="6"/>
      <c r="I1089" s="32">
        <f>SUM(I1087:I1088)</f>
        <v>0</v>
      </c>
      <c r="J1089" s="33">
        <f t="shared" ref="J1089:S1089" si="466">SUM(J1087:J1088)</f>
        <v>0</v>
      </c>
      <c r="K1089" s="33">
        <f t="shared" si="466"/>
        <v>0</v>
      </c>
      <c r="L1089" s="33">
        <f t="shared" si="466"/>
        <v>0</v>
      </c>
      <c r="M1089" s="33">
        <f t="shared" si="466"/>
        <v>0</v>
      </c>
      <c r="N1089" s="33">
        <f t="shared" si="466"/>
        <v>0</v>
      </c>
      <c r="O1089" s="33">
        <f t="shared" si="466"/>
        <v>0</v>
      </c>
      <c r="P1089" s="33">
        <f t="shared" si="466"/>
        <v>0</v>
      </c>
      <c r="Q1089" s="33">
        <f t="shared" si="466"/>
        <v>0</v>
      </c>
      <c r="R1089" s="33">
        <f t="shared" si="466"/>
        <v>0</v>
      </c>
      <c r="S1089" s="33">
        <f t="shared" si="466"/>
        <v>0</v>
      </c>
      <c r="T1089" s="33">
        <f t="shared" ref="T1089:U1089" si="467">SUM(T1087:T1088)</f>
        <v>0</v>
      </c>
      <c r="U1089" s="33">
        <f t="shared" si="467"/>
        <v>0</v>
      </c>
      <c r="W1089" s="1"/>
      <c r="X1089" s="1"/>
      <c r="Y1089" s="1"/>
    </row>
    <row r="1090" spans="6:25">
      <c r="I1090" s="31"/>
      <c r="J1090" s="24"/>
      <c r="K1090" s="24"/>
      <c r="L1090" s="24"/>
      <c r="M1090" s="24"/>
      <c r="N1090" s="24"/>
      <c r="O1090" s="24"/>
      <c r="P1090" s="24"/>
      <c r="Q1090" s="24"/>
      <c r="R1090" s="24"/>
      <c r="S1090" s="24"/>
      <c r="T1090" s="24"/>
      <c r="U1090" s="24"/>
      <c r="W1090" s="1"/>
      <c r="X1090" s="1"/>
      <c r="Y1090" s="1"/>
    </row>
    <row r="1091" spans="6:25" ht="18.75">
      <c r="F1091" s="9" t="s">
        <v>30</v>
      </c>
      <c r="I1091" s="2">
        <f>'Facility Detail'!$G$3260</f>
        <v>2011</v>
      </c>
      <c r="J1091" s="2">
        <f>I1091+1</f>
        <v>2012</v>
      </c>
      <c r="K1091" s="2">
        <f>J1091+1</f>
        <v>2013</v>
      </c>
      <c r="L1091" s="2">
        <f t="shared" ref="L1091:N1091" si="468">K1091+1</f>
        <v>2014</v>
      </c>
      <c r="M1091" s="2">
        <f t="shared" si="468"/>
        <v>2015</v>
      </c>
      <c r="N1091" s="2">
        <f t="shared" si="468"/>
        <v>2016</v>
      </c>
      <c r="O1091" s="2">
        <f t="shared" ref="O1091" si="469">N1091+1</f>
        <v>2017</v>
      </c>
      <c r="P1091" s="2">
        <f t="shared" ref="P1091" si="470">O1091+1</f>
        <v>2018</v>
      </c>
      <c r="Q1091" s="2">
        <f t="shared" ref="Q1091" si="471">P1091+1</f>
        <v>2019</v>
      </c>
      <c r="R1091" s="2">
        <f t="shared" ref="R1091" si="472">Q1091+1</f>
        <v>2020</v>
      </c>
      <c r="S1091" s="2">
        <f>R1091+1</f>
        <v>2021</v>
      </c>
      <c r="T1091" s="2">
        <f>S1091+1</f>
        <v>2022</v>
      </c>
      <c r="U1091" s="2">
        <f>T1091+1</f>
        <v>2023</v>
      </c>
      <c r="W1091" s="1"/>
      <c r="X1091" s="1"/>
      <c r="Y1091" s="1"/>
    </row>
    <row r="1092" spans="6:25">
      <c r="G1092" s="62" t="s">
        <v>47</v>
      </c>
      <c r="H1092" s="57"/>
      <c r="I1092" s="71"/>
      <c r="J1092" s="72"/>
      <c r="K1092" s="72"/>
      <c r="L1092" s="72"/>
      <c r="M1092" s="72"/>
      <c r="N1092" s="72"/>
      <c r="O1092" s="72"/>
      <c r="P1092" s="72"/>
      <c r="Q1092" s="72"/>
      <c r="R1092" s="72"/>
      <c r="S1092" s="72"/>
      <c r="T1092" s="72"/>
      <c r="U1092" s="73"/>
      <c r="W1092" s="1"/>
      <c r="X1092" s="1"/>
      <c r="Y1092" s="1"/>
    </row>
    <row r="1093" spans="6:25">
      <c r="G1093" s="63" t="s">
        <v>23</v>
      </c>
      <c r="H1093" s="135"/>
      <c r="I1093" s="74"/>
      <c r="J1093" s="75"/>
      <c r="K1093" s="75"/>
      <c r="L1093" s="75"/>
      <c r="M1093" s="75"/>
      <c r="N1093" s="75"/>
      <c r="O1093" s="75"/>
      <c r="P1093" s="75"/>
      <c r="Q1093" s="75"/>
      <c r="R1093" s="75"/>
      <c r="S1093" s="75"/>
      <c r="T1093" s="75"/>
      <c r="U1093" s="76"/>
      <c r="W1093" s="1"/>
      <c r="X1093" s="1"/>
      <c r="Y1093" s="1"/>
    </row>
    <row r="1094" spans="6:25">
      <c r="G1094" s="63" t="s">
        <v>89</v>
      </c>
      <c r="H1094" s="134"/>
      <c r="I1094" s="43"/>
      <c r="J1094" s="44"/>
      <c r="K1094" s="44"/>
      <c r="L1094" s="44"/>
      <c r="M1094" s="44"/>
      <c r="N1094" s="44"/>
      <c r="O1094" s="44"/>
      <c r="P1094" s="44"/>
      <c r="Q1094" s="44"/>
      <c r="R1094" s="44"/>
      <c r="S1094" s="44"/>
      <c r="T1094" s="44"/>
      <c r="U1094" s="45"/>
      <c r="W1094" s="1"/>
      <c r="X1094" s="1"/>
      <c r="Y1094" s="1"/>
    </row>
    <row r="1095" spans="6:25">
      <c r="G1095" s="26" t="s">
        <v>90</v>
      </c>
      <c r="I1095" s="7">
        <f>SUM(I1092:I1094)</f>
        <v>0</v>
      </c>
      <c r="J1095" s="7">
        <f>SUM(J1092:J1094)</f>
        <v>0</v>
      </c>
      <c r="K1095" s="7">
        <f>SUM(K1092:K1094)</f>
        <v>0</v>
      </c>
      <c r="L1095" s="7">
        <f t="shared" ref="L1095:N1095" si="473">SUM(L1092:L1094)</f>
        <v>0</v>
      </c>
      <c r="M1095" s="7">
        <f t="shared" si="473"/>
        <v>0</v>
      </c>
      <c r="N1095" s="7">
        <f t="shared" si="473"/>
        <v>0</v>
      </c>
      <c r="O1095" s="7">
        <f t="shared" ref="O1095:Q1095" si="474">SUM(O1092:O1094)</f>
        <v>0</v>
      </c>
      <c r="P1095" s="7">
        <f t="shared" si="474"/>
        <v>0</v>
      </c>
      <c r="Q1095" s="7">
        <f t="shared" si="474"/>
        <v>0</v>
      </c>
      <c r="R1095" s="7">
        <f t="shared" ref="R1095:S1095" si="475">SUM(R1092:R1094)</f>
        <v>0</v>
      </c>
      <c r="S1095" s="7">
        <f t="shared" si="475"/>
        <v>0</v>
      </c>
      <c r="T1095" s="7">
        <f t="shared" ref="T1095:U1095" si="476">SUM(T1092:T1094)</f>
        <v>0</v>
      </c>
      <c r="U1095" s="7">
        <f t="shared" si="476"/>
        <v>0</v>
      </c>
      <c r="W1095" s="1"/>
      <c r="X1095" s="1"/>
      <c r="Y1095" s="1"/>
    </row>
    <row r="1096" spans="6:25">
      <c r="G1096" s="6"/>
      <c r="I1096" s="7"/>
      <c r="J1096" s="7"/>
      <c r="K1096" s="7"/>
      <c r="L1096" s="23"/>
      <c r="M1096" s="23"/>
      <c r="N1096" s="23"/>
      <c r="O1096" s="23"/>
      <c r="P1096" s="23"/>
      <c r="Q1096" s="23"/>
      <c r="R1096" s="23"/>
      <c r="S1096" s="282"/>
      <c r="T1096" s="23"/>
      <c r="U1096" s="23"/>
      <c r="W1096" s="1"/>
      <c r="X1096" s="1"/>
      <c r="Y1096" s="1"/>
    </row>
    <row r="1097" spans="6:25" ht="18.75">
      <c r="F1097" s="9" t="s">
        <v>100</v>
      </c>
      <c r="I1097" s="2">
        <f>'Facility Detail'!$G$3260</f>
        <v>2011</v>
      </c>
      <c r="J1097" s="2">
        <f>I1097+1</f>
        <v>2012</v>
      </c>
      <c r="K1097" s="2">
        <f>J1097+1</f>
        <v>2013</v>
      </c>
      <c r="L1097" s="2">
        <f t="shared" ref="L1097:P1097" si="477">K1097+1</f>
        <v>2014</v>
      </c>
      <c r="M1097" s="2">
        <f t="shared" si="477"/>
        <v>2015</v>
      </c>
      <c r="N1097" s="2">
        <f t="shared" si="477"/>
        <v>2016</v>
      </c>
      <c r="O1097" s="2">
        <f t="shared" si="477"/>
        <v>2017</v>
      </c>
      <c r="P1097" s="2">
        <f t="shared" si="477"/>
        <v>2018</v>
      </c>
      <c r="Q1097" s="2">
        <f t="shared" ref="Q1097" si="478">P1097+1</f>
        <v>2019</v>
      </c>
      <c r="R1097" s="2">
        <f t="shared" ref="R1097" si="479">Q1097+1</f>
        <v>2020</v>
      </c>
      <c r="S1097" s="2">
        <f>R1097+1</f>
        <v>2021</v>
      </c>
      <c r="T1097" s="2">
        <f>S1097+1</f>
        <v>2022</v>
      </c>
      <c r="U1097" s="2">
        <f>T1097+1</f>
        <v>2023</v>
      </c>
      <c r="W1097" s="1"/>
      <c r="X1097" s="1"/>
      <c r="Y1097" s="1"/>
    </row>
    <row r="1098" spans="6:25">
      <c r="G1098" s="62" t="s">
        <v>68</v>
      </c>
      <c r="I1098" s="3"/>
      <c r="J1098" s="46">
        <f>I1098</f>
        <v>0</v>
      </c>
      <c r="K1098" s="106"/>
      <c r="L1098" s="106"/>
      <c r="M1098" s="106"/>
      <c r="N1098" s="106"/>
      <c r="O1098" s="106"/>
      <c r="P1098" s="106"/>
      <c r="Q1098" s="106"/>
      <c r="R1098" s="106"/>
      <c r="S1098" s="106"/>
      <c r="T1098" s="217"/>
      <c r="U1098" s="47"/>
      <c r="W1098" s="1"/>
      <c r="X1098" s="1"/>
      <c r="Y1098" s="1"/>
    </row>
    <row r="1099" spans="6:25">
      <c r="G1099" s="62" t="s">
        <v>69</v>
      </c>
      <c r="I1099" s="127">
        <f>J1099</f>
        <v>0</v>
      </c>
      <c r="J1099" s="10"/>
      <c r="K1099" s="60"/>
      <c r="L1099" s="60"/>
      <c r="M1099" s="60"/>
      <c r="N1099" s="60"/>
      <c r="O1099" s="60"/>
      <c r="P1099" s="60"/>
      <c r="Q1099" s="60"/>
      <c r="R1099" s="60"/>
      <c r="S1099" s="60"/>
      <c r="T1099" s="218"/>
      <c r="U1099" s="128"/>
      <c r="W1099" s="1"/>
      <c r="X1099" s="1"/>
      <c r="Y1099" s="1"/>
    </row>
    <row r="1100" spans="6:25">
      <c r="G1100" s="62" t="s">
        <v>70</v>
      </c>
      <c r="I1100" s="48"/>
      <c r="J1100" s="10">
        <f>J1084</f>
        <v>0</v>
      </c>
      <c r="K1100" s="56">
        <f>J1100</f>
        <v>0</v>
      </c>
      <c r="L1100" s="60"/>
      <c r="M1100" s="60"/>
      <c r="N1100" s="60"/>
      <c r="O1100" s="60"/>
      <c r="P1100" s="60"/>
      <c r="Q1100" s="60"/>
      <c r="R1100" s="60"/>
      <c r="S1100" s="60"/>
      <c r="T1100" s="218"/>
      <c r="U1100" s="128"/>
      <c r="W1100" s="1"/>
      <c r="X1100" s="1"/>
      <c r="Y1100" s="1"/>
    </row>
    <row r="1101" spans="6:25">
      <c r="G1101" s="62" t="s">
        <v>71</v>
      </c>
      <c r="I1101" s="48"/>
      <c r="J1101" s="56">
        <f>K1101</f>
        <v>0</v>
      </c>
      <c r="K1101" s="10"/>
      <c r="L1101" s="60"/>
      <c r="M1101" s="60"/>
      <c r="N1101" s="60"/>
      <c r="O1101" s="60"/>
      <c r="P1101" s="60"/>
      <c r="Q1101" s="60"/>
      <c r="R1101" s="60"/>
      <c r="S1101" s="60"/>
      <c r="T1101" s="218"/>
      <c r="U1101" s="128"/>
      <c r="W1101" s="1"/>
      <c r="X1101" s="1"/>
      <c r="Y1101" s="1"/>
    </row>
    <row r="1102" spans="6:25">
      <c r="G1102" s="62" t="s">
        <v>170</v>
      </c>
      <c r="I1102" s="48"/>
      <c r="J1102" s="118"/>
      <c r="K1102" s="10">
        <f>K1084</f>
        <v>0</v>
      </c>
      <c r="L1102" s="119">
        <f>K1102</f>
        <v>0</v>
      </c>
      <c r="M1102" s="60"/>
      <c r="N1102" s="60"/>
      <c r="O1102" s="60"/>
      <c r="P1102" s="60"/>
      <c r="Q1102" s="60"/>
      <c r="R1102" s="60"/>
      <c r="S1102" s="60"/>
      <c r="T1102" s="146"/>
      <c r="U1102" s="122"/>
      <c r="W1102" s="1"/>
      <c r="X1102" s="1"/>
      <c r="Y1102" s="1"/>
    </row>
    <row r="1103" spans="6:25">
      <c r="G1103" s="62" t="s">
        <v>171</v>
      </c>
      <c r="I1103" s="48"/>
      <c r="J1103" s="118"/>
      <c r="K1103" s="56">
        <f>L1103</f>
        <v>0</v>
      </c>
      <c r="L1103" s="10"/>
      <c r="M1103" s="60"/>
      <c r="N1103" s="60"/>
      <c r="O1103" s="60" t="s">
        <v>169</v>
      </c>
      <c r="P1103" s="60"/>
      <c r="Q1103" s="60"/>
      <c r="R1103" s="60"/>
      <c r="S1103" s="60"/>
      <c r="T1103" s="146"/>
      <c r="U1103" s="122"/>
      <c r="W1103" s="1"/>
      <c r="X1103" s="1"/>
      <c r="Y1103" s="1"/>
    </row>
    <row r="1104" spans="6:25">
      <c r="G1104" s="62" t="s">
        <v>172</v>
      </c>
      <c r="I1104" s="48"/>
      <c r="J1104" s="118"/>
      <c r="K1104" s="118"/>
      <c r="L1104" s="10"/>
      <c r="M1104" s="119">
        <f>L1104</f>
        <v>0</v>
      </c>
      <c r="N1104" s="118">
        <f>M1104</f>
        <v>0</v>
      </c>
      <c r="O1104" s="60"/>
      <c r="P1104" s="60"/>
      <c r="Q1104" s="60"/>
      <c r="R1104" s="60"/>
      <c r="S1104" s="60"/>
      <c r="T1104" s="146"/>
      <c r="U1104" s="122"/>
      <c r="W1104" s="1"/>
      <c r="X1104" s="1"/>
      <c r="Y1104" s="1"/>
    </row>
    <row r="1105" spans="7:25">
      <c r="G1105" s="62" t="s">
        <v>173</v>
      </c>
      <c r="I1105" s="48"/>
      <c r="J1105" s="118"/>
      <c r="K1105" s="118"/>
      <c r="L1105" s="56">
        <f>M1105</f>
        <v>0</v>
      </c>
      <c r="M1105" s="10"/>
      <c r="N1105" s="118"/>
      <c r="O1105" s="60"/>
      <c r="P1105" s="60"/>
      <c r="Q1105" s="60"/>
      <c r="R1105" s="60"/>
      <c r="S1105" s="60"/>
      <c r="T1105" s="146"/>
      <c r="U1105" s="122"/>
      <c r="W1105" s="1"/>
      <c r="X1105" s="1"/>
      <c r="Y1105" s="1"/>
    </row>
    <row r="1106" spans="7:25">
      <c r="G1106" s="62" t="s">
        <v>174</v>
      </c>
      <c r="I1106" s="48"/>
      <c r="J1106" s="118"/>
      <c r="K1106" s="118"/>
      <c r="L1106" s="118"/>
      <c r="M1106" s="10">
        <f>M1084</f>
        <v>23306</v>
      </c>
      <c r="N1106" s="119">
        <f>M1106</f>
        <v>23306</v>
      </c>
      <c r="O1106" s="60"/>
      <c r="P1106" s="60"/>
      <c r="Q1106" s="60"/>
      <c r="R1106" s="60"/>
      <c r="S1106" s="60"/>
      <c r="T1106" s="146"/>
      <c r="U1106" s="122"/>
      <c r="W1106" s="1"/>
      <c r="X1106" s="1"/>
      <c r="Y1106" s="1"/>
    </row>
    <row r="1107" spans="7:25">
      <c r="G1107" s="62" t="s">
        <v>175</v>
      </c>
      <c r="I1107" s="48"/>
      <c r="J1107" s="118"/>
      <c r="K1107" s="118"/>
      <c r="L1107" s="118"/>
      <c r="M1107" s="56"/>
      <c r="N1107" s="10"/>
      <c r="O1107" s="60"/>
      <c r="P1107" s="60"/>
      <c r="Q1107" s="60"/>
      <c r="R1107" s="60"/>
      <c r="S1107" s="60"/>
      <c r="T1107" s="146"/>
      <c r="U1107" s="122"/>
      <c r="W1107" s="1"/>
      <c r="X1107" s="1"/>
      <c r="Y1107" s="1"/>
    </row>
    <row r="1108" spans="7:25">
      <c r="G1108" s="62" t="s">
        <v>176</v>
      </c>
      <c r="I1108" s="48"/>
      <c r="J1108" s="118"/>
      <c r="K1108" s="118"/>
      <c r="L1108" s="118"/>
      <c r="M1108" s="118"/>
      <c r="N1108" s="149">
        <v>13886</v>
      </c>
      <c r="O1108" s="120">
        <f>N1108</f>
        <v>13886</v>
      </c>
      <c r="P1108" s="60"/>
      <c r="Q1108" s="60"/>
      <c r="R1108" s="60"/>
      <c r="S1108" s="60"/>
      <c r="T1108" s="146"/>
      <c r="U1108" s="122"/>
      <c r="W1108" s="1"/>
      <c r="X1108" s="1"/>
      <c r="Y1108" s="1"/>
    </row>
    <row r="1109" spans="7:25">
      <c r="G1109" s="62" t="s">
        <v>167</v>
      </c>
      <c r="I1109" s="48"/>
      <c r="J1109" s="118"/>
      <c r="K1109" s="118"/>
      <c r="L1109" s="118"/>
      <c r="M1109" s="118"/>
      <c r="N1109" s="150"/>
      <c r="O1109" s="121"/>
      <c r="P1109" s="60"/>
      <c r="Q1109" s="60"/>
      <c r="R1109" s="60"/>
      <c r="S1109" s="60"/>
      <c r="T1109" s="146"/>
      <c r="U1109" s="122"/>
      <c r="W1109" s="1"/>
      <c r="X1109" s="1"/>
      <c r="Y1109" s="1"/>
    </row>
    <row r="1110" spans="7:25">
      <c r="G1110" s="62" t="s">
        <v>168</v>
      </c>
      <c r="I1110" s="48"/>
      <c r="J1110" s="118"/>
      <c r="K1110" s="118"/>
      <c r="L1110" s="118"/>
      <c r="M1110" s="118"/>
      <c r="N1110" s="118"/>
      <c r="O1110" s="121">
        <v>0</v>
      </c>
      <c r="P1110" s="120">
        <f>O1110</f>
        <v>0</v>
      </c>
      <c r="Q1110" s="60"/>
      <c r="R1110" s="60"/>
      <c r="S1110" s="60"/>
      <c r="T1110" s="146"/>
      <c r="U1110" s="122"/>
      <c r="W1110" s="1"/>
      <c r="X1110" s="1"/>
      <c r="Y1110" s="1"/>
    </row>
    <row r="1111" spans="7:25">
      <c r="G1111" s="62" t="s">
        <v>185</v>
      </c>
      <c r="I1111" s="48"/>
      <c r="J1111" s="118"/>
      <c r="K1111" s="118"/>
      <c r="L1111" s="118"/>
      <c r="M1111" s="118"/>
      <c r="N1111" s="118"/>
      <c r="O1111" s="120"/>
      <c r="P1111" s="121"/>
      <c r="Q1111" s="60"/>
      <c r="R1111" s="60"/>
      <c r="S1111" s="60"/>
      <c r="T1111" s="146"/>
      <c r="U1111" s="122"/>
      <c r="W1111" s="1"/>
      <c r="X1111" s="1"/>
      <c r="Y1111" s="1"/>
    </row>
    <row r="1112" spans="7:25">
      <c r="G1112" s="62" t="s">
        <v>186</v>
      </c>
      <c r="I1112" s="48"/>
      <c r="J1112" s="118"/>
      <c r="K1112" s="118"/>
      <c r="L1112" s="118"/>
      <c r="M1112" s="118"/>
      <c r="N1112" s="118"/>
      <c r="O1112" s="118"/>
      <c r="P1112" s="121">
        <v>0</v>
      </c>
      <c r="Q1112" s="56">
        <f>P1112</f>
        <v>0</v>
      </c>
      <c r="R1112" s="60"/>
      <c r="S1112" s="60"/>
      <c r="T1112" s="146"/>
      <c r="U1112" s="122"/>
      <c r="W1112" s="1"/>
      <c r="X1112" s="1"/>
      <c r="Y1112" s="1"/>
    </row>
    <row r="1113" spans="7:25">
      <c r="G1113" s="62" t="s">
        <v>187</v>
      </c>
      <c r="I1113" s="48"/>
      <c r="J1113" s="118"/>
      <c r="K1113" s="118"/>
      <c r="L1113" s="118"/>
      <c r="M1113" s="118"/>
      <c r="N1113" s="118"/>
      <c r="O1113" s="118"/>
      <c r="P1113" s="120"/>
      <c r="Q1113" s="306"/>
      <c r="R1113" s="60"/>
      <c r="S1113" s="60"/>
      <c r="T1113" s="146"/>
      <c r="U1113" s="122"/>
      <c r="W1113" s="1"/>
      <c r="X1113" s="1"/>
      <c r="Y1113" s="1"/>
    </row>
    <row r="1114" spans="7:25">
      <c r="G1114" s="62" t="s">
        <v>188</v>
      </c>
      <c r="I1114" s="48"/>
      <c r="J1114" s="118"/>
      <c r="K1114" s="118"/>
      <c r="L1114" s="118"/>
      <c r="M1114" s="118"/>
      <c r="N1114" s="118"/>
      <c r="O1114" s="118"/>
      <c r="P1114" s="118"/>
      <c r="Q1114" s="121">
        <v>0</v>
      </c>
      <c r="R1114" s="151">
        <f>Q1114</f>
        <v>0</v>
      </c>
      <c r="S1114" s="60"/>
      <c r="T1114" s="146"/>
      <c r="U1114" s="122"/>
      <c r="W1114" s="1"/>
      <c r="X1114" s="1"/>
      <c r="Y1114" s="1"/>
    </row>
    <row r="1115" spans="7:25">
      <c r="G1115" s="62" t="s">
        <v>189</v>
      </c>
      <c r="I1115" s="48"/>
      <c r="J1115" s="118"/>
      <c r="K1115" s="118"/>
      <c r="L1115" s="118"/>
      <c r="M1115" s="118"/>
      <c r="N1115" s="118"/>
      <c r="O1115" s="118"/>
      <c r="P1115" s="118"/>
      <c r="Q1115" s="151"/>
      <c r="R1115" s="173"/>
      <c r="S1115" s="60"/>
      <c r="T1115" s="146"/>
      <c r="U1115" s="122"/>
      <c r="W1115" s="1"/>
      <c r="X1115" s="1"/>
      <c r="Y1115" s="1"/>
    </row>
    <row r="1116" spans="7:25">
      <c r="G1116" s="62" t="s">
        <v>190</v>
      </c>
      <c r="I1116" s="48"/>
      <c r="J1116" s="118"/>
      <c r="K1116" s="118"/>
      <c r="L1116" s="118"/>
      <c r="M1116" s="118"/>
      <c r="N1116" s="118"/>
      <c r="O1116" s="118"/>
      <c r="P1116" s="118"/>
      <c r="Q1116" s="118"/>
      <c r="R1116" s="173">
        <v>0</v>
      </c>
      <c r="S1116" s="151">
        <f>R1116</f>
        <v>0</v>
      </c>
      <c r="T1116" s="146"/>
      <c r="U1116" s="122"/>
      <c r="W1116" s="1"/>
      <c r="X1116" s="1"/>
      <c r="Y1116" s="1"/>
    </row>
    <row r="1117" spans="7:25">
      <c r="G1117" s="62" t="s">
        <v>199</v>
      </c>
      <c r="I1117" s="48"/>
      <c r="J1117" s="118"/>
      <c r="K1117" s="118"/>
      <c r="L1117" s="118"/>
      <c r="M1117" s="118"/>
      <c r="N1117" s="118"/>
      <c r="O1117" s="118"/>
      <c r="P1117" s="118"/>
      <c r="Q1117" s="118"/>
      <c r="R1117" s="120">
        <f>S1117</f>
        <v>20000</v>
      </c>
      <c r="S1117" s="173">
        <v>20000</v>
      </c>
      <c r="T1117" s="146"/>
      <c r="U1117" s="122"/>
      <c r="W1117" s="1"/>
      <c r="X1117" s="1"/>
      <c r="Y1117" s="1"/>
    </row>
    <row r="1118" spans="7:25">
      <c r="G1118" s="62" t="s">
        <v>200</v>
      </c>
      <c r="I1118" s="48"/>
      <c r="J1118" s="118"/>
      <c r="K1118" s="118"/>
      <c r="L1118" s="118"/>
      <c r="M1118" s="118"/>
      <c r="N1118" s="118"/>
      <c r="O1118" s="118"/>
      <c r="P1118" s="118"/>
      <c r="Q1118" s="118"/>
      <c r="R1118" s="118"/>
      <c r="S1118" s="173">
        <v>0</v>
      </c>
      <c r="T1118" s="151">
        <f>S1118</f>
        <v>0</v>
      </c>
      <c r="U1118" s="122"/>
      <c r="W1118" s="1"/>
      <c r="X1118" s="1"/>
      <c r="Y1118" s="1"/>
    </row>
    <row r="1119" spans="7:25">
      <c r="G1119" s="62" t="s">
        <v>308</v>
      </c>
      <c r="I1119" s="48"/>
      <c r="J1119" s="118"/>
      <c r="K1119" s="118"/>
      <c r="L1119" s="118"/>
      <c r="M1119" s="118"/>
      <c r="N1119" s="118"/>
      <c r="O1119" s="118"/>
      <c r="P1119" s="118"/>
      <c r="Q1119" s="118"/>
      <c r="R1119" s="118"/>
      <c r="S1119" s="120">
        <f>T1119</f>
        <v>0</v>
      </c>
      <c r="T1119" s="173"/>
      <c r="U1119" s="122"/>
      <c r="W1119" s="1"/>
      <c r="X1119" s="1"/>
      <c r="Y1119" s="1"/>
    </row>
    <row r="1120" spans="7:25">
      <c r="G1120" s="62" t="s">
        <v>307</v>
      </c>
      <c r="I1120" s="114"/>
      <c r="J1120" s="107"/>
      <c r="K1120" s="107"/>
      <c r="L1120" s="107"/>
      <c r="M1120" s="107"/>
      <c r="N1120" s="107"/>
      <c r="O1120" s="107"/>
      <c r="P1120" s="107"/>
      <c r="Q1120" s="107"/>
      <c r="R1120" s="107"/>
      <c r="S1120" s="107"/>
      <c r="T1120" s="173"/>
      <c r="U1120" s="456">
        <f>T1120</f>
        <v>0</v>
      </c>
      <c r="W1120" s="1"/>
      <c r="X1120" s="1"/>
      <c r="Y1120" s="1"/>
    </row>
    <row r="1121" spans="2:25">
      <c r="G1121" s="62" t="s">
        <v>318</v>
      </c>
      <c r="I1121" s="114"/>
      <c r="J1121" s="107"/>
      <c r="K1121" s="107"/>
      <c r="L1121" s="107"/>
      <c r="M1121" s="107"/>
      <c r="N1121" s="107"/>
      <c r="O1121" s="107"/>
      <c r="P1121" s="107"/>
      <c r="Q1121" s="107"/>
      <c r="R1121" s="107"/>
      <c r="S1121" s="107"/>
      <c r="T1121" s="120">
        <f>U1121</f>
        <v>0</v>
      </c>
      <c r="U1121" s="457"/>
      <c r="W1121" s="1"/>
      <c r="X1121" s="1"/>
      <c r="Y1121" s="1"/>
    </row>
    <row r="1122" spans="2:25">
      <c r="G1122" s="62" t="s">
        <v>319</v>
      </c>
      <c r="I1122" s="49"/>
      <c r="J1122" s="194"/>
      <c r="K1122" s="194"/>
      <c r="L1122" s="194"/>
      <c r="M1122" s="194"/>
      <c r="N1122" s="194"/>
      <c r="O1122" s="194"/>
      <c r="P1122" s="194"/>
      <c r="Q1122" s="194"/>
      <c r="R1122" s="194"/>
      <c r="S1122" s="194"/>
      <c r="T1122" s="194"/>
      <c r="U1122" s="458"/>
      <c r="W1122" s="1"/>
      <c r="X1122" s="1"/>
      <c r="Y1122" s="1"/>
    </row>
    <row r="1123" spans="2:25">
      <c r="B1123" s="1" t="s">
        <v>216</v>
      </c>
      <c r="G1123" s="26" t="s">
        <v>17</v>
      </c>
      <c r="I1123" s="7">
        <f xml:space="preserve"> I1102 - I1098</f>
        <v>0</v>
      </c>
      <c r="J1123" s="7">
        <f xml:space="preserve"> J1098 + J1106 - J1103 - J1102</f>
        <v>0</v>
      </c>
      <c r="K1123" s="7">
        <f>K1103 - K1106</f>
        <v>0</v>
      </c>
      <c r="L1123" s="7">
        <f>L1103 - L1106</f>
        <v>0</v>
      </c>
      <c r="M1123" s="7">
        <f>M1104-M1105-M1106</f>
        <v>-23306</v>
      </c>
      <c r="N1123" s="7">
        <f>N1106-N1107-N1108</f>
        <v>9420</v>
      </c>
      <c r="O1123" s="7">
        <f>O1108-O1109-O1110</f>
        <v>13886</v>
      </c>
      <c r="P1123" s="154">
        <f>P1110-P1111-P1112</f>
        <v>0</v>
      </c>
      <c r="Q1123" s="154">
        <f>Q1112-Q1113-Q1114</f>
        <v>0</v>
      </c>
      <c r="R1123" s="154">
        <f>R1117</f>
        <v>20000</v>
      </c>
      <c r="S1123" s="7">
        <f>S1116-S1117-S1118</f>
        <v>-20000</v>
      </c>
      <c r="T1123" s="7">
        <f>T1118-T1119-T1120</f>
        <v>0</v>
      </c>
      <c r="U1123" s="7">
        <f>U1118-U1119-U1120</f>
        <v>0</v>
      </c>
      <c r="W1123" s="1"/>
      <c r="X1123" s="1"/>
      <c r="Y1123" s="1"/>
    </row>
    <row r="1124" spans="2:25">
      <c r="G1124" s="6"/>
      <c r="I1124" s="154"/>
      <c r="J1124" s="154"/>
      <c r="K1124" s="154"/>
      <c r="L1124" s="154"/>
      <c r="M1124" s="154"/>
      <c r="N1124" s="154"/>
      <c r="O1124" s="154"/>
      <c r="P1124" s="154"/>
      <c r="Q1124" s="154"/>
      <c r="R1124" s="154"/>
      <c r="S1124" s="297"/>
      <c r="T1124" s="154"/>
      <c r="U1124" s="154"/>
      <c r="W1124" s="1"/>
      <c r="X1124" s="1"/>
      <c r="Y1124" s="1"/>
    </row>
    <row r="1125" spans="2:25">
      <c r="G1125" s="26" t="s">
        <v>12</v>
      </c>
      <c r="H1125" s="57"/>
      <c r="I1125" s="155"/>
      <c r="J1125" s="156"/>
      <c r="K1125" s="156"/>
      <c r="L1125" s="156"/>
      <c r="M1125" s="156"/>
      <c r="N1125" s="156"/>
      <c r="O1125" s="156"/>
      <c r="P1125" s="156"/>
      <c r="Q1125" s="156"/>
      <c r="R1125" s="156"/>
      <c r="S1125" s="156"/>
      <c r="T1125" s="156"/>
      <c r="U1125" s="267"/>
      <c r="W1125" s="1"/>
      <c r="X1125" s="1"/>
      <c r="Y1125" s="1"/>
    </row>
    <row r="1126" spans="2:25">
      <c r="G1126" s="6"/>
      <c r="I1126" s="154"/>
      <c r="J1126" s="154"/>
      <c r="K1126" s="154"/>
      <c r="L1126" s="154"/>
      <c r="M1126" s="154"/>
      <c r="N1126" s="154"/>
      <c r="O1126" s="154"/>
      <c r="P1126" s="154"/>
      <c r="Q1126" s="154"/>
      <c r="R1126" s="154"/>
      <c r="S1126" s="154"/>
      <c r="T1126" s="154"/>
      <c r="U1126" s="154"/>
      <c r="W1126" s="1"/>
      <c r="X1126" s="1"/>
      <c r="Y1126" s="1"/>
    </row>
    <row r="1127" spans="2:25" ht="18.75">
      <c r="C1127" s="1" t="s">
        <v>216</v>
      </c>
      <c r="D1127" s="1" t="s">
        <v>161</v>
      </c>
      <c r="E1127" s="1" t="s">
        <v>107</v>
      </c>
      <c r="F1127" s="9" t="s">
        <v>26</v>
      </c>
      <c r="H1127" s="57"/>
      <c r="I1127" s="157">
        <f t="shared" ref="I1127:S1127" si="480" xml:space="preserve"> I1084 + I1089 - I1095 + I1123 + I1125</f>
        <v>0</v>
      </c>
      <c r="J1127" s="158">
        <f t="shared" si="480"/>
        <v>0</v>
      </c>
      <c r="K1127" s="158">
        <f t="shared" si="480"/>
        <v>0</v>
      </c>
      <c r="L1127" s="158">
        <f t="shared" si="480"/>
        <v>0</v>
      </c>
      <c r="M1127" s="158">
        <f t="shared" si="480"/>
        <v>0</v>
      </c>
      <c r="N1127" s="158">
        <f t="shared" si="480"/>
        <v>34877</v>
      </c>
      <c r="O1127" s="158">
        <f t="shared" si="480"/>
        <v>35572</v>
      </c>
      <c r="P1127" s="158">
        <f t="shared" si="480"/>
        <v>24143</v>
      </c>
      <c r="Q1127" s="158">
        <f t="shared" si="480"/>
        <v>11000.014929761486</v>
      </c>
      <c r="R1127" s="158">
        <f t="shared" si="480"/>
        <v>52732.188164890744</v>
      </c>
      <c r="S1127" s="298">
        <f t="shared" si="480"/>
        <v>7040</v>
      </c>
      <c r="T1127" s="158">
        <f t="shared" ref="T1127:U1127" si="481" xml:space="preserve"> T1084 + T1089 - T1095 + T1123 + T1125</f>
        <v>25869</v>
      </c>
      <c r="U1127" s="268">
        <f t="shared" si="481"/>
        <v>26915.009732550086</v>
      </c>
      <c r="W1127" s="1"/>
      <c r="X1127" s="1"/>
      <c r="Y1127" s="1"/>
    </row>
    <row r="1128" spans="2:25">
      <c r="G1128" s="6"/>
      <c r="I1128" s="7"/>
      <c r="J1128" s="7"/>
      <c r="K1128" s="7"/>
      <c r="L1128" s="23"/>
      <c r="M1128" s="23"/>
      <c r="N1128" s="23"/>
      <c r="O1128" s="23"/>
      <c r="P1128" s="23"/>
      <c r="Q1128" s="23"/>
      <c r="R1128" s="23"/>
      <c r="S1128" s="282"/>
      <c r="T1128" s="23"/>
      <c r="U1128" s="23"/>
      <c r="W1128" s="1"/>
      <c r="X1128" s="1"/>
      <c r="Y1128" s="1"/>
    </row>
    <row r="1129" spans="2:25" ht="15.75" thickBot="1">
      <c r="W1129" s="1"/>
      <c r="X1129" s="1"/>
      <c r="Y1129" s="1"/>
    </row>
    <row r="1130" spans="2:25" ht="15.75" thickBot="1">
      <c r="F1130" s="8"/>
      <c r="G1130" s="8"/>
      <c r="H1130" s="8"/>
      <c r="I1130" s="8"/>
      <c r="J1130" s="8"/>
      <c r="K1130" s="8"/>
      <c r="L1130" s="8"/>
      <c r="M1130" s="8"/>
      <c r="N1130" s="8"/>
      <c r="O1130" s="8"/>
      <c r="P1130" s="8"/>
      <c r="Q1130" s="8"/>
      <c r="R1130" s="8"/>
      <c r="S1130" s="290"/>
      <c r="T1130" s="8"/>
      <c r="U1130" s="8"/>
      <c r="W1130" s="1"/>
      <c r="X1130" s="1"/>
      <c r="Y1130" s="1"/>
    </row>
    <row r="1131" spans="2:25" ht="21.75" thickBot="1">
      <c r="F1131" s="13" t="s">
        <v>4</v>
      </c>
      <c r="G1131" s="13"/>
      <c r="H1131" s="185" t="s">
        <v>217</v>
      </c>
      <c r="I1131" s="183"/>
      <c r="W1131" s="1"/>
      <c r="X1131" s="1"/>
      <c r="Y1131" s="1"/>
    </row>
    <row r="1132" spans="2:25">
      <c r="W1132" s="1"/>
      <c r="X1132" s="1"/>
      <c r="Y1132" s="1"/>
    </row>
    <row r="1133" spans="2:25" ht="18.75">
      <c r="F1133" s="9" t="s">
        <v>21</v>
      </c>
      <c r="G1133" s="9"/>
      <c r="I1133" s="2">
        <v>2011</v>
      </c>
      <c r="J1133" s="2">
        <f>I1133+1</f>
        <v>2012</v>
      </c>
      <c r="K1133" s="2">
        <f t="shared" ref="K1133" si="482">J1133+1</f>
        <v>2013</v>
      </c>
      <c r="L1133" s="2">
        <f t="shared" ref="L1133" si="483">K1133+1</f>
        <v>2014</v>
      </c>
      <c r="M1133" s="2">
        <f t="shared" ref="M1133" si="484">L1133+1</f>
        <v>2015</v>
      </c>
      <c r="N1133" s="2">
        <f t="shared" ref="N1133" si="485">M1133+1</f>
        <v>2016</v>
      </c>
      <c r="O1133" s="2">
        <f t="shared" ref="O1133" si="486">N1133+1</f>
        <v>2017</v>
      </c>
      <c r="P1133" s="2">
        <f t="shared" ref="P1133" si="487">O1133+1</f>
        <v>2018</v>
      </c>
      <c r="Q1133" s="2">
        <f t="shared" ref="Q1133" si="488">P1133+1</f>
        <v>2019</v>
      </c>
      <c r="R1133" s="2">
        <f t="shared" ref="R1133" si="489">Q1133+1</f>
        <v>2020</v>
      </c>
      <c r="S1133" s="2">
        <f>R1133+1</f>
        <v>2021</v>
      </c>
      <c r="T1133" s="2">
        <f>S1133+1</f>
        <v>2022</v>
      </c>
      <c r="U1133" s="2">
        <f>T1133+1</f>
        <v>2023</v>
      </c>
      <c r="W1133" s="1"/>
      <c r="X1133" s="1"/>
      <c r="Y1133" s="1"/>
    </row>
    <row r="1134" spans="2:25">
      <c r="G1134" s="62" t="str">
        <f>"Total MWh Produced / Purchased from " &amp; H1131</f>
        <v>Total MWh Produced / Purchased from Glenrock III</v>
      </c>
      <c r="H1134" s="57"/>
      <c r="I1134" s="3"/>
      <c r="J1134" s="4"/>
      <c r="K1134" s="4"/>
      <c r="L1134" s="4"/>
      <c r="M1134" s="4"/>
      <c r="N1134" s="4"/>
      <c r="O1134" s="4"/>
      <c r="P1134" s="4"/>
      <c r="Q1134" s="4"/>
      <c r="R1134" s="4"/>
      <c r="S1134" s="4">
        <v>127325</v>
      </c>
      <c r="T1134" s="4">
        <v>123123</v>
      </c>
      <c r="U1134" s="5">
        <v>128541</v>
      </c>
      <c r="W1134" s="1"/>
      <c r="X1134" s="1"/>
      <c r="Y1134" s="1"/>
    </row>
    <row r="1135" spans="2:25">
      <c r="G1135" s="62" t="s">
        <v>25</v>
      </c>
      <c r="H1135" s="57"/>
      <c r="I1135" s="269"/>
      <c r="J1135" s="41"/>
      <c r="K1135" s="41"/>
      <c r="L1135" s="41"/>
      <c r="M1135" s="41"/>
      <c r="N1135" s="41"/>
      <c r="O1135" s="41"/>
      <c r="P1135" s="41"/>
      <c r="Q1135" s="41"/>
      <c r="R1135" s="41"/>
      <c r="S1135" s="41">
        <v>1</v>
      </c>
      <c r="T1135" s="41">
        <v>1</v>
      </c>
      <c r="U1135" s="42">
        <v>1</v>
      </c>
      <c r="W1135" s="1"/>
      <c r="X1135" s="1"/>
      <c r="Y1135" s="1"/>
    </row>
    <row r="1136" spans="2:25">
      <c r="G1136" s="62" t="s">
        <v>20</v>
      </c>
      <c r="H1136" s="57"/>
      <c r="I1136" s="270"/>
      <c r="J1136" s="36"/>
      <c r="K1136" s="36"/>
      <c r="L1136" s="36"/>
      <c r="M1136" s="36"/>
      <c r="N1136" s="36"/>
      <c r="O1136" s="36"/>
      <c r="P1136" s="36"/>
      <c r="Q1136" s="36"/>
      <c r="R1136" s="36"/>
      <c r="S1136" s="36">
        <f>S2</f>
        <v>7.9696892166366717E-2</v>
      </c>
      <c r="T1136" s="36">
        <f>T2</f>
        <v>7.8737918965874246E-2</v>
      </c>
      <c r="U1136" s="36">
        <f>U2</f>
        <v>7.8407467372863096E-2</v>
      </c>
      <c r="W1136" s="1"/>
      <c r="X1136" s="1"/>
      <c r="Y1136" s="1"/>
    </row>
    <row r="1137" spans="1:25">
      <c r="A1137" s="1" t="s">
        <v>217</v>
      </c>
      <c r="G1137" s="26" t="s">
        <v>22</v>
      </c>
      <c r="H1137" s="6"/>
      <c r="I1137" s="30">
        <v>0</v>
      </c>
      <c r="J1137" s="30">
        <v>0</v>
      </c>
      <c r="K1137" s="30">
        <v>0</v>
      </c>
      <c r="L1137" s="30">
        <v>0</v>
      </c>
      <c r="M1137" s="30">
        <v>0</v>
      </c>
      <c r="N1137" s="161">
        <v>0</v>
      </c>
      <c r="O1137" s="161">
        <v>0</v>
      </c>
      <c r="P1137" s="161">
        <v>0</v>
      </c>
      <c r="Q1137" s="161">
        <f>Q1134*Q1136</f>
        <v>0</v>
      </c>
      <c r="R1137" s="161">
        <f>R1134*R1136</f>
        <v>0</v>
      </c>
      <c r="S1137" s="161">
        <f>S1134*S1136</f>
        <v>10147.406795082643</v>
      </c>
      <c r="T1137" s="161">
        <f>T1134*T1136</f>
        <v>9694.4487968353351</v>
      </c>
      <c r="U1137" s="161">
        <f>U1134*U1136</f>
        <v>10078.574263575196</v>
      </c>
      <c r="W1137" s="1"/>
      <c r="X1137" s="1"/>
      <c r="Y1137" s="1"/>
    </row>
    <row r="1138" spans="1:25">
      <c r="I1138" s="29"/>
      <c r="J1138" s="29"/>
      <c r="K1138" s="29"/>
      <c r="L1138" s="29"/>
      <c r="M1138" s="29"/>
      <c r="N1138" s="20"/>
      <c r="O1138" s="20"/>
      <c r="P1138" s="20"/>
      <c r="Q1138" s="20"/>
      <c r="R1138" s="20"/>
      <c r="S1138" s="292"/>
      <c r="T1138" s="20"/>
      <c r="U1138" s="20"/>
      <c r="W1138" s="1"/>
      <c r="X1138" s="1"/>
      <c r="Y1138" s="1"/>
    </row>
    <row r="1139" spans="1:25" ht="18.75">
      <c r="F1139" s="9" t="s">
        <v>118</v>
      </c>
      <c r="I1139" s="2">
        <v>2011</v>
      </c>
      <c r="J1139" s="2">
        <f>I1139+1</f>
        <v>2012</v>
      </c>
      <c r="K1139" s="2">
        <f t="shared" ref="K1139" si="490">J1139+1</f>
        <v>2013</v>
      </c>
      <c r="L1139" s="2">
        <f t="shared" ref="L1139" si="491">K1139+1</f>
        <v>2014</v>
      </c>
      <c r="M1139" s="2">
        <f t="shared" ref="M1139" si="492">L1139+1</f>
        <v>2015</v>
      </c>
      <c r="N1139" s="2">
        <f t="shared" ref="N1139" si="493">M1139+1</f>
        <v>2016</v>
      </c>
      <c r="O1139" s="2">
        <f t="shared" ref="O1139" si="494">N1139+1</f>
        <v>2017</v>
      </c>
      <c r="P1139" s="2">
        <f t="shared" ref="P1139" si="495">O1139+1</f>
        <v>2018</v>
      </c>
      <c r="Q1139" s="2">
        <f t="shared" ref="Q1139" si="496">P1139+1</f>
        <v>2019</v>
      </c>
      <c r="R1139" s="2">
        <f t="shared" ref="R1139" si="497">Q1139+1</f>
        <v>2020</v>
      </c>
      <c r="S1139" s="2">
        <f>R1139+1</f>
        <v>2021</v>
      </c>
      <c r="T1139" s="2">
        <f>S1139+1</f>
        <v>2022</v>
      </c>
      <c r="U1139" s="2">
        <f>T1139+1</f>
        <v>2023</v>
      </c>
      <c r="W1139" s="1"/>
      <c r="X1139" s="1"/>
      <c r="Y1139" s="1"/>
    </row>
    <row r="1140" spans="1:25">
      <c r="G1140" s="62" t="s">
        <v>10</v>
      </c>
      <c r="H1140" s="57"/>
      <c r="I1140" s="38">
        <f>IF($J27 = "Eligible", I1137 * 'Facility Detail'!$G$3257, 0 )</f>
        <v>0</v>
      </c>
      <c r="J1140" s="11">
        <f>IF($J27 = "Eligible", J1137 * 'Facility Detail'!$G$3257, 0 )</f>
        <v>0</v>
      </c>
      <c r="K1140" s="11">
        <f>IF($J27 = "Eligible", K1137 * 'Facility Detail'!$G$3257, 0 )</f>
        <v>0</v>
      </c>
      <c r="L1140" s="11">
        <f>IF($J27 = "Eligible", L1137 * 'Facility Detail'!$G$3257, 0 )</f>
        <v>0</v>
      </c>
      <c r="M1140" s="11">
        <f>IF($J27 = "Eligible", M1137 * 'Facility Detail'!$G$3257, 0 )</f>
        <v>0</v>
      </c>
      <c r="N1140" s="11">
        <f>IF($J27 = "Eligible", N1137 * 'Facility Detail'!$G$3257, 0 )</f>
        <v>0</v>
      </c>
      <c r="O1140" s="11">
        <f>IF($J27 = "Eligible", O1137 * 'Facility Detail'!$G$3257, 0 )</f>
        <v>0</v>
      </c>
      <c r="P1140" s="11">
        <f>IF($J27 = "Eligible", P1137 * 'Facility Detail'!$G$3257, 0 )</f>
        <v>0</v>
      </c>
      <c r="Q1140" s="11">
        <f>IF($J27 = "Eligible", Q1137 * 'Facility Detail'!$G$3257, 0 )</f>
        <v>0</v>
      </c>
      <c r="R1140" s="11">
        <f>IF($J27 = "Eligible", R1137 * 'Facility Detail'!$G$3257, 0 )</f>
        <v>0</v>
      </c>
      <c r="S1140" s="11">
        <f>IF($J27 = "Eligible", S1137 * 'Facility Detail'!$G$3257, 0 )</f>
        <v>0</v>
      </c>
      <c r="T1140" s="11">
        <f>IF($J27 = "Eligible", T1137 * 'Facility Detail'!$G$3257, 0 )</f>
        <v>0</v>
      </c>
      <c r="U1140" s="223">
        <f>IF($J27 = "Eligible", U1137 * 'Facility Detail'!$G$3257, 0 )</f>
        <v>0</v>
      </c>
      <c r="W1140" s="1"/>
      <c r="X1140" s="1"/>
      <c r="Y1140" s="1"/>
    </row>
    <row r="1141" spans="1:25">
      <c r="G1141" s="62" t="s">
        <v>6</v>
      </c>
      <c r="H1141" s="57"/>
      <c r="I1141" s="39">
        <f t="shared" ref="I1141:U1141" si="498">IF($K27= "Eligible", I1137, 0 )</f>
        <v>0</v>
      </c>
      <c r="J1141" s="193">
        <f t="shared" si="498"/>
        <v>0</v>
      </c>
      <c r="K1141" s="193">
        <f t="shared" si="498"/>
        <v>0</v>
      </c>
      <c r="L1141" s="193">
        <f t="shared" si="498"/>
        <v>0</v>
      </c>
      <c r="M1141" s="193">
        <f t="shared" si="498"/>
        <v>0</v>
      </c>
      <c r="N1141" s="193">
        <f t="shared" si="498"/>
        <v>0</v>
      </c>
      <c r="O1141" s="193">
        <f t="shared" si="498"/>
        <v>0</v>
      </c>
      <c r="P1141" s="193">
        <f t="shared" si="498"/>
        <v>0</v>
      </c>
      <c r="Q1141" s="193">
        <f t="shared" si="498"/>
        <v>0</v>
      </c>
      <c r="R1141" s="193">
        <f t="shared" si="498"/>
        <v>0</v>
      </c>
      <c r="S1141" s="193">
        <f t="shared" si="498"/>
        <v>0</v>
      </c>
      <c r="T1141" s="193">
        <f t="shared" si="498"/>
        <v>0</v>
      </c>
      <c r="U1141" s="224">
        <f t="shared" si="498"/>
        <v>0</v>
      </c>
      <c r="W1141" s="1"/>
      <c r="X1141" s="1"/>
      <c r="Y1141" s="1"/>
    </row>
    <row r="1142" spans="1:25">
      <c r="G1142" s="26" t="s">
        <v>120</v>
      </c>
      <c r="H1142" s="6"/>
      <c r="I1142" s="32">
        <f>SUM(I1140:I1141)</f>
        <v>0</v>
      </c>
      <c r="J1142" s="33">
        <f t="shared" ref="J1142:S1142" si="499">SUM(J1140:J1141)</f>
        <v>0</v>
      </c>
      <c r="K1142" s="33">
        <f t="shared" si="499"/>
        <v>0</v>
      </c>
      <c r="L1142" s="33">
        <f t="shared" si="499"/>
        <v>0</v>
      </c>
      <c r="M1142" s="33">
        <f t="shared" si="499"/>
        <v>0</v>
      </c>
      <c r="N1142" s="33">
        <f t="shared" si="499"/>
        <v>0</v>
      </c>
      <c r="O1142" s="33">
        <f t="shared" si="499"/>
        <v>0</v>
      </c>
      <c r="P1142" s="33">
        <f t="shared" si="499"/>
        <v>0</v>
      </c>
      <c r="Q1142" s="33">
        <f t="shared" si="499"/>
        <v>0</v>
      </c>
      <c r="R1142" s="33">
        <f t="shared" si="499"/>
        <v>0</v>
      </c>
      <c r="S1142" s="33">
        <f t="shared" si="499"/>
        <v>0</v>
      </c>
      <c r="T1142" s="33">
        <f t="shared" ref="T1142:U1142" si="500">SUM(T1140:T1141)</f>
        <v>0</v>
      </c>
      <c r="U1142" s="33">
        <f t="shared" si="500"/>
        <v>0</v>
      </c>
      <c r="W1142" s="1"/>
      <c r="X1142" s="1"/>
      <c r="Y1142" s="1"/>
    </row>
    <row r="1143" spans="1:25">
      <c r="I1143" s="31"/>
      <c r="J1143" s="24"/>
      <c r="K1143" s="24"/>
      <c r="L1143" s="24"/>
      <c r="M1143" s="24"/>
      <c r="N1143" s="24"/>
      <c r="O1143" s="24"/>
      <c r="P1143" s="24"/>
      <c r="Q1143" s="24"/>
      <c r="R1143" s="24"/>
      <c r="S1143" s="24"/>
      <c r="T1143" s="24"/>
      <c r="U1143" s="24"/>
      <c r="W1143" s="1"/>
      <c r="X1143" s="1"/>
      <c r="Y1143" s="1"/>
    </row>
    <row r="1144" spans="1:25" ht="18.75">
      <c r="F1144" s="9" t="s">
        <v>30</v>
      </c>
      <c r="I1144" s="2">
        <v>2011</v>
      </c>
      <c r="J1144" s="2">
        <f>I1144+1</f>
        <v>2012</v>
      </c>
      <c r="K1144" s="2">
        <f t="shared" ref="K1144" si="501">J1144+1</f>
        <v>2013</v>
      </c>
      <c r="L1144" s="2">
        <f t="shared" ref="L1144" si="502">K1144+1</f>
        <v>2014</v>
      </c>
      <c r="M1144" s="2">
        <f t="shared" ref="M1144" si="503">L1144+1</f>
        <v>2015</v>
      </c>
      <c r="N1144" s="2">
        <f t="shared" ref="N1144" si="504">M1144+1</f>
        <v>2016</v>
      </c>
      <c r="O1144" s="2">
        <f t="shared" ref="O1144" si="505">N1144+1</f>
        <v>2017</v>
      </c>
      <c r="P1144" s="2">
        <f t="shared" ref="P1144" si="506">O1144+1</f>
        <v>2018</v>
      </c>
      <c r="Q1144" s="2">
        <f t="shared" ref="Q1144" si="507">P1144+1</f>
        <v>2019</v>
      </c>
      <c r="R1144" s="2">
        <f t="shared" ref="R1144" si="508">Q1144+1</f>
        <v>2020</v>
      </c>
      <c r="S1144" s="2">
        <f>R1144+1</f>
        <v>2021</v>
      </c>
      <c r="T1144" s="2">
        <f>S1144+1</f>
        <v>2022</v>
      </c>
      <c r="U1144" s="2">
        <f>T1144+1</f>
        <v>2023</v>
      </c>
      <c r="W1144" s="1"/>
      <c r="X1144" s="1"/>
      <c r="Y1144" s="1"/>
    </row>
    <row r="1145" spans="1:25">
      <c r="G1145" s="62" t="s">
        <v>47</v>
      </c>
      <c r="H1145" s="57"/>
      <c r="I1145" s="71"/>
      <c r="J1145" s="72"/>
      <c r="K1145" s="72"/>
      <c r="L1145" s="72"/>
      <c r="M1145" s="72"/>
      <c r="N1145" s="72"/>
      <c r="O1145" s="72"/>
      <c r="P1145" s="72"/>
      <c r="Q1145" s="72"/>
      <c r="R1145" s="72"/>
      <c r="S1145" s="72"/>
      <c r="T1145" s="72"/>
      <c r="U1145" s="73"/>
      <c r="W1145" s="1"/>
      <c r="X1145" s="1"/>
      <c r="Y1145" s="1"/>
    </row>
    <row r="1146" spans="1:25">
      <c r="G1146" s="63" t="s">
        <v>23</v>
      </c>
      <c r="H1146" s="135"/>
      <c r="I1146" s="74"/>
      <c r="J1146" s="75"/>
      <c r="K1146" s="75"/>
      <c r="L1146" s="75"/>
      <c r="M1146" s="75"/>
      <c r="N1146" s="75"/>
      <c r="O1146" s="75"/>
      <c r="P1146" s="75"/>
      <c r="Q1146" s="75"/>
      <c r="R1146" s="75"/>
      <c r="S1146" s="75"/>
      <c r="T1146" s="75"/>
      <c r="U1146" s="76"/>
      <c r="W1146" s="1"/>
      <c r="X1146" s="1"/>
      <c r="Y1146" s="1"/>
    </row>
    <row r="1147" spans="1:25">
      <c r="G1147" s="63" t="s">
        <v>89</v>
      </c>
      <c r="H1147" s="134"/>
      <c r="I1147" s="43"/>
      <c r="J1147" s="44"/>
      <c r="K1147" s="44"/>
      <c r="L1147" s="44"/>
      <c r="M1147" s="44"/>
      <c r="N1147" s="44"/>
      <c r="O1147" s="44"/>
      <c r="P1147" s="44"/>
      <c r="Q1147" s="44"/>
      <c r="R1147" s="44"/>
      <c r="S1147" s="44"/>
      <c r="T1147" s="44"/>
      <c r="U1147" s="45"/>
      <c r="W1147" s="1"/>
      <c r="X1147" s="1"/>
      <c r="Y1147" s="1"/>
    </row>
    <row r="1148" spans="1:25">
      <c r="G1148" s="26" t="s">
        <v>90</v>
      </c>
      <c r="I1148" s="7">
        <v>0</v>
      </c>
      <c r="J1148" s="7">
        <v>0</v>
      </c>
      <c r="K1148" s="7">
        <v>0</v>
      </c>
      <c r="L1148" s="7">
        <v>0</v>
      </c>
      <c r="M1148" s="7">
        <v>0</v>
      </c>
      <c r="N1148" s="7">
        <v>0</v>
      </c>
      <c r="O1148" s="7">
        <v>0</v>
      </c>
      <c r="P1148" s="7">
        <v>0</v>
      </c>
      <c r="Q1148" s="7">
        <v>0</v>
      </c>
      <c r="R1148" s="7">
        <v>0</v>
      </c>
      <c r="S1148" s="7">
        <v>0</v>
      </c>
      <c r="T1148" s="7">
        <v>0</v>
      </c>
      <c r="U1148" s="7">
        <v>0</v>
      </c>
      <c r="W1148" s="1"/>
      <c r="X1148" s="1"/>
      <c r="Y1148" s="1"/>
    </row>
    <row r="1149" spans="1:25">
      <c r="G1149" s="6"/>
      <c r="I1149" s="7"/>
      <c r="J1149" s="7"/>
      <c r="K1149" s="7"/>
      <c r="L1149" s="23"/>
      <c r="M1149" s="23"/>
      <c r="N1149" s="23"/>
      <c r="O1149" s="23"/>
      <c r="P1149" s="23"/>
      <c r="Q1149" s="23"/>
      <c r="R1149" s="23"/>
      <c r="S1149" s="282"/>
      <c r="T1149" s="23"/>
      <c r="U1149" s="23"/>
      <c r="W1149" s="1"/>
      <c r="X1149" s="1"/>
      <c r="Y1149" s="1"/>
    </row>
    <row r="1150" spans="1:25" ht="18.75">
      <c r="F1150" s="9" t="s">
        <v>100</v>
      </c>
      <c r="I1150" s="2">
        <f>'Facility Detail'!$G$3260</f>
        <v>2011</v>
      </c>
      <c r="J1150" s="2">
        <f>I1150+1</f>
        <v>2012</v>
      </c>
      <c r="K1150" s="2">
        <f t="shared" ref="K1150" si="509">J1150+1</f>
        <v>2013</v>
      </c>
      <c r="L1150" s="2">
        <f t="shared" ref="L1150" si="510">K1150+1</f>
        <v>2014</v>
      </c>
      <c r="M1150" s="2">
        <f t="shared" ref="M1150" si="511">L1150+1</f>
        <v>2015</v>
      </c>
      <c r="N1150" s="2">
        <f t="shared" ref="N1150" si="512">M1150+1</f>
        <v>2016</v>
      </c>
      <c r="O1150" s="2">
        <f t="shared" ref="O1150" si="513">N1150+1</f>
        <v>2017</v>
      </c>
      <c r="P1150" s="2">
        <f t="shared" ref="P1150" si="514">O1150+1</f>
        <v>2018</v>
      </c>
      <c r="Q1150" s="2">
        <f t="shared" ref="Q1150" si="515">P1150+1</f>
        <v>2019</v>
      </c>
      <c r="R1150" s="2">
        <f t="shared" ref="R1150" si="516">Q1150+1</f>
        <v>2020</v>
      </c>
      <c r="S1150" s="2">
        <f>R1150+1</f>
        <v>2021</v>
      </c>
      <c r="T1150" s="2">
        <f>S1150+1</f>
        <v>2022</v>
      </c>
      <c r="U1150" s="2">
        <f>T1150+1</f>
        <v>2023</v>
      </c>
      <c r="W1150" s="1"/>
      <c r="X1150" s="1"/>
      <c r="Y1150" s="1"/>
    </row>
    <row r="1151" spans="1:25">
      <c r="G1151" s="62" t="s">
        <v>68</v>
      </c>
      <c r="H1151" s="57"/>
      <c r="I1151" s="3"/>
      <c r="J1151" s="46">
        <f>I1151</f>
        <v>0</v>
      </c>
      <c r="K1151" s="106"/>
      <c r="L1151" s="106"/>
      <c r="M1151" s="106"/>
      <c r="N1151" s="106"/>
      <c r="O1151" s="106"/>
      <c r="P1151" s="106"/>
      <c r="Q1151" s="106"/>
      <c r="R1151" s="106"/>
      <c r="S1151" s="106"/>
      <c r="T1151" s="217"/>
      <c r="U1151" s="47"/>
      <c r="W1151" s="1"/>
      <c r="X1151" s="1"/>
      <c r="Y1151" s="1"/>
    </row>
    <row r="1152" spans="1:25">
      <c r="G1152" s="62" t="s">
        <v>69</v>
      </c>
      <c r="H1152" s="57"/>
      <c r="I1152" s="127">
        <f>J1152</f>
        <v>0</v>
      </c>
      <c r="J1152" s="10"/>
      <c r="K1152" s="60"/>
      <c r="L1152" s="60"/>
      <c r="M1152" s="60"/>
      <c r="N1152" s="60"/>
      <c r="O1152" s="60"/>
      <c r="P1152" s="60"/>
      <c r="Q1152" s="60"/>
      <c r="R1152" s="60"/>
      <c r="S1152" s="60"/>
      <c r="T1152" s="218"/>
      <c r="U1152" s="128"/>
      <c r="W1152" s="1"/>
      <c r="X1152" s="1"/>
      <c r="Y1152" s="1"/>
    </row>
    <row r="1153" spans="7:25">
      <c r="G1153" s="62" t="s">
        <v>70</v>
      </c>
      <c r="H1153" s="57"/>
      <c r="I1153" s="48"/>
      <c r="J1153" s="10">
        <f>J1137</f>
        <v>0</v>
      </c>
      <c r="K1153" s="56">
        <f>J1153</f>
        <v>0</v>
      </c>
      <c r="L1153" s="60"/>
      <c r="M1153" s="60"/>
      <c r="N1153" s="60"/>
      <c r="O1153" s="60"/>
      <c r="P1153" s="60"/>
      <c r="Q1153" s="60"/>
      <c r="R1153" s="60"/>
      <c r="S1153" s="60"/>
      <c r="T1153" s="218"/>
      <c r="U1153" s="128"/>
      <c r="W1153" s="1"/>
      <c r="X1153" s="1"/>
      <c r="Y1153" s="1"/>
    </row>
    <row r="1154" spans="7:25">
      <c r="G1154" s="62" t="s">
        <v>71</v>
      </c>
      <c r="H1154" s="57"/>
      <c r="I1154" s="48"/>
      <c r="J1154" s="56">
        <f>K1154</f>
        <v>0</v>
      </c>
      <c r="K1154" s="10"/>
      <c r="L1154" s="60"/>
      <c r="M1154" s="60"/>
      <c r="N1154" s="60"/>
      <c r="O1154" s="60"/>
      <c r="P1154" s="60"/>
      <c r="Q1154" s="60"/>
      <c r="R1154" s="60"/>
      <c r="S1154" s="60"/>
      <c r="T1154" s="218"/>
      <c r="U1154" s="128"/>
      <c r="W1154" s="1"/>
      <c r="X1154" s="1"/>
      <c r="Y1154" s="1"/>
    </row>
    <row r="1155" spans="7:25">
      <c r="G1155" s="62" t="s">
        <v>170</v>
      </c>
      <c r="I1155" s="48"/>
      <c r="J1155" s="118"/>
      <c r="K1155" s="10">
        <f>K1137</f>
        <v>0</v>
      </c>
      <c r="L1155" s="119">
        <f>K1155</f>
        <v>0</v>
      </c>
      <c r="M1155" s="60"/>
      <c r="N1155" s="60"/>
      <c r="O1155" s="60"/>
      <c r="P1155" s="60"/>
      <c r="Q1155" s="60"/>
      <c r="R1155" s="60"/>
      <c r="S1155" s="60"/>
      <c r="T1155" s="146"/>
      <c r="U1155" s="122"/>
      <c r="W1155" s="1"/>
      <c r="X1155" s="1"/>
      <c r="Y1155" s="1"/>
    </row>
    <row r="1156" spans="7:25">
      <c r="G1156" s="62" t="s">
        <v>171</v>
      </c>
      <c r="I1156" s="48"/>
      <c r="J1156" s="118"/>
      <c r="K1156" s="56">
        <f>L1156</f>
        <v>0</v>
      </c>
      <c r="L1156" s="10"/>
      <c r="M1156" s="60"/>
      <c r="N1156" s="60"/>
      <c r="O1156" s="60"/>
      <c r="P1156" s="60"/>
      <c r="Q1156" s="60"/>
      <c r="R1156" s="60"/>
      <c r="S1156" s="60"/>
      <c r="T1156" s="146"/>
      <c r="U1156" s="122"/>
      <c r="W1156" s="1"/>
      <c r="X1156" s="1"/>
      <c r="Y1156" s="1"/>
    </row>
    <row r="1157" spans="7:25">
      <c r="G1157" s="62" t="s">
        <v>172</v>
      </c>
      <c r="I1157" s="48"/>
      <c r="J1157" s="118"/>
      <c r="K1157" s="118"/>
      <c r="L1157" s="10">
        <f>L1137</f>
        <v>0</v>
      </c>
      <c r="M1157" s="119">
        <f>L1157</f>
        <v>0</v>
      </c>
      <c r="N1157" s="118"/>
      <c r="O1157" s="60"/>
      <c r="P1157" s="60"/>
      <c r="Q1157" s="60"/>
      <c r="R1157" s="60"/>
      <c r="S1157" s="60"/>
      <c r="T1157" s="146"/>
      <c r="U1157" s="122"/>
      <c r="W1157" s="1"/>
      <c r="X1157" s="1"/>
      <c r="Y1157" s="1"/>
    </row>
    <row r="1158" spans="7:25">
      <c r="G1158" s="62" t="s">
        <v>173</v>
      </c>
      <c r="I1158" s="48"/>
      <c r="J1158" s="118"/>
      <c r="K1158" s="118"/>
      <c r="L1158" s="56"/>
      <c r="M1158" s="10"/>
      <c r="N1158" s="118"/>
      <c r="O1158" s="60"/>
      <c r="P1158" s="60"/>
      <c r="Q1158" s="60"/>
      <c r="R1158" s="60"/>
      <c r="S1158" s="60"/>
      <c r="T1158" s="146"/>
      <c r="U1158" s="122"/>
      <c r="W1158" s="1"/>
      <c r="X1158" s="1"/>
      <c r="Y1158" s="1"/>
    </row>
    <row r="1159" spans="7:25">
      <c r="G1159" s="62" t="s">
        <v>174</v>
      </c>
      <c r="I1159" s="48"/>
      <c r="J1159" s="118"/>
      <c r="K1159" s="118"/>
      <c r="L1159" s="118"/>
      <c r="M1159" s="10">
        <v>0</v>
      </c>
      <c r="N1159" s="119">
        <f>M1159</f>
        <v>0</v>
      </c>
      <c r="O1159" s="60"/>
      <c r="P1159" s="60"/>
      <c r="Q1159" s="60"/>
      <c r="R1159" s="60"/>
      <c r="S1159" s="60"/>
      <c r="T1159" s="146"/>
      <c r="U1159" s="122"/>
      <c r="W1159" s="1"/>
      <c r="X1159" s="1"/>
      <c r="Y1159" s="1"/>
    </row>
    <row r="1160" spans="7:25">
      <c r="G1160" s="62" t="s">
        <v>175</v>
      </c>
      <c r="I1160" s="48"/>
      <c r="J1160" s="118"/>
      <c r="K1160" s="118"/>
      <c r="L1160" s="118"/>
      <c r="M1160" s="56"/>
      <c r="N1160" s="10"/>
      <c r="O1160" s="60"/>
      <c r="P1160" s="60"/>
      <c r="Q1160" s="60"/>
      <c r="R1160" s="60"/>
      <c r="S1160" s="60"/>
      <c r="T1160" s="146"/>
      <c r="U1160" s="122"/>
      <c r="W1160" s="1"/>
      <c r="X1160" s="1"/>
      <c r="Y1160" s="1"/>
    </row>
    <row r="1161" spans="7:25">
      <c r="G1161" s="62" t="s">
        <v>176</v>
      </c>
      <c r="I1161" s="48"/>
      <c r="J1161" s="118"/>
      <c r="K1161" s="118"/>
      <c r="L1161" s="118"/>
      <c r="M1161" s="118"/>
      <c r="N1161" s="149">
        <f>N1137</f>
        <v>0</v>
      </c>
      <c r="O1161" s="120">
        <f>N1161</f>
        <v>0</v>
      </c>
      <c r="P1161" s="60"/>
      <c r="Q1161" s="60"/>
      <c r="R1161" s="60"/>
      <c r="S1161" s="60"/>
      <c r="T1161" s="146"/>
      <c r="U1161" s="122"/>
      <c r="W1161" s="1"/>
      <c r="X1161" s="1"/>
      <c r="Y1161" s="1"/>
    </row>
    <row r="1162" spans="7:25">
      <c r="G1162" s="62" t="s">
        <v>167</v>
      </c>
      <c r="I1162" s="48"/>
      <c r="J1162" s="118"/>
      <c r="K1162" s="118"/>
      <c r="L1162" s="118"/>
      <c r="M1162" s="118"/>
      <c r="N1162" s="150"/>
      <c r="O1162" s="121"/>
      <c r="P1162" s="60"/>
      <c r="Q1162" s="60"/>
      <c r="R1162" s="60"/>
      <c r="S1162" s="60"/>
      <c r="T1162" s="146"/>
      <c r="U1162" s="122"/>
      <c r="W1162" s="1"/>
      <c r="X1162" s="1"/>
      <c r="Y1162" s="1"/>
    </row>
    <row r="1163" spans="7:25">
      <c r="G1163" s="62" t="s">
        <v>168</v>
      </c>
      <c r="I1163" s="48"/>
      <c r="J1163" s="118"/>
      <c r="K1163" s="118"/>
      <c r="L1163" s="118"/>
      <c r="M1163" s="118"/>
      <c r="N1163" s="118"/>
      <c r="O1163" s="121">
        <f>O1137</f>
        <v>0</v>
      </c>
      <c r="P1163" s="120">
        <f>O1163</f>
        <v>0</v>
      </c>
      <c r="Q1163" s="60"/>
      <c r="R1163" s="60"/>
      <c r="S1163" s="60"/>
      <c r="T1163" s="146"/>
      <c r="U1163" s="122"/>
      <c r="W1163" s="1"/>
      <c r="X1163" s="1"/>
      <c r="Y1163" s="1"/>
    </row>
    <row r="1164" spans="7:25">
      <c r="G1164" s="62" t="s">
        <v>185</v>
      </c>
      <c r="I1164" s="48"/>
      <c r="J1164" s="118"/>
      <c r="K1164" s="118"/>
      <c r="L1164" s="118"/>
      <c r="M1164" s="118"/>
      <c r="N1164" s="118"/>
      <c r="O1164" s="120"/>
      <c r="P1164" s="121"/>
      <c r="Q1164" s="60"/>
      <c r="R1164" s="60"/>
      <c r="S1164" s="60"/>
      <c r="T1164" s="146"/>
      <c r="U1164" s="122"/>
      <c r="W1164" s="1"/>
      <c r="X1164" s="1"/>
      <c r="Y1164" s="1"/>
    </row>
    <row r="1165" spans="7:25">
      <c r="G1165" s="62" t="s">
        <v>186</v>
      </c>
      <c r="I1165" s="48"/>
      <c r="J1165" s="118"/>
      <c r="K1165" s="118"/>
      <c r="L1165" s="118"/>
      <c r="M1165" s="118"/>
      <c r="N1165" s="118"/>
      <c r="O1165" s="118"/>
      <c r="P1165" s="121"/>
      <c r="Q1165" s="56">
        <f>P1165</f>
        <v>0</v>
      </c>
      <c r="R1165" s="60"/>
      <c r="S1165" s="60"/>
      <c r="T1165" s="146"/>
      <c r="U1165" s="122"/>
      <c r="W1165" s="1"/>
      <c r="X1165" s="1"/>
      <c r="Y1165" s="1"/>
    </row>
    <row r="1166" spans="7:25">
      <c r="G1166" s="62" t="s">
        <v>187</v>
      </c>
      <c r="I1166" s="48"/>
      <c r="J1166" s="118"/>
      <c r="K1166" s="118"/>
      <c r="L1166" s="118"/>
      <c r="M1166" s="118"/>
      <c r="N1166" s="118"/>
      <c r="O1166" s="118"/>
      <c r="P1166" s="120"/>
      <c r="Q1166" s="306"/>
      <c r="R1166" s="60"/>
      <c r="S1166" s="60"/>
      <c r="T1166" s="146"/>
      <c r="U1166" s="122"/>
      <c r="W1166" s="1"/>
      <c r="X1166" s="1"/>
      <c r="Y1166" s="1"/>
    </row>
    <row r="1167" spans="7:25">
      <c r="G1167" s="62" t="s">
        <v>188</v>
      </c>
      <c r="I1167" s="48"/>
      <c r="J1167" s="118"/>
      <c r="K1167" s="118"/>
      <c r="L1167" s="118"/>
      <c r="M1167" s="118"/>
      <c r="N1167" s="118"/>
      <c r="O1167" s="118"/>
      <c r="P1167" s="118"/>
      <c r="Q1167" s="121"/>
      <c r="R1167" s="151">
        <f>Q1167</f>
        <v>0</v>
      </c>
      <c r="S1167" s="60"/>
      <c r="T1167" s="146"/>
      <c r="U1167" s="122"/>
      <c r="W1167" s="1"/>
      <c r="X1167" s="1"/>
      <c r="Y1167" s="1"/>
    </row>
    <row r="1168" spans="7:25">
      <c r="G1168" s="62" t="s">
        <v>189</v>
      </c>
      <c r="I1168" s="48"/>
      <c r="J1168" s="118"/>
      <c r="K1168" s="118"/>
      <c r="L1168" s="118"/>
      <c r="M1168" s="118"/>
      <c r="N1168" s="118"/>
      <c r="O1168" s="118"/>
      <c r="P1168" s="118"/>
      <c r="Q1168" s="151">
        <f>R1137</f>
        <v>0</v>
      </c>
      <c r="R1168" s="173">
        <f>Q1168</f>
        <v>0</v>
      </c>
      <c r="S1168" s="60"/>
      <c r="T1168" s="146"/>
      <c r="U1168" s="122"/>
      <c r="W1168" s="1"/>
      <c r="X1168" s="1"/>
      <c r="Y1168" s="1"/>
    </row>
    <row r="1169" spans="2:25">
      <c r="G1169" s="62" t="s">
        <v>190</v>
      </c>
      <c r="I1169" s="48"/>
      <c r="J1169" s="118"/>
      <c r="K1169" s="118"/>
      <c r="L1169" s="118"/>
      <c r="M1169" s="118"/>
      <c r="N1169" s="118"/>
      <c r="O1169" s="118"/>
      <c r="P1169" s="118"/>
      <c r="Q1169" s="118"/>
      <c r="R1169" s="173"/>
      <c r="S1169" s="151">
        <f>R1169</f>
        <v>0</v>
      </c>
      <c r="T1169" s="146"/>
      <c r="U1169" s="122"/>
      <c r="W1169" s="1"/>
      <c r="X1169" s="1"/>
      <c r="Y1169" s="1"/>
    </row>
    <row r="1170" spans="2:25">
      <c r="G1170" s="62" t="s">
        <v>199</v>
      </c>
      <c r="I1170" s="48"/>
      <c r="J1170" s="118"/>
      <c r="K1170" s="118"/>
      <c r="L1170" s="118"/>
      <c r="M1170" s="118"/>
      <c r="N1170" s="118"/>
      <c r="O1170" s="118"/>
      <c r="P1170" s="118"/>
      <c r="Q1170" s="118"/>
      <c r="R1170" s="120"/>
      <c r="S1170" s="173">
        <v>0</v>
      </c>
      <c r="T1170" s="146"/>
      <c r="U1170" s="122"/>
      <c r="W1170" s="1"/>
      <c r="X1170" s="1"/>
      <c r="Y1170" s="1"/>
    </row>
    <row r="1171" spans="2:25">
      <c r="G1171" s="62" t="s">
        <v>200</v>
      </c>
      <c r="I1171" s="48"/>
      <c r="J1171" s="118"/>
      <c r="K1171" s="118"/>
      <c r="L1171" s="118"/>
      <c r="M1171" s="118"/>
      <c r="N1171" s="118"/>
      <c r="O1171" s="118"/>
      <c r="P1171" s="118"/>
      <c r="Q1171" s="118"/>
      <c r="R1171" s="118"/>
      <c r="S1171" s="173">
        <v>0</v>
      </c>
      <c r="T1171" s="151">
        <f>S1171</f>
        <v>0</v>
      </c>
      <c r="U1171" s="122"/>
      <c r="W1171" s="1"/>
      <c r="X1171" s="1"/>
      <c r="Y1171" s="1"/>
    </row>
    <row r="1172" spans="2:25">
      <c r="G1172" s="62" t="s">
        <v>308</v>
      </c>
      <c r="I1172" s="48"/>
      <c r="J1172" s="118"/>
      <c r="K1172" s="118"/>
      <c r="L1172" s="118"/>
      <c r="M1172" s="118"/>
      <c r="N1172" s="118"/>
      <c r="O1172" s="118"/>
      <c r="P1172" s="118"/>
      <c r="Q1172" s="118"/>
      <c r="R1172" s="118"/>
      <c r="S1172" s="120">
        <f>T1172</f>
        <v>0</v>
      </c>
      <c r="T1172" s="173">
        <v>0</v>
      </c>
      <c r="U1172" s="122"/>
      <c r="W1172" s="1"/>
      <c r="X1172" s="1"/>
      <c r="Y1172" s="1"/>
    </row>
    <row r="1173" spans="2:25">
      <c r="G1173" s="62" t="s">
        <v>307</v>
      </c>
      <c r="I1173" s="114"/>
      <c r="J1173" s="107"/>
      <c r="K1173" s="107"/>
      <c r="L1173" s="107"/>
      <c r="M1173" s="107"/>
      <c r="N1173" s="107"/>
      <c r="O1173" s="107"/>
      <c r="P1173" s="107"/>
      <c r="Q1173" s="107"/>
      <c r="R1173" s="107"/>
      <c r="S1173" s="107"/>
      <c r="T1173" s="173">
        <v>0</v>
      </c>
      <c r="U1173" s="456">
        <f>T1173</f>
        <v>0</v>
      </c>
      <c r="W1173" s="1"/>
      <c r="X1173" s="1"/>
      <c r="Y1173" s="1"/>
    </row>
    <row r="1174" spans="2:25">
      <c r="G1174" s="62" t="s">
        <v>318</v>
      </c>
      <c r="I1174" s="114"/>
      <c r="J1174" s="107"/>
      <c r="K1174" s="107"/>
      <c r="L1174" s="107"/>
      <c r="M1174" s="107"/>
      <c r="N1174" s="107"/>
      <c r="O1174" s="107"/>
      <c r="P1174" s="107"/>
      <c r="Q1174" s="107"/>
      <c r="R1174" s="107"/>
      <c r="S1174" s="107"/>
      <c r="T1174" s="120">
        <f>U1174</f>
        <v>0</v>
      </c>
      <c r="U1174" s="457">
        <v>0</v>
      </c>
      <c r="W1174" s="1"/>
      <c r="X1174" s="1"/>
      <c r="Y1174" s="1"/>
    </row>
    <row r="1175" spans="2:25">
      <c r="G1175" s="62" t="s">
        <v>319</v>
      </c>
      <c r="I1175" s="49"/>
      <c r="J1175" s="194"/>
      <c r="K1175" s="194"/>
      <c r="L1175" s="194"/>
      <c r="M1175" s="194"/>
      <c r="N1175" s="194"/>
      <c r="O1175" s="194"/>
      <c r="P1175" s="194"/>
      <c r="Q1175" s="194"/>
      <c r="R1175" s="194"/>
      <c r="S1175" s="194"/>
      <c r="T1175" s="194"/>
      <c r="U1175" s="458">
        <v>0</v>
      </c>
      <c r="W1175" s="1"/>
      <c r="X1175" s="1"/>
      <c r="Y1175" s="1"/>
    </row>
    <row r="1176" spans="2:25">
      <c r="B1176" s="1" t="s">
        <v>217</v>
      </c>
      <c r="G1176" s="26" t="s">
        <v>17</v>
      </c>
      <c r="I1176" s="7">
        <f xml:space="preserve"> I1157 - I1156</f>
        <v>0</v>
      </c>
      <c r="J1176" s="7">
        <f xml:space="preserve"> J1156 + J1159 - J1158 - J1157</f>
        <v>0</v>
      </c>
      <c r="K1176" s="7">
        <f>K1158 - K1159</f>
        <v>0</v>
      </c>
      <c r="L1176" s="7">
        <f>L1158 - L1159</f>
        <v>0</v>
      </c>
      <c r="M1176" s="7">
        <f>M1157-M1158-M1159</f>
        <v>0</v>
      </c>
      <c r="N1176" s="7">
        <f>N1159-N1160-N1161</f>
        <v>0</v>
      </c>
      <c r="O1176" s="7">
        <f>O1161-O1162-O1163</f>
        <v>0</v>
      </c>
      <c r="P1176" s="154">
        <f>P1163-P1164-P1165</f>
        <v>0</v>
      </c>
      <c r="Q1176" s="154">
        <f>Q1165+Q1168-Q1167-Q1166</f>
        <v>0</v>
      </c>
      <c r="R1176" s="154">
        <f>R1167-R1168+R1170</f>
        <v>0</v>
      </c>
      <c r="S1176" s="7">
        <f>S1169-S1170+S1171-S1172</f>
        <v>0</v>
      </c>
      <c r="T1176" s="7">
        <f>T1171-T1172-T1173+T1174</f>
        <v>0</v>
      </c>
      <c r="U1176" s="7">
        <f>U1173-U1174-U1175</f>
        <v>0</v>
      </c>
      <c r="W1176" s="1"/>
      <c r="X1176" s="1"/>
      <c r="Y1176" s="1"/>
    </row>
    <row r="1177" spans="2:25">
      <c r="G1177" s="6"/>
      <c r="I1177" s="154"/>
      <c r="J1177" s="154"/>
      <c r="K1177" s="154"/>
      <c r="L1177" s="154"/>
      <c r="M1177" s="154"/>
      <c r="N1177" s="154"/>
      <c r="O1177" s="154"/>
      <c r="P1177" s="154"/>
      <c r="Q1177" s="154"/>
      <c r="R1177" s="154"/>
      <c r="S1177" s="297"/>
      <c r="T1177" s="154"/>
      <c r="U1177" s="154"/>
      <c r="W1177" s="1"/>
      <c r="X1177" s="1"/>
      <c r="Y1177" s="1"/>
    </row>
    <row r="1178" spans="2:25">
      <c r="G1178" s="26" t="s">
        <v>12</v>
      </c>
      <c r="H1178" s="57"/>
      <c r="I1178" s="155"/>
      <c r="J1178" s="156"/>
      <c r="K1178" s="156"/>
      <c r="L1178" s="156"/>
      <c r="M1178" s="156"/>
      <c r="N1178" s="156"/>
      <c r="O1178" s="156"/>
      <c r="P1178" s="156"/>
      <c r="Q1178" s="156"/>
      <c r="R1178" s="156"/>
      <c r="S1178" s="156"/>
      <c r="T1178" s="156"/>
      <c r="U1178" s="267"/>
      <c r="W1178" s="1"/>
      <c r="X1178" s="1"/>
      <c r="Y1178" s="1"/>
    </row>
    <row r="1179" spans="2:25">
      <c r="G1179" s="6"/>
      <c r="I1179" s="154"/>
      <c r="J1179" s="154"/>
      <c r="K1179" s="154"/>
      <c r="L1179" s="154"/>
      <c r="M1179" s="154"/>
      <c r="N1179" s="154"/>
      <c r="O1179" s="154"/>
      <c r="P1179" s="154"/>
      <c r="Q1179" s="154"/>
      <c r="R1179" s="154"/>
      <c r="S1179" s="154"/>
      <c r="T1179" s="154"/>
      <c r="U1179" s="154"/>
      <c r="W1179" s="1"/>
      <c r="X1179" s="1"/>
      <c r="Y1179" s="1"/>
    </row>
    <row r="1180" spans="2:25" ht="18.75">
      <c r="C1180" s="1" t="s">
        <v>217</v>
      </c>
      <c r="D1180" s="1" t="s">
        <v>242</v>
      </c>
      <c r="E1180" s="1" t="s">
        <v>107</v>
      </c>
      <c r="F1180" s="9" t="s">
        <v>26</v>
      </c>
      <c r="H1180" s="57"/>
      <c r="I1180" s="157">
        <f t="shared" ref="I1180:S1180" si="517" xml:space="preserve"> I1137 + I1142 - I1148 + I1176 + I1178</f>
        <v>0</v>
      </c>
      <c r="J1180" s="158">
        <f t="shared" si="517"/>
        <v>0</v>
      </c>
      <c r="K1180" s="158">
        <f t="shared" si="517"/>
        <v>0</v>
      </c>
      <c r="L1180" s="158">
        <f t="shared" si="517"/>
        <v>0</v>
      </c>
      <c r="M1180" s="158">
        <f t="shared" si="517"/>
        <v>0</v>
      </c>
      <c r="N1180" s="158">
        <f t="shared" si="517"/>
        <v>0</v>
      </c>
      <c r="O1180" s="158">
        <f t="shared" si="517"/>
        <v>0</v>
      </c>
      <c r="P1180" s="158">
        <f t="shared" si="517"/>
        <v>0</v>
      </c>
      <c r="Q1180" s="158">
        <f t="shared" si="517"/>
        <v>0</v>
      </c>
      <c r="R1180" s="158">
        <f t="shared" si="517"/>
        <v>0</v>
      </c>
      <c r="S1180" s="298">
        <f t="shared" si="517"/>
        <v>10147.406795082643</v>
      </c>
      <c r="T1180" s="158">
        <f t="shared" ref="T1180:U1180" si="518" xml:space="preserve"> T1137 + T1142 - T1148 + T1176 + T1178</f>
        <v>9694.4487968353351</v>
      </c>
      <c r="U1180" s="268">
        <f t="shared" si="518"/>
        <v>10078.574263575196</v>
      </c>
      <c r="W1180" s="1"/>
      <c r="X1180" s="1"/>
      <c r="Y1180" s="1"/>
    </row>
    <row r="1181" spans="2:25" ht="15.75" thickBot="1">
      <c r="W1181" s="1"/>
      <c r="X1181" s="1"/>
      <c r="Y1181" s="1"/>
    </row>
    <row r="1182" spans="2:25">
      <c r="F1182" s="8"/>
      <c r="G1182" s="8"/>
      <c r="H1182" s="8"/>
      <c r="I1182" s="8"/>
      <c r="J1182" s="8"/>
      <c r="K1182" s="8"/>
      <c r="L1182" s="8"/>
      <c r="M1182" s="8"/>
      <c r="N1182" s="8"/>
      <c r="W1182" s="1"/>
      <c r="X1182" s="1"/>
      <c r="Y1182" s="1"/>
    </row>
    <row r="1183" spans="2:25" ht="15.75" thickBot="1">
      <c r="W1183" s="1"/>
      <c r="X1183" s="1"/>
      <c r="Y1183" s="1"/>
    </row>
    <row r="1184" spans="2:25" ht="21.75" thickBot="1">
      <c r="F1184" s="13" t="s">
        <v>4</v>
      </c>
      <c r="H1184" s="175" t="s">
        <v>127</v>
      </c>
      <c r="I1184" s="183"/>
      <c r="S1184" s="1"/>
      <c r="W1184" s="1"/>
      <c r="X1184" s="1"/>
      <c r="Y1184" s="1"/>
    </row>
    <row r="1185" spans="1:25">
      <c r="S1185" s="1"/>
      <c r="W1185" s="1"/>
      <c r="X1185" s="1"/>
      <c r="Y1185" s="1"/>
    </row>
    <row r="1186" spans="1:25" ht="18.75">
      <c r="F1186" s="9" t="s">
        <v>21</v>
      </c>
      <c r="I1186" s="2">
        <f>'Facility Detail'!$G$3260</f>
        <v>2011</v>
      </c>
      <c r="J1186" s="2">
        <f t="shared" ref="J1186" si="519">I1186+1</f>
        <v>2012</v>
      </c>
      <c r="K1186" s="2">
        <f t="shared" ref="K1186" si="520">J1186+1</f>
        <v>2013</v>
      </c>
      <c r="L1186" s="2">
        <f t="shared" ref="L1186" si="521">K1186+1</f>
        <v>2014</v>
      </c>
      <c r="M1186" s="2">
        <f t="shared" ref="M1186" si="522">L1186+1</f>
        <v>2015</v>
      </c>
      <c r="N1186" s="2">
        <f t="shared" ref="N1186" si="523">M1186+1</f>
        <v>2016</v>
      </c>
      <c r="O1186" s="2">
        <f t="shared" ref="O1186" si="524">N1186+1</f>
        <v>2017</v>
      </c>
      <c r="P1186" s="2">
        <f t="shared" ref="P1186" si="525">O1186+1</f>
        <v>2018</v>
      </c>
      <c r="Q1186" s="2">
        <f t="shared" ref="Q1186" si="526">P1186+1</f>
        <v>2019</v>
      </c>
      <c r="R1186" s="2">
        <f t="shared" ref="R1186" si="527">Q1186+1</f>
        <v>2020</v>
      </c>
      <c r="S1186" s="2">
        <f>R1186+1</f>
        <v>2021</v>
      </c>
      <c r="T1186" s="2">
        <f>S1186+1</f>
        <v>2022</v>
      </c>
      <c r="U1186" s="2">
        <f>T1186+1</f>
        <v>2023</v>
      </c>
      <c r="W1186" s="1"/>
      <c r="X1186" s="1"/>
      <c r="Y1186" s="1"/>
    </row>
    <row r="1187" spans="1:25">
      <c r="G1187" s="62" t="str">
        <f>"Total MWh Produced / Purchased from " &amp; H1184</f>
        <v>Total MWh Produced / Purchased from Goodnoe Hills</v>
      </c>
      <c r="H1187" s="57"/>
      <c r="I1187" s="3">
        <v>239431</v>
      </c>
      <c r="J1187" s="4">
        <v>221156</v>
      </c>
      <c r="K1187" s="4">
        <v>227258</v>
      </c>
      <c r="L1187" s="4">
        <v>216762</v>
      </c>
      <c r="M1187" s="4">
        <v>186746</v>
      </c>
      <c r="N1187" s="4">
        <v>223899</v>
      </c>
      <c r="O1187" s="4">
        <v>191917</v>
      </c>
      <c r="P1187" s="4">
        <v>230513</v>
      </c>
      <c r="Q1187" s="4">
        <v>57616</v>
      </c>
      <c r="R1187" s="4">
        <v>326836</v>
      </c>
      <c r="S1187" s="4">
        <v>296244</v>
      </c>
      <c r="T1187" s="4">
        <v>265804</v>
      </c>
      <c r="U1187" s="5">
        <v>237257</v>
      </c>
      <c r="W1187" s="1"/>
      <c r="X1187" s="1"/>
      <c r="Y1187" s="1"/>
    </row>
    <row r="1188" spans="1:25">
      <c r="G1188" s="62" t="s">
        <v>25</v>
      </c>
      <c r="H1188" s="57"/>
      <c r="I1188" s="269">
        <v>1</v>
      </c>
      <c r="J1188" s="41">
        <v>1</v>
      </c>
      <c r="K1188" s="41">
        <v>1</v>
      </c>
      <c r="L1188" s="41">
        <v>1</v>
      </c>
      <c r="M1188" s="41">
        <v>1</v>
      </c>
      <c r="N1188" s="41">
        <v>1</v>
      </c>
      <c r="O1188" s="41">
        <v>1</v>
      </c>
      <c r="P1188" s="41">
        <v>1</v>
      </c>
      <c r="Q1188" s="41">
        <v>1</v>
      </c>
      <c r="R1188" s="41">
        <v>1</v>
      </c>
      <c r="S1188" s="41">
        <v>1</v>
      </c>
      <c r="T1188" s="41">
        <v>1</v>
      </c>
      <c r="U1188" s="42">
        <v>1</v>
      </c>
      <c r="W1188" s="1"/>
      <c r="X1188" s="1"/>
      <c r="Y1188" s="1"/>
    </row>
    <row r="1189" spans="1:25">
      <c r="G1189" s="62" t="s">
        <v>20</v>
      </c>
      <c r="H1189" s="57"/>
      <c r="I1189" s="270">
        <v>7.8921000000000005E-2</v>
      </c>
      <c r="J1189" s="36">
        <v>7.9619999999999996E-2</v>
      </c>
      <c r="K1189" s="36">
        <v>7.8747999999999999E-2</v>
      </c>
      <c r="L1189" s="36">
        <v>8.0235000000000001E-2</v>
      </c>
      <c r="M1189" s="36">
        <v>8.0535999999999996E-2</v>
      </c>
      <c r="N1189" s="36">
        <v>8.1698151927344531E-2</v>
      </c>
      <c r="O1189" s="36">
        <v>8.0833713568703974E-2</v>
      </c>
      <c r="P1189" s="36">
        <v>7.9451999999999995E-2</v>
      </c>
      <c r="Q1189" s="36">
        <v>7.6724662968274293E-2</v>
      </c>
      <c r="R1189" s="36">
        <f>R1083</f>
        <v>8.1268700519883177E-2</v>
      </c>
      <c r="S1189" s="36">
        <f>S2</f>
        <v>7.9696892166366717E-2</v>
      </c>
      <c r="T1189" s="36">
        <f>T2</f>
        <v>7.8737918965874246E-2</v>
      </c>
      <c r="U1189" s="36">
        <f>U2</f>
        <v>7.8407467372863096E-2</v>
      </c>
      <c r="W1189" s="1"/>
      <c r="X1189" s="1"/>
      <c r="Y1189" s="1"/>
    </row>
    <row r="1190" spans="1:25">
      <c r="A1190" s="1" t="s">
        <v>127</v>
      </c>
      <c r="G1190" s="26" t="s">
        <v>22</v>
      </c>
      <c r="H1190" s="6"/>
      <c r="I1190" s="30">
        <v>18896</v>
      </c>
      <c r="J1190" s="30">
        <v>17608</v>
      </c>
      <c r="K1190" s="30">
        <v>17896</v>
      </c>
      <c r="L1190" s="30">
        <v>17392</v>
      </c>
      <c r="M1190" s="30">
        <v>15039</v>
      </c>
      <c r="N1190" s="161">
        <v>18292</v>
      </c>
      <c r="O1190" s="161">
        <v>15514</v>
      </c>
      <c r="P1190" s="161">
        <v>18315</v>
      </c>
      <c r="Q1190" s="161">
        <f t="shared" ref="Q1190:R1190" si="528">Q1187 * Q1188 * Q1189</f>
        <v>4420.5681815800917</v>
      </c>
      <c r="R1190" s="161">
        <f t="shared" si="528"/>
        <v>26561.537003116537</v>
      </c>
      <c r="S1190" s="161">
        <f>ROUNDDOWN(S1187 * S1188 * S1189,0)</f>
        <v>23609</v>
      </c>
      <c r="T1190" s="161">
        <f>ROUNDDOWN(T1187 * T1188 * T1189,0)</f>
        <v>20928</v>
      </c>
      <c r="U1190" s="161">
        <f t="shared" ref="U1190" si="529">U1187 * U1188 * U1189</f>
        <v>18602.72048648338</v>
      </c>
      <c r="W1190" s="1"/>
      <c r="X1190" s="1"/>
      <c r="Y1190" s="1"/>
    </row>
    <row r="1191" spans="1:25">
      <c r="I1191" s="29"/>
      <c r="J1191" s="29"/>
      <c r="K1191" s="29"/>
      <c r="L1191" s="29"/>
      <c r="M1191" s="29"/>
      <c r="N1191" s="20"/>
      <c r="O1191" s="20"/>
      <c r="P1191" s="20"/>
      <c r="Q1191" s="20"/>
      <c r="R1191" s="20"/>
      <c r="S1191" s="20"/>
      <c r="T1191" s="20"/>
      <c r="U1191" s="20"/>
      <c r="W1191" s="1"/>
      <c r="X1191" s="1"/>
      <c r="Y1191" s="1"/>
    </row>
    <row r="1192" spans="1:25" ht="18.75">
      <c r="F1192" s="9" t="s">
        <v>118</v>
      </c>
      <c r="I1192" s="2">
        <f t="shared" ref="I1192:S1192" si="530">I1186</f>
        <v>2011</v>
      </c>
      <c r="J1192" s="2">
        <f t="shared" si="530"/>
        <v>2012</v>
      </c>
      <c r="K1192" s="2">
        <f t="shared" si="530"/>
        <v>2013</v>
      </c>
      <c r="L1192" s="2">
        <f t="shared" si="530"/>
        <v>2014</v>
      </c>
      <c r="M1192" s="2">
        <f t="shared" si="530"/>
        <v>2015</v>
      </c>
      <c r="N1192" s="2">
        <f t="shared" si="530"/>
        <v>2016</v>
      </c>
      <c r="O1192" s="2">
        <f t="shared" si="530"/>
        <v>2017</v>
      </c>
      <c r="P1192" s="2">
        <f t="shared" si="530"/>
        <v>2018</v>
      </c>
      <c r="Q1192" s="2">
        <f t="shared" si="530"/>
        <v>2019</v>
      </c>
      <c r="R1192" s="2">
        <f t="shared" si="530"/>
        <v>2020</v>
      </c>
      <c r="S1192" s="2">
        <f t="shared" si="530"/>
        <v>2021</v>
      </c>
      <c r="T1192" s="2">
        <f t="shared" ref="T1192:U1192" si="531">T1186</f>
        <v>2022</v>
      </c>
      <c r="U1192" s="2">
        <f t="shared" si="531"/>
        <v>2023</v>
      </c>
      <c r="W1192" s="1"/>
      <c r="X1192" s="1"/>
      <c r="Y1192" s="1"/>
    </row>
    <row r="1193" spans="1:25">
      <c r="G1193" s="62" t="s">
        <v>10</v>
      </c>
      <c r="H1193" s="57"/>
      <c r="I1193" s="38">
        <f>IF($J28 = "Eligible", I1190 * 'Facility Detail'!$G$3257, 0 )</f>
        <v>0</v>
      </c>
      <c r="J1193" s="11">
        <f>IF($J28 = "Eligible", J1190 * 'Facility Detail'!$G$3257, 0 )</f>
        <v>0</v>
      </c>
      <c r="K1193" s="11">
        <f>IF($J28 = "Eligible", K1190 * 'Facility Detail'!$G$3257, 0 )</f>
        <v>0</v>
      </c>
      <c r="L1193" s="11">
        <f>IF($J28 = "Eligible", L1190 * 'Facility Detail'!$G$3257, 0 )</f>
        <v>0</v>
      </c>
      <c r="M1193" s="11">
        <f>IF($J28 = "Eligible", M1190 * 'Facility Detail'!$G$3257, 0 )</f>
        <v>0</v>
      </c>
      <c r="N1193" s="11">
        <f>IF($J28 = "Eligible", N1190 * 'Facility Detail'!$G$3257, 0 )</f>
        <v>0</v>
      </c>
      <c r="O1193" s="11">
        <f>IF($J28 = "Eligible", O1190 * 'Facility Detail'!$G$3257, 0 )</f>
        <v>0</v>
      </c>
      <c r="P1193" s="11">
        <f>IF($J28 = "Eligible", P1190 * 'Facility Detail'!$G$3257, 0 )</f>
        <v>0</v>
      </c>
      <c r="Q1193" s="11">
        <f>IF($J28 = "Eligible", Q1190 * 'Facility Detail'!$G$3257, 0 )</f>
        <v>0</v>
      </c>
      <c r="R1193" s="11">
        <f>IF($J28 = "Eligible", R1190 * 'Facility Detail'!$G$3257, 0 )</f>
        <v>0</v>
      </c>
      <c r="S1193" s="11">
        <f>IF($J28 = "Eligible", S1190 * 'Facility Detail'!$G$3257, 0 )</f>
        <v>0</v>
      </c>
      <c r="T1193" s="11">
        <f>IF($J28 = "Eligible", T1190 * 'Facility Detail'!$G$3257, 0 )</f>
        <v>0</v>
      </c>
      <c r="U1193" s="223">
        <f>IF($J28 = "Eligible", U1190 * 'Facility Detail'!$G$3257, 0 )</f>
        <v>0</v>
      </c>
      <c r="W1193" s="1"/>
      <c r="X1193" s="1"/>
      <c r="Y1193" s="1"/>
    </row>
    <row r="1194" spans="1:25">
      <c r="G1194" s="62" t="s">
        <v>6</v>
      </c>
      <c r="H1194" s="57"/>
      <c r="I1194" s="39">
        <f t="shared" ref="I1194:U1194" si="532">IF($K28= "Eligible", I1190, 0 )</f>
        <v>0</v>
      </c>
      <c r="J1194" s="193">
        <f t="shared" si="532"/>
        <v>0</v>
      </c>
      <c r="K1194" s="193">
        <f t="shared" si="532"/>
        <v>0</v>
      </c>
      <c r="L1194" s="193">
        <f t="shared" si="532"/>
        <v>0</v>
      </c>
      <c r="M1194" s="193">
        <f t="shared" si="532"/>
        <v>0</v>
      </c>
      <c r="N1194" s="193">
        <f t="shared" si="532"/>
        <v>0</v>
      </c>
      <c r="O1194" s="193">
        <f t="shared" si="532"/>
        <v>0</v>
      </c>
      <c r="P1194" s="193">
        <f t="shared" si="532"/>
        <v>0</v>
      </c>
      <c r="Q1194" s="193">
        <f t="shared" si="532"/>
        <v>0</v>
      </c>
      <c r="R1194" s="193">
        <f t="shared" si="532"/>
        <v>0</v>
      </c>
      <c r="S1194" s="193">
        <f t="shared" si="532"/>
        <v>0</v>
      </c>
      <c r="T1194" s="193">
        <f t="shared" si="532"/>
        <v>0</v>
      </c>
      <c r="U1194" s="224">
        <f t="shared" si="532"/>
        <v>0</v>
      </c>
      <c r="W1194" s="1"/>
      <c r="X1194" s="1"/>
      <c r="Y1194" s="1"/>
    </row>
    <row r="1195" spans="1:25">
      <c r="G1195" s="26" t="s">
        <v>120</v>
      </c>
      <c r="H1195" s="6"/>
      <c r="I1195" s="32">
        <f>SUM(I1193:I1194)</f>
        <v>0</v>
      </c>
      <c r="J1195" s="33">
        <f t="shared" ref="J1195:S1195" si="533">SUM(J1193:J1194)</f>
        <v>0</v>
      </c>
      <c r="K1195" s="33">
        <f t="shared" si="533"/>
        <v>0</v>
      </c>
      <c r="L1195" s="33">
        <f t="shared" si="533"/>
        <v>0</v>
      </c>
      <c r="M1195" s="33">
        <f t="shared" si="533"/>
        <v>0</v>
      </c>
      <c r="N1195" s="33">
        <f t="shared" si="533"/>
        <v>0</v>
      </c>
      <c r="O1195" s="33">
        <f t="shared" si="533"/>
        <v>0</v>
      </c>
      <c r="P1195" s="33">
        <f t="shared" si="533"/>
        <v>0</v>
      </c>
      <c r="Q1195" s="33">
        <f t="shared" si="533"/>
        <v>0</v>
      </c>
      <c r="R1195" s="33">
        <f t="shared" si="533"/>
        <v>0</v>
      </c>
      <c r="S1195" s="33">
        <f t="shared" si="533"/>
        <v>0</v>
      </c>
      <c r="T1195" s="33">
        <f t="shared" ref="T1195:U1195" si="534">SUM(T1193:T1194)</f>
        <v>0</v>
      </c>
      <c r="U1195" s="33">
        <f t="shared" si="534"/>
        <v>0</v>
      </c>
      <c r="W1195" s="1"/>
      <c r="X1195" s="1"/>
      <c r="Y1195" s="1"/>
    </row>
    <row r="1196" spans="1:25">
      <c r="I1196" s="31"/>
      <c r="J1196" s="24"/>
      <c r="K1196" s="24"/>
      <c r="L1196" s="24"/>
      <c r="M1196" s="24"/>
      <c r="N1196" s="24"/>
      <c r="O1196" s="24"/>
      <c r="P1196" s="24"/>
      <c r="Q1196" s="24"/>
      <c r="R1196" s="24"/>
      <c r="S1196" s="24"/>
      <c r="T1196" s="24"/>
      <c r="U1196" s="24"/>
      <c r="W1196" s="1"/>
      <c r="X1196" s="1"/>
      <c r="Y1196" s="1"/>
    </row>
    <row r="1197" spans="1:25" ht="18.75">
      <c r="F1197" s="9" t="s">
        <v>30</v>
      </c>
      <c r="I1197" s="2">
        <f t="shared" ref="I1197:S1197" si="535">I1186</f>
        <v>2011</v>
      </c>
      <c r="J1197" s="2">
        <f t="shared" si="535"/>
        <v>2012</v>
      </c>
      <c r="K1197" s="2">
        <f t="shared" si="535"/>
        <v>2013</v>
      </c>
      <c r="L1197" s="2">
        <f t="shared" si="535"/>
        <v>2014</v>
      </c>
      <c r="M1197" s="2">
        <f t="shared" si="535"/>
        <v>2015</v>
      </c>
      <c r="N1197" s="2">
        <f t="shared" si="535"/>
        <v>2016</v>
      </c>
      <c r="O1197" s="2">
        <f t="shared" si="535"/>
        <v>2017</v>
      </c>
      <c r="P1197" s="2">
        <f t="shared" si="535"/>
        <v>2018</v>
      </c>
      <c r="Q1197" s="2">
        <f t="shared" si="535"/>
        <v>2019</v>
      </c>
      <c r="R1197" s="2">
        <f t="shared" si="535"/>
        <v>2020</v>
      </c>
      <c r="S1197" s="2">
        <f t="shared" si="535"/>
        <v>2021</v>
      </c>
      <c r="T1197" s="2">
        <f t="shared" ref="T1197:U1197" si="536">T1186</f>
        <v>2022</v>
      </c>
      <c r="U1197" s="2">
        <f t="shared" si="536"/>
        <v>2023</v>
      </c>
      <c r="W1197" s="1"/>
      <c r="X1197" s="1"/>
      <c r="Y1197" s="1"/>
    </row>
    <row r="1198" spans="1:25">
      <c r="G1198" s="62" t="s">
        <v>47</v>
      </c>
      <c r="I1198" s="71"/>
      <c r="J1198" s="72"/>
      <c r="K1198" s="72"/>
      <c r="L1198" s="72"/>
      <c r="M1198" s="72"/>
      <c r="N1198" s="72"/>
      <c r="O1198" s="72"/>
      <c r="P1198" s="72"/>
      <c r="Q1198" s="72"/>
      <c r="R1198" s="72"/>
      <c r="S1198" s="72"/>
      <c r="T1198" s="72"/>
      <c r="U1198" s="73"/>
      <c r="W1198" s="1"/>
      <c r="X1198" s="1"/>
      <c r="Y1198" s="1"/>
    </row>
    <row r="1199" spans="1:25">
      <c r="G1199" s="63" t="s">
        <v>23</v>
      </c>
      <c r="H1199" s="134"/>
      <c r="I1199" s="74"/>
      <c r="J1199" s="75"/>
      <c r="K1199" s="75"/>
      <c r="L1199" s="75"/>
      <c r="M1199" s="75"/>
      <c r="N1199" s="75"/>
      <c r="O1199" s="75"/>
      <c r="P1199" s="75"/>
      <c r="Q1199" s="75"/>
      <c r="R1199" s="75"/>
      <c r="S1199" s="75"/>
      <c r="T1199" s="75"/>
      <c r="U1199" s="76"/>
      <c r="W1199" s="1"/>
      <c r="X1199" s="1"/>
      <c r="Y1199" s="1"/>
    </row>
    <row r="1200" spans="1:25">
      <c r="G1200" s="63" t="s">
        <v>89</v>
      </c>
      <c r="H1200" s="134"/>
      <c r="I1200" s="43"/>
      <c r="J1200" s="44"/>
      <c r="K1200" s="44"/>
      <c r="L1200" s="44"/>
      <c r="M1200" s="44"/>
      <c r="N1200" s="44"/>
      <c r="O1200" s="44"/>
      <c r="P1200" s="44"/>
      <c r="Q1200" s="44"/>
      <c r="R1200" s="44"/>
      <c r="S1200" s="44"/>
      <c r="T1200" s="44"/>
      <c r="U1200" s="45"/>
      <c r="W1200" s="1"/>
      <c r="X1200" s="1"/>
      <c r="Y1200" s="1"/>
    </row>
    <row r="1201" spans="6:25">
      <c r="G1201" s="26" t="s">
        <v>90</v>
      </c>
      <c r="I1201" s="7">
        <f t="shared" ref="I1201:S1201" si="537">SUM(I1198:I1200)</f>
        <v>0</v>
      </c>
      <c r="J1201" s="7">
        <f t="shared" si="537"/>
        <v>0</v>
      </c>
      <c r="K1201" s="7">
        <f t="shared" si="537"/>
        <v>0</v>
      </c>
      <c r="L1201" s="7">
        <f t="shared" si="537"/>
        <v>0</v>
      </c>
      <c r="M1201" s="7">
        <f t="shared" si="537"/>
        <v>0</v>
      </c>
      <c r="N1201" s="7">
        <f t="shared" si="537"/>
        <v>0</v>
      </c>
      <c r="O1201" s="7">
        <f t="shared" si="537"/>
        <v>0</v>
      </c>
      <c r="P1201" s="7">
        <f t="shared" si="537"/>
        <v>0</v>
      </c>
      <c r="Q1201" s="7">
        <f t="shared" si="537"/>
        <v>0</v>
      </c>
      <c r="R1201" s="7">
        <f t="shared" si="537"/>
        <v>0</v>
      </c>
      <c r="S1201" s="7">
        <f t="shared" si="537"/>
        <v>0</v>
      </c>
      <c r="T1201" s="7">
        <f t="shared" ref="T1201:U1201" si="538">SUM(T1198:T1200)</f>
        <v>0</v>
      </c>
      <c r="U1201" s="7">
        <f t="shared" si="538"/>
        <v>0</v>
      </c>
      <c r="W1201" s="1"/>
      <c r="X1201" s="1"/>
      <c r="Y1201" s="1"/>
    </row>
    <row r="1202" spans="6:25">
      <c r="G1202" s="6"/>
      <c r="I1202" s="7"/>
      <c r="J1202" s="7"/>
      <c r="K1202" s="7"/>
      <c r="L1202" s="23"/>
      <c r="M1202" s="23"/>
      <c r="N1202" s="23"/>
      <c r="O1202" s="23"/>
      <c r="P1202" s="23"/>
      <c r="Q1202" s="23"/>
      <c r="R1202" s="23"/>
      <c r="S1202" s="282"/>
      <c r="T1202" s="23"/>
      <c r="U1202" s="23"/>
      <c r="W1202" s="1"/>
      <c r="X1202" s="1"/>
      <c r="Y1202" s="1"/>
    </row>
    <row r="1203" spans="6:25" ht="18.75">
      <c r="F1203" s="9" t="s">
        <v>100</v>
      </c>
      <c r="I1203" s="2">
        <f>'Facility Detail'!$G$3260</f>
        <v>2011</v>
      </c>
      <c r="J1203" s="2">
        <f t="shared" ref="J1203" si="539">I1203+1</f>
        <v>2012</v>
      </c>
      <c r="K1203" s="2">
        <f t="shared" ref="K1203" si="540">J1203+1</f>
        <v>2013</v>
      </c>
      <c r="L1203" s="2">
        <f t="shared" ref="L1203" si="541">K1203+1</f>
        <v>2014</v>
      </c>
      <c r="M1203" s="2">
        <f t="shared" ref="M1203" si="542">L1203+1</f>
        <v>2015</v>
      </c>
      <c r="N1203" s="2">
        <f t="shared" ref="N1203" si="543">M1203+1</f>
        <v>2016</v>
      </c>
      <c r="O1203" s="2">
        <f t="shared" ref="O1203" si="544">N1203+1</f>
        <v>2017</v>
      </c>
      <c r="P1203" s="2">
        <f t="shared" ref="P1203" si="545">O1203+1</f>
        <v>2018</v>
      </c>
      <c r="Q1203" s="2">
        <f t="shared" ref="Q1203" si="546">P1203+1</f>
        <v>2019</v>
      </c>
      <c r="R1203" s="2">
        <f t="shared" ref="R1203" si="547">Q1203+1</f>
        <v>2020</v>
      </c>
      <c r="S1203" s="2">
        <f>R1203+1</f>
        <v>2021</v>
      </c>
      <c r="T1203" s="2">
        <f>S1203+1</f>
        <v>2022</v>
      </c>
      <c r="U1203" s="2">
        <f>T1203+1</f>
        <v>2023</v>
      </c>
      <c r="W1203" s="1"/>
      <c r="X1203" s="1"/>
      <c r="Y1203" s="1"/>
    </row>
    <row r="1204" spans="6:25">
      <c r="G1204" s="62" t="str">
        <f xml:space="preserve"> 'Facility Detail'!$G$3260 &amp; " Surplus Applied to " &amp; ( 'Facility Detail'!$G$3260 + 1 )</f>
        <v>2011 Surplus Applied to 2012</v>
      </c>
      <c r="I1204" s="3">
        <f>I1190</f>
        <v>18896</v>
      </c>
      <c r="J1204" s="46">
        <f>I1204</f>
        <v>18896</v>
      </c>
      <c r="K1204" s="106"/>
      <c r="L1204" s="106"/>
      <c r="M1204" s="106"/>
      <c r="N1204" s="106"/>
      <c r="O1204" s="106"/>
      <c r="P1204" s="106"/>
      <c r="Q1204" s="106"/>
      <c r="R1204" s="106"/>
      <c r="S1204" s="106"/>
      <c r="T1204" s="217"/>
      <c r="U1204" s="47"/>
      <c r="W1204" s="1"/>
      <c r="X1204" s="1"/>
      <c r="Y1204" s="1"/>
    </row>
    <row r="1205" spans="6:25">
      <c r="G1205" s="62" t="str">
        <f xml:space="preserve"> ( 'Facility Detail'!$G$3260 + 1 ) &amp; " Surplus Applied to " &amp; ( 'Facility Detail'!$G$3260 )</f>
        <v>2012 Surplus Applied to 2011</v>
      </c>
      <c r="I1205" s="127">
        <f>J1205</f>
        <v>0</v>
      </c>
      <c r="J1205" s="10"/>
      <c r="K1205" s="60"/>
      <c r="L1205" s="60"/>
      <c r="M1205" s="60"/>
      <c r="N1205" s="60"/>
      <c r="O1205" s="60"/>
      <c r="P1205" s="60"/>
      <c r="Q1205" s="60"/>
      <c r="R1205" s="60"/>
      <c r="S1205" s="60"/>
      <c r="T1205" s="218"/>
      <c r="U1205" s="128"/>
      <c r="W1205" s="1"/>
      <c r="X1205" s="1"/>
      <c r="Y1205" s="1"/>
    </row>
    <row r="1206" spans="6:25">
      <c r="G1206" s="62" t="str">
        <f xml:space="preserve"> ( 'Facility Detail'!$G$3260 + 1 ) &amp; " Surplus Applied to " &amp; ( 'Facility Detail'!$G$3260 + 2 )</f>
        <v>2012 Surplus Applied to 2013</v>
      </c>
      <c r="I1206" s="48"/>
      <c r="J1206" s="10">
        <f>J1190</f>
        <v>17608</v>
      </c>
      <c r="K1206" s="56">
        <f>J1206</f>
        <v>17608</v>
      </c>
      <c r="L1206" s="60"/>
      <c r="M1206" s="60"/>
      <c r="N1206" s="60"/>
      <c r="O1206" s="60"/>
      <c r="P1206" s="60"/>
      <c r="Q1206" s="60"/>
      <c r="R1206" s="60"/>
      <c r="S1206" s="60"/>
      <c r="T1206" s="218"/>
      <c r="U1206" s="128"/>
      <c r="W1206" s="1"/>
      <c r="X1206" s="1"/>
      <c r="Y1206" s="1"/>
    </row>
    <row r="1207" spans="6:25">
      <c r="G1207" s="62" t="str">
        <f xml:space="preserve"> ( 'Facility Detail'!$G$3260 + 2 ) &amp; " Surplus Applied to " &amp; ( 'Facility Detail'!$G$3260 + 1 )</f>
        <v>2013 Surplus Applied to 2012</v>
      </c>
      <c r="I1207" s="48"/>
      <c r="J1207" s="56">
        <f>K1207</f>
        <v>0</v>
      </c>
      <c r="K1207" s="10"/>
      <c r="L1207" s="60"/>
      <c r="M1207" s="60"/>
      <c r="N1207" s="60"/>
      <c r="O1207" s="60"/>
      <c r="P1207" s="60"/>
      <c r="Q1207" s="60"/>
      <c r="R1207" s="60"/>
      <c r="S1207" s="60"/>
      <c r="T1207" s="218"/>
      <c r="U1207" s="128"/>
      <c r="W1207" s="1"/>
      <c r="X1207" s="1"/>
      <c r="Y1207" s="1"/>
    </row>
    <row r="1208" spans="6:25">
      <c r="G1208" s="62" t="str">
        <f xml:space="preserve"> ( 'Facility Detail'!$G$3260 + 2 ) &amp; " Surplus Applied to " &amp; ( 'Facility Detail'!$G$3260 + 3 )</f>
        <v>2013 Surplus Applied to 2014</v>
      </c>
      <c r="I1208" s="48"/>
      <c r="J1208" s="118"/>
      <c r="K1208" s="10">
        <f>K1190</f>
        <v>17896</v>
      </c>
      <c r="L1208" s="119">
        <f>K1208</f>
        <v>17896</v>
      </c>
      <c r="M1208" s="60"/>
      <c r="N1208" s="60"/>
      <c r="O1208" s="60"/>
      <c r="P1208" s="60"/>
      <c r="Q1208" s="60"/>
      <c r="R1208" s="60"/>
      <c r="S1208" s="60"/>
      <c r="T1208" s="146"/>
      <c r="U1208" s="122"/>
      <c r="W1208" s="1"/>
      <c r="X1208" s="1"/>
      <c r="Y1208" s="1"/>
    </row>
    <row r="1209" spans="6:25">
      <c r="G1209" s="62" t="str">
        <f xml:space="preserve"> ( 'Facility Detail'!$G$3260 + 3 ) &amp; " Surplus Applied to " &amp; ( 'Facility Detail'!$G$3260 + 2 )</f>
        <v>2014 Surplus Applied to 2013</v>
      </c>
      <c r="I1209" s="48"/>
      <c r="J1209" s="118"/>
      <c r="K1209" s="56">
        <f>L1209</f>
        <v>0</v>
      </c>
      <c r="L1209" s="10"/>
      <c r="M1209" s="60"/>
      <c r="N1209" s="60"/>
      <c r="O1209" s="60"/>
      <c r="P1209" s="60"/>
      <c r="Q1209" s="60"/>
      <c r="R1209" s="60"/>
      <c r="S1209" s="60"/>
      <c r="T1209" s="146"/>
      <c r="U1209" s="122"/>
      <c r="W1209" s="1"/>
      <c r="X1209" s="1"/>
      <c r="Y1209" s="1"/>
    </row>
    <row r="1210" spans="6:25">
      <c r="G1210" s="62" t="str">
        <f xml:space="preserve"> ( 'Facility Detail'!$G$3260 + 3 ) &amp; " Surplus Applied to " &amp; ( 'Facility Detail'!$G$3260 + 4 )</f>
        <v>2014 Surplus Applied to 2015</v>
      </c>
      <c r="I1210" s="48"/>
      <c r="J1210" s="118"/>
      <c r="K1210" s="118"/>
      <c r="L1210" s="10">
        <f>L1190-6158</f>
        <v>11234</v>
      </c>
      <c r="M1210" s="119">
        <f>L1210</f>
        <v>11234</v>
      </c>
      <c r="N1210" s="118"/>
      <c r="O1210" s="60"/>
      <c r="P1210" s="60"/>
      <c r="Q1210" s="60"/>
      <c r="R1210" s="60"/>
      <c r="S1210" s="60"/>
      <c r="T1210" s="146"/>
      <c r="U1210" s="122"/>
      <c r="W1210" s="1"/>
      <c r="X1210" s="1"/>
      <c r="Y1210" s="1"/>
    </row>
    <row r="1211" spans="6:25">
      <c r="G1211" s="62" t="str">
        <f xml:space="preserve"> ( 'Facility Detail'!$G$3260 + 4 ) &amp; " Surplus Applied to " &amp; ( 'Facility Detail'!$G$3260 + 3 )</f>
        <v>2015 Surplus Applied to 2014</v>
      </c>
      <c r="I1211" s="48"/>
      <c r="J1211" s="118"/>
      <c r="K1211" s="118"/>
      <c r="L1211" s="56">
        <f>M1211</f>
        <v>0</v>
      </c>
      <c r="M1211" s="10"/>
      <c r="N1211" s="118"/>
      <c r="O1211" s="60"/>
      <c r="P1211" s="60"/>
      <c r="Q1211" s="60"/>
      <c r="R1211" s="60"/>
      <c r="S1211" s="60"/>
      <c r="T1211" s="146"/>
      <c r="U1211" s="122"/>
      <c r="W1211" s="1"/>
      <c r="X1211" s="1"/>
      <c r="Y1211" s="1"/>
    </row>
    <row r="1212" spans="6:25">
      <c r="G1212" s="62" t="str">
        <f xml:space="preserve"> ( 'Facility Detail'!$G$3260 + 4 ) &amp; " Surplus Applied to " &amp; ( 'Facility Detail'!$G$3260 + 5 )</f>
        <v>2015 Surplus Applied to 2016</v>
      </c>
      <c r="I1212" s="48"/>
      <c r="J1212" s="118"/>
      <c r="K1212" s="118"/>
      <c r="L1212" s="118"/>
      <c r="M1212" s="10">
        <v>5383</v>
      </c>
      <c r="N1212" s="119">
        <f>M1212</f>
        <v>5383</v>
      </c>
      <c r="O1212" s="60"/>
      <c r="P1212" s="60"/>
      <c r="Q1212" s="60"/>
      <c r="R1212" s="60"/>
      <c r="S1212" s="60"/>
      <c r="T1212" s="146"/>
      <c r="U1212" s="122"/>
      <c r="W1212" s="1"/>
      <c r="X1212" s="1"/>
      <c r="Y1212" s="1"/>
    </row>
    <row r="1213" spans="6:25">
      <c r="G1213" s="62" t="str">
        <f xml:space="preserve"> ( 'Facility Detail'!$G$3260 + 5 ) &amp; " Surplus Applied to " &amp; ( 'Facility Detail'!$G$3260 + 4 )</f>
        <v>2016 Surplus Applied to 2015</v>
      </c>
      <c r="I1213" s="48"/>
      <c r="J1213" s="118"/>
      <c r="K1213" s="118"/>
      <c r="L1213" s="118"/>
      <c r="M1213" s="56">
        <f>N1213</f>
        <v>0</v>
      </c>
      <c r="N1213" s="10"/>
      <c r="O1213" s="60"/>
      <c r="P1213" s="60"/>
      <c r="Q1213" s="60"/>
      <c r="R1213" s="60"/>
      <c r="S1213" s="60"/>
      <c r="T1213" s="146"/>
      <c r="U1213" s="122"/>
      <c r="W1213" s="1"/>
      <c r="X1213" s="1"/>
      <c r="Y1213" s="1"/>
    </row>
    <row r="1214" spans="6:25">
      <c r="G1214" s="62" t="str">
        <f xml:space="preserve"> ( 'Facility Detail'!$G$3260 + 5 ) &amp; " Surplus Applied to " &amp; ( 'Facility Detail'!$G$3260 + 6 )</f>
        <v>2016 Surplus Applied to 2017</v>
      </c>
      <c r="I1214" s="48"/>
      <c r="J1214" s="118"/>
      <c r="K1214" s="118"/>
      <c r="L1214" s="118"/>
      <c r="M1214" s="118"/>
      <c r="N1214" s="149"/>
      <c r="O1214" s="120">
        <f>N1214</f>
        <v>0</v>
      </c>
      <c r="P1214" s="60"/>
      <c r="Q1214" s="60"/>
      <c r="R1214" s="60"/>
      <c r="S1214" s="60"/>
      <c r="T1214" s="146"/>
      <c r="U1214" s="122"/>
      <c r="W1214" s="1"/>
      <c r="X1214" s="1"/>
      <c r="Y1214" s="1"/>
    </row>
    <row r="1215" spans="6:25">
      <c r="G1215" s="62" t="s">
        <v>167</v>
      </c>
      <c r="I1215" s="48"/>
      <c r="J1215" s="118"/>
      <c r="K1215" s="118"/>
      <c r="L1215" s="118"/>
      <c r="M1215" s="118"/>
      <c r="N1215" s="150">
        <f>O1215</f>
        <v>0</v>
      </c>
      <c r="O1215" s="121"/>
      <c r="P1215" s="60"/>
      <c r="Q1215" s="60"/>
      <c r="R1215" s="60"/>
      <c r="S1215" s="60"/>
      <c r="T1215" s="146"/>
      <c r="U1215" s="122"/>
      <c r="W1215" s="1"/>
      <c r="X1215" s="1"/>
      <c r="Y1215" s="1"/>
    </row>
    <row r="1216" spans="6:25">
      <c r="G1216" s="62" t="s">
        <v>168</v>
      </c>
      <c r="I1216" s="48"/>
      <c r="J1216" s="118"/>
      <c r="K1216" s="118"/>
      <c r="L1216" s="118"/>
      <c r="M1216" s="118"/>
      <c r="N1216" s="118"/>
      <c r="O1216" s="121"/>
      <c r="P1216" s="120">
        <f>O1216</f>
        <v>0</v>
      </c>
      <c r="Q1216" s="60"/>
      <c r="R1216" s="60"/>
      <c r="S1216" s="60"/>
      <c r="T1216" s="146"/>
      <c r="U1216" s="122"/>
      <c r="W1216" s="1"/>
      <c r="X1216" s="1"/>
      <c r="Y1216" s="1"/>
    </row>
    <row r="1217" spans="2:25">
      <c r="G1217" s="62" t="s">
        <v>185</v>
      </c>
      <c r="I1217" s="48"/>
      <c r="J1217" s="118"/>
      <c r="K1217" s="118"/>
      <c r="L1217" s="118"/>
      <c r="M1217" s="118"/>
      <c r="N1217" s="118"/>
      <c r="O1217" s="120">
        <f>P1217</f>
        <v>0</v>
      </c>
      <c r="P1217" s="121"/>
      <c r="Q1217" s="60"/>
      <c r="R1217" s="60"/>
      <c r="S1217" s="60"/>
      <c r="T1217" s="146"/>
      <c r="U1217" s="122"/>
      <c r="W1217" s="1"/>
      <c r="X1217" s="1"/>
      <c r="Y1217" s="1"/>
    </row>
    <row r="1218" spans="2:25">
      <c r="G1218" s="62" t="s">
        <v>186</v>
      </c>
      <c r="I1218" s="48"/>
      <c r="J1218" s="118"/>
      <c r="K1218" s="118"/>
      <c r="L1218" s="118"/>
      <c r="M1218" s="118"/>
      <c r="N1218" s="118"/>
      <c r="O1218" s="118"/>
      <c r="P1218" s="121"/>
      <c r="Q1218" s="56">
        <f>P1218</f>
        <v>0</v>
      </c>
      <c r="R1218" s="60"/>
      <c r="S1218" s="60"/>
      <c r="T1218" s="146"/>
      <c r="U1218" s="122"/>
      <c r="W1218" s="1"/>
      <c r="X1218" s="1"/>
      <c r="Y1218" s="1"/>
    </row>
    <row r="1219" spans="2:25">
      <c r="G1219" s="62" t="s">
        <v>187</v>
      </c>
      <c r="I1219" s="48"/>
      <c r="J1219" s="118"/>
      <c r="K1219" s="118"/>
      <c r="L1219" s="118"/>
      <c r="M1219" s="118"/>
      <c r="N1219" s="118"/>
      <c r="O1219" s="118"/>
      <c r="P1219" s="120">
        <f>Q1219</f>
        <v>0</v>
      </c>
      <c r="Q1219" s="306"/>
      <c r="R1219" s="60"/>
      <c r="S1219" s="60"/>
      <c r="T1219" s="146"/>
      <c r="U1219" s="122"/>
      <c r="W1219" s="1"/>
      <c r="X1219" s="1"/>
      <c r="Y1219" s="1"/>
    </row>
    <row r="1220" spans="2:25">
      <c r="G1220" s="62" t="s">
        <v>188</v>
      </c>
      <c r="I1220" s="48"/>
      <c r="J1220" s="118"/>
      <c r="K1220" s="118"/>
      <c r="L1220" s="118"/>
      <c r="M1220" s="118"/>
      <c r="N1220" s="118"/>
      <c r="O1220" s="118"/>
      <c r="P1220" s="118"/>
      <c r="Q1220" s="121"/>
      <c r="R1220" s="151">
        <f>Q1220</f>
        <v>0</v>
      </c>
      <c r="S1220" s="60"/>
      <c r="T1220" s="146"/>
      <c r="U1220" s="122"/>
      <c r="W1220" s="1"/>
      <c r="X1220" s="1"/>
      <c r="Y1220" s="1"/>
    </row>
    <row r="1221" spans="2:25">
      <c r="G1221" s="62" t="s">
        <v>189</v>
      </c>
      <c r="I1221" s="48"/>
      <c r="J1221" s="118"/>
      <c r="K1221" s="118"/>
      <c r="L1221" s="118"/>
      <c r="M1221" s="118"/>
      <c r="N1221" s="118"/>
      <c r="O1221" s="118"/>
      <c r="P1221" s="118"/>
      <c r="Q1221" s="151">
        <f>R1221</f>
        <v>0</v>
      </c>
      <c r="R1221" s="173"/>
      <c r="S1221" s="60"/>
      <c r="T1221" s="146"/>
      <c r="U1221" s="122"/>
      <c r="W1221" s="1"/>
      <c r="X1221" s="1"/>
      <c r="Y1221" s="1"/>
    </row>
    <row r="1222" spans="2:25">
      <c r="G1222" s="62" t="s">
        <v>190</v>
      </c>
      <c r="I1222" s="48"/>
      <c r="J1222" s="118"/>
      <c r="K1222" s="118"/>
      <c r="L1222" s="118"/>
      <c r="M1222" s="118"/>
      <c r="N1222" s="118"/>
      <c r="O1222" s="118"/>
      <c r="P1222" s="118"/>
      <c r="Q1222" s="118"/>
      <c r="R1222" s="173"/>
      <c r="S1222" s="151">
        <f>R1222</f>
        <v>0</v>
      </c>
      <c r="T1222" s="146"/>
      <c r="U1222" s="122"/>
      <c r="W1222" s="1"/>
      <c r="X1222" s="1"/>
      <c r="Y1222" s="1"/>
    </row>
    <row r="1223" spans="2:25">
      <c r="G1223" s="62" t="s">
        <v>199</v>
      </c>
      <c r="I1223" s="48"/>
      <c r="J1223" s="118"/>
      <c r="K1223" s="118"/>
      <c r="L1223" s="118"/>
      <c r="M1223" s="118"/>
      <c r="N1223" s="118"/>
      <c r="O1223" s="118"/>
      <c r="P1223" s="118"/>
      <c r="Q1223" s="118"/>
      <c r="R1223" s="120">
        <v>10000</v>
      </c>
      <c r="S1223" s="173">
        <v>10000</v>
      </c>
      <c r="T1223" s="146"/>
      <c r="U1223" s="122"/>
      <c r="W1223" s="1"/>
      <c r="X1223" s="1"/>
      <c r="Y1223" s="1"/>
    </row>
    <row r="1224" spans="2:25">
      <c r="G1224" s="62" t="s">
        <v>200</v>
      </c>
      <c r="I1224" s="48"/>
      <c r="J1224" s="118"/>
      <c r="K1224" s="118"/>
      <c r="L1224" s="118"/>
      <c r="M1224" s="118"/>
      <c r="N1224" s="118"/>
      <c r="O1224" s="118"/>
      <c r="P1224" s="118"/>
      <c r="Q1224" s="118"/>
      <c r="R1224" s="118"/>
      <c r="S1224" s="173"/>
      <c r="T1224" s="151">
        <f>S1224</f>
        <v>0</v>
      </c>
      <c r="U1224" s="122"/>
      <c r="W1224" s="1"/>
      <c r="X1224" s="1"/>
      <c r="Y1224" s="1"/>
    </row>
    <row r="1225" spans="2:25">
      <c r="G1225" s="62" t="s">
        <v>308</v>
      </c>
      <c r="I1225" s="48"/>
      <c r="J1225" s="118"/>
      <c r="K1225" s="118"/>
      <c r="L1225" s="118"/>
      <c r="M1225" s="118"/>
      <c r="N1225" s="118"/>
      <c r="O1225" s="118"/>
      <c r="P1225" s="118"/>
      <c r="Q1225" s="118"/>
      <c r="R1225" s="118"/>
      <c r="S1225" s="120">
        <f>T1225</f>
        <v>0</v>
      </c>
      <c r="T1225" s="173"/>
      <c r="U1225" s="122"/>
      <c r="W1225" s="1"/>
      <c r="X1225" s="1"/>
      <c r="Y1225" s="1"/>
    </row>
    <row r="1226" spans="2:25">
      <c r="G1226" s="62" t="s">
        <v>307</v>
      </c>
      <c r="I1226" s="114"/>
      <c r="J1226" s="107"/>
      <c r="K1226" s="107"/>
      <c r="L1226" s="107"/>
      <c r="M1226" s="107"/>
      <c r="N1226" s="107"/>
      <c r="O1226" s="107"/>
      <c r="P1226" s="107"/>
      <c r="Q1226" s="107"/>
      <c r="R1226" s="107"/>
      <c r="S1226" s="107"/>
      <c r="T1226" s="173"/>
      <c r="U1226" s="456">
        <f>T1226</f>
        <v>0</v>
      </c>
      <c r="W1226" s="1"/>
      <c r="X1226" s="1"/>
      <c r="Y1226" s="1"/>
    </row>
    <row r="1227" spans="2:25">
      <c r="G1227" s="62" t="s">
        <v>318</v>
      </c>
      <c r="I1227" s="114"/>
      <c r="J1227" s="107"/>
      <c r="K1227" s="107"/>
      <c r="L1227" s="107"/>
      <c r="M1227" s="107"/>
      <c r="N1227" s="107"/>
      <c r="O1227" s="107"/>
      <c r="P1227" s="107"/>
      <c r="Q1227" s="107"/>
      <c r="R1227" s="107"/>
      <c r="S1227" s="107"/>
      <c r="T1227" s="120">
        <f>U1227</f>
        <v>0</v>
      </c>
      <c r="U1227" s="457"/>
      <c r="W1227" s="1"/>
      <c r="X1227" s="1"/>
      <c r="Y1227" s="1"/>
    </row>
    <row r="1228" spans="2:25">
      <c r="G1228" s="62" t="s">
        <v>319</v>
      </c>
      <c r="I1228" s="49"/>
      <c r="J1228" s="194"/>
      <c r="K1228" s="194"/>
      <c r="L1228" s="194"/>
      <c r="M1228" s="194"/>
      <c r="N1228" s="194"/>
      <c r="O1228" s="194"/>
      <c r="P1228" s="194"/>
      <c r="Q1228" s="194"/>
      <c r="R1228" s="194"/>
      <c r="S1228" s="194"/>
      <c r="T1228" s="194"/>
      <c r="U1228" s="458"/>
      <c r="W1228" s="1"/>
      <c r="X1228" s="1"/>
      <c r="Y1228" s="1"/>
    </row>
    <row r="1229" spans="2:25">
      <c r="B1229" s="1" t="s">
        <v>127</v>
      </c>
      <c r="G1229" s="26" t="s">
        <v>17</v>
      </c>
      <c r="I1229" s="7">
        <f xml:space="preserve"> I1205 - I1204</f>
        <v>-18896</v>
      </c>
      <c r="J1229" s="7">
        <f xml:space="preserve"> J1204 + J1207 - J1206 - J1205</f>
        <v>1288</v>
      </c>
      <c r="K1229" s="7">
        <f>K1206 - K1207 - K1208</f>
        <v>-288</v>
      </c>
      <c r="L1229" s="7">
        <f>L1208-L1209-L1210</f>
        <v>6662</v>
      </c>
      <c r="M1229" s="7">
        <f>M1210-M1211-M1212</f>
        <v>5851</v>
      </c>
      <c r="N1229" s="7">
        <f>N1212-N1213-N1214</f>
        <v>5383</v>
      </c>
      <c r="O1229" s="7">
        <f>O1214-O1215-O1216</f>
        <v>0</v>
      </c>
      <c r="P1229" s="154">
        <f>P1216-P1217-P1218</f>
        <v>0</v>
      </c>
      <c r="Q1229" s="154">
        <f>Q1218-Q1219-Q1220</f>
        <v>0</v>
      </c>
      <c r="R1229" s="154">
        <f>R1223</f>
        <v>10000</v>
      </c>
      <c r="S1229" s="7">
        <f>S1222-S1223-S1224</f>
        <v>-10000</v>
      </c>
      <c r="T1229" s="7">
        <f>T1224-T1225-T1226+T1227</f>
        <v>0</v>
      </c>
      <c r="U1229" s="7">
        <f>U1224-U1225-U1226</f>
        <v>0</v>
      </c>
      <c r="W1229" s="1"/>
      <c r="X1229" s="1"/>
      <c r="Y1229" s="1"/>
    </row>
    <row r="1230" spans="2:25">
      <c r="G1230" s="6"/>
      <c r="I1230" s="154"/>
      <c r="J1230" s="154"/>
      <c r="K1230" s="154"/>
      <c r="L1230" s="154"/>
      <c r="M1230" s="154"/>
      <c r="N1230" s="154"/>
      <c r="O1230" s="154"/>
      <c r="P1230" s="154"/>
      <c r="Q1230" s="154"/>
      <c r="R1230" s="154"/>
      <c r="S1230" s="154"/>
      <c r="T1230" s="154"/>
      <c r="U1230" s="154"/>
      <c r="W1230" s="1"/>
      <c r="X1230" s="1"/>
      <c r="Y1230" s="1"/>
    </row>
    <row r="1231" spans="2:25">
      <c r="G1231" s="26" t="s">
        <v>12</v>
      </c>
      <c r="H1231" s="57"/>
      <c r="I1231" s="155"/>
      <c r="J1231" s="156"/>
      <c r="K1231" s="156"/>
      <c r="L1231" s="156"/>
      <c r="M1231" s="156"/>
      <c r="N1231" s="156"/>
      <c r="O1231" s="156"/>
      <c r="P1231" s="156"/>
      <c r="Q1231" s="156"/>
      <c r="R1231" s="156"/>
      <c r="S1231" s="156"/>
      <c r="T1231" s="156"/>
      <c r="U1231" s="267"/>
      <c r="W1231" s="1"/>
      <c r="X1231" s="1"/>
      <c r="Y1231" s="1"/>
    </row>
    <row r="1232" spans="2:25">
      <c r="G1232" s="6"/>
      <c r="I1232" s="154"/>
      <c r="J1232" s="154"/>
      <c r="K1232" s="154"/>
      <c r="L1232" s="154"/>
      <c r="M1232" s="154"/>
      <c r="N1232" s="154"/>
      <c r="O1232" s="154"/>
      <c r="P1232" s="154"/>
      <c r="Q1232" s="154"/>
      <c r="R1232" s="154"/>
      <c r="S1232" s="154"/>
      <c r="T1232" s="154"/>
      <c r="U1232" s="154"/>
      <c r="W1232" s="1"/>
      <c r="X1232" s="1"/>
      <c r="Y1232" s="1"/>
    </row>
    <row r="1233" spans="1:25" ht="18.75">
      <c r="C1233" s="1" t="s">
        <v>127</v>
      </c>
      <c r="D1233" s="1" t="s">
        <v>128</v>
      </c>
      <c r="E1233" s="1" t="s">
        <v>107</v>
      </c>
      <c r="F1233" s="9" t="s">
        <v>26</v>
      </c>
      <c r="H1233" s="57"/>
      <c r="I1233" s="157">
        <f t="shared" ref="I1233:R1233" si="548" xml:space="preserve"> I1190 + I1195 - I1201 + I1229 + I1231</f>
        <v>0</v>
      </c>
      <c r="J1233" s="158">
        <f t="shared" si="548"/>
        <v>18896</v>
      </c>
      <c r="K1233" s="158">
        <f t="shared" si="548"/>
        <v>17608</v>
      </c>
      <c r="L1233" s="158">
        <f t="shared" si="548"/>
        <v>24054</v>
      </c>
      <c r="M1233" s="158">
        <f t="shared" si="548"/>
        <v>20890</v>
      </c>
      <c r="N1233" s="158">
        <f t="shared" si="548"/>
        <v>23675</v>
      </c>
      <c r="O1233" s="158">
        <f t="shared" si="548"/>
        <v>15514</v>
      </c>
      <c r="P1233" s="158">
        <f t="shared" si="548"/>
        <v>18315</v>
      </c>
      <c r="Q1233" s="158">
        <f t="shared" si="548"/>
        <v>4420.5681815800917</v>
      </c>
      <c r="R1233" s="158">
        <f t="shared" si="548"/>
        <v>36561.537003116537</v>
      </c>
      <c r="S1233" s="298">
        <f>S1190-S1223</f>
        <v>13609</v>
      </c>
      <c r="T1233" s="158">
        <f>T1190-T1223</f>
        <v>20928</v>
      </c>
      <c r="U1233" s="268">
        <f>U1190-U1223</f>
        <v>18602.72048648338</v>
      </c>
      <c r="W1233" s="1"/>
      <c r="X1233" s="1"/>
      <c r="Y1233" s="1"/>
    </row>
    <row r="1234" spans="1:25">
      <c r="G1234" s="6"/>
      <c r="I1234" s="7"/>
      <c r="J1234" s="7"/>
      <c r="K1234" s="7"/>
      <c r="L1234" s="23"/>
      <c r="M1234" s="23"/>
      <c r="N1234" s="23"/>
      <c r="O1234" s="23"/>
      <c r="P1234" s="23"/>
      <c r="Q1234" s="23"/>
      <c r="R1234" s="23"/>
      <c r="S1234" s="282"/>
      <c r="T1234" s="23"/>
      <c r="U1234" s="23"/>
      <c r="W1234" s="1"/>
      <c r="X1234" s="1"/>
      <c r="Y1234" s="1"/>
    </row>
    <row r="1235" spans="1:25" ht="15.75" thickBot="1">
      <c r="W1235" s="1"/>
      <c r="X1235" s="1"/>
      <c r="Y1235" s="1"/>
    </row>
    <row r="1236" spans="1:25" ht="15.75" thickBot="1">
      <c r="F1236" s="8"/>
      <c r="G1236" s="8"/>
      <c r="H1236" s="8"/>
      <c r="I1236" s="8"/>
      <c r="J1236" s="8"/>
      <c r="K1236" s="8"/>
      <c r="L1236" s="8"/>
      <c r="M1236" s="8"/>
      <c r="N1236" s="8"/>
      <c r="O1236" s="8"/>
      <c r="P1236" s="8"/>
      <c r="Q1236" s="8"/>
      <c r="R1236" s="8"/>
      <c r="S1236" s="290"/>
      <c r="T1236" s="8"/>
      <c r="U1236" s="8"/>
      <c r="W1236" s="1"/>
      <c r="X1236" s="1"/>
      <c r="Y1236" s="1"/>
    </row>
    <row r="1237" spans="1:25" ht="21.75" thickBot="1">
      <c r="F1237" s="13" t="s">
        <v>4</v>
      </c>
      <c r="G1237" s="13"/>
      <c r="H1237" s="185" t="s">
        <v>197</v>
      </c>
      <c r="I1237" s="183"/>
      <c r="W1237" s="1"/>
      <c r="X1237" s="1"/>
      <c r="Y1237" s="1"/>
    </row>
    <row r="1238" spans="1:25">
      <c r="W1238" s="1"/>
      <c r="X1238" s="1"/>
      <c r="Y1238" s="1"/>
    </row>
    <row r="1239" spans="1:25" ht="18.75">
      <c r="F1239" s="9" t="s">
        <v>21</v>
      </c>
      <c r="G1239" s="9"/>
      <c r="I1239" s="2">
        <f>'Facility Detail'!$G$3260</f>
        <v>2011</v>
      </c>
      <c r="J1239" s="2">
        <f>I1239+1</f>
        <v>2012</v>
      </c>
      <c r="K1239" s="2">
        <f t="shared" ref="K1239:R1239" si="549">J1239+1</f>
        <v>2013</v>
      </c>
      <c r="L1239" s="2">
        <f t="shared" si="549"/>
        <v>2014</v>
      </c>
      <c r="M1239" s="2">
        <f t="shared" si="549"/>
        <v>2015</v>
      </c>
      <c r="N1239" s="2">
        <f t="shared" si="549"/>
        <v>2016</v>
      </c>
      <c r="O1239" s="2">
        <f t="shared" si="549"/>
        <v>2017</v>
      </c>
      <c r="P1239" s="2">
        <f t="shared" si="549"/>
        <v>2018</v>
      </c>
      <c r="Q1239" s="2">
        <f t="shared" si="549"/>
        <v>2019</v>
      </c>
      <c r="R1239" s="2">
        <f t="shared" si="549"/>
        <v>2020</v>
      </c>
      <c r="S1239" s="304">
        <f>R1239+1</f>
        <v>2021</v>
      </c>
      <c r="T1239" s="2">
        <f>S1239+1</f>
        <v>2022</v>
      </c>
      <c r="U1239" s="2">
        <f>T1239+1</f>
        <v>2023</v>
      </c>
      <c r="W1239" s="1"/>
      <c r="X1239" s="1"/>
      <c r="Y1239" s="1"/>
    </row>
    <row r="1240" spans="1:25">
      <c r="G1240" s="62" t="str">
        <f>"Total MWh Produced / Purchased from " &amp; H1237</f>
        <v>Total MWh Produced / Purchased from Granite Mountain East</v>
      </c>
      <c r="H1240" s="57"/>
      <c r="I1240" s="3"/>
      <c r="J1240" s="4"/>
      <c r="K1240" s="4"/>
      <c r="L1240" s="4"/>
      <c r="M1240" s="4"/>
      <c r="N1240" s="4"/>
      <c r="O1240" s="4"/>
      <c r="P1240" s="4"/>
      <c r="Q1240" s="4"/>
      <c r="R1240" s="4">
        <v>75000</v>
      </c>
      <c r="S1240" s="308"/>
      <c r="T1240" s="4"/>
      <c r="U1240" s="5"/>
      <c r="W1240" s="1"/>
      <c r="X1240" s="1"/>
      <c r="Y1240" s="1"/>
    </row>
    <row r="1241" spans="1:25">
      <c r="G1241" s="62" t="s">
        <v>25</v>
      </c>
      <c r="H1241" s="57"/>
      <c r="I1241" s="269"/>
      <c r="J1241" s="41"/>
      <c r="K1241" s="41"/>
      <c r="L1241" s="41"/>
      <c r="M1241" s="41"/>
      <c r="N1241" s="41"/>
      <c r="O1241" s="41"/>
      <c r="P1241" s="41"/>
      <c r="Q1241" s="41"/>
      <c r="R1241" s="41">
        <v>1</v>
      </c>
      <c r="S1241" s="309"/>
      <c r="T1241" s="41"/>
      <c r="U1241" s="42"/>
      <c r="W1241" s="1"/>
      <c r="X1241" s="1"/>
      <c r="Y1241" s="1"/>
    </row>
    <row r="1242" spans="1:25">
      <c r="G1242" s="62" t="s">
        <v>20</v>
      </c>
      <c r="H1242" s="57"/>
      <c r="I1242" s="270"/>
      <c r="J1242" s="36"/>
      <c r="K1242" s="36"/>
      <c r="L1242" s="36"/>
      <c r="M1242" s="36"/>
      <c r="N1242" s="36"/>
      <c r="O1242" s="36"/>
      <c r="P1242" s="36"/>
      <c r="Q1242" s="36"/>
      <c r="R1242" s="36">
        <v>1</v>
      </c>
      <c r="S1242" s="310"/>
      <c r="T1242" s="36"/>
      <c r="U1242" s="37"/>
      <c r="W1242" s="1"/>
      <c r="X1242" s="1"/>
      <c r="Y1242" s="1"/>
    </row>
    <row r="1243" spans="1:25">
      <c r="A1243" s="1" t="s">
        <v>197</v>
      </c>
      <c r="G1243" s="26" t="s">
        <v>22</v>
      </c>
      <c r="H1243" s="6"/>
      <c r="I1243" s="30">
        <v>0</v>
      </c>
      <c r="J1243" s="30">
        <v>0</v>
      </c>
      <c r="K1243" s="30">
        <v>0</v>
      </c>
      <c r="L1243" s="30">
        <v>0</v>
      </c>
      <c r="M1243" s="30">
        <v>0</v>
      </c>
      <c r="N1243" s="161">
        <v>0</v>
      </c>
      <c r="O1243" s="161">
        <v>0</v>
      </c>
      <c r="P1243" s="161">
        <v>0</v>
      </c>
      <c r="Q1243" s="161">
        <v>0</v>
      </c>
      <c r="R1243" s="161">
        <f>R1240*R1242</f>
        <v>75000</v>
      </c>
      <c r="S1243" s="311">
        <v>0</v>
      </c>
      <c r="T1243" s="161">
        <v>0</v>
      </c>
      <c r="U1243" s="161">
        <v>0</v>
      </c>
      <c r="W1243" s="1"/>
      <c r="X1243" s="1"/>
      <c r="Y1243" s="1"/>
    </row>
    <row r="1244" spans="1:25">
      <c r="I1244" s="29"/>
      <c r="J1244" s="29"/>
      <c r="K1244" s="29"/>
      <c r="L1244" s="29"/>
      <c r="M1244" s="29"/>
      <c r="N1244" s="20"/>
      <c r="O1244" s="20"/>
      <c r="P1244" s="20"/>
      <c r="Q1244" s="20"/>
      <c r="R1244" s="20"/>
      <c r="S1244" s="312"/>
      <c r="T1244" s="20"/>
      <c r="U1244" s="20"/>
      <c r="W1244" s="1"/>
      <c r="X1244" s="1"/>
      <c r="Y1244" s="1"/>
    </row>
    <row r="1245" spans="1:25" ht="18.75">
      <c r="F1245" s="9" t="s">
        <v>118</v>
      </c>
      <c r="I1245" s="2">
        <f>'Facility Detail'!$G$3260</f>
        <v>2011</v>
      </c>
      <c r="J1245" s="2">
        <f>I1245+1</f>
        <v>2012</v>
      </c>
      <c r="K1245" s="2">
        <f t="shared" ref="K1245:R1245" si="550">J1245+1</f>
        <v>2013</v>
      </c>
      <c r="L1245" s="2">
        <f t="shared" si="550"/>
        <v>2014</v>
      </c>
      <c r="M1245" s="2">
        <f t="shared" si="550"/>
        <v>2015</v>
      </c>
      <c r="N1245" s="2">
        <f t="shared" si="550"/>
        <v>2016</v>
      </c>
      <c r="O1245" s="2">
        <f t="shared" si="550"/>
        <v>2017</v>
      </c>
      <c r="P1245" s="2">
        <f t="shared" si="550"/>
        <v>2018</v>
      </c>
      <c r="Q1245" s="2">
        <f t="shared" si="550"/>
        <v>2019</v>
      </c>
      <c r="R1245" s="2">
        <f t="shared" si="550"/>
        <v>2020</v>
      </c>
      <c r="S1245" s="304">
        <f>R1245+1</f>
        <v>2021</v>
      </c>
      <c r="T1245" s="2">
        <f>S1245+1</f>
        <v>2022</v>
      </c>
      <c r="U1245" s="2">
        <f>T1245+1</f>
        <v>2023</v>
      </c>
      <c r="W1245" s="1"/>
      <c r="X1245" s="1"/>
      <c r="Y1245" s="1"/>
    </row>
    <row r="1246" spans="1:25">
      <c r="G1246" s="62" t="s">
        <v>10</v>
      </c>
      <c r="H1246" s="57"/>
      <c r="I1246" s="38">
        <f>IF($J29 = "Eligible", I1243 * 'Facility Detail'!$G$3257, 0 )</f>
        <v>0</v>
      </c>
      <c r="J1246" s="11">
        <f>IF($J29 = "Eligible", J1243 * 'Facility Detail'!$G$3257, 0 )</f>
        <v>0</v>
      </c>
      <c r="K1246" s="11">
        <f>IF($J29 = "Eligible", K1243 * 'Facility Detail'!$G$3257, 0 )</f>
        <v>0</v>
      </c>
      <c r="L1246" s="11">
        <f>IF($J29 = "Eligible", L1243 * 'Facility Detail'!$G$3257, 0 )</f>
        <v>0</v>
      </c>
      <c r="M1246" s="11">
        <f>IF($J29 = "Eligible", M1243 * 'Facility Detail'!$G$3257, 0 )</f>
        <v>0</v>
      </c>
      <c r="N1246" s="11">
        <f>IF($J29 = "Eligible", N1243 * 'Facility Detail'!$G$3257, 0 )</f>
        <v>0</v>
      </c>
      <c r="O1246" s="11">
        <f>IF($J29 = "Eligible", O1243 * 'Facility Detail'!$G$3257, 0 )</f>
        <v>0</v>
      </c>
      <c r="P1246" s="11">
        <f>IF($J29 = "Eligible", P1243 * 'Facility Detail'!$G$3257, 0 )</f>
        <v>0</v>
      </c>
      <c r="Q1246" s="11">
        <f>IF($J29 = "Eligible", Q1243 * 'Facility Detail'!$G$3257, 0 )</f>
        <v>0</v>
      </c>
      <c r="R1246" s="11">
        <f>IF($J29 = "Eligible", R1243 * 'Facility Detail'!$G$3257, 0 )</f>
        <v>0</v>
      </c>
      <c r="S1246" s="313">
        <f>IF($J29 = "Eligible", S1243 * 'Facility Detail'!$G$3257, 0 )</f>
        <v>0</v>
      </c>
      <c r="T1246" s="11">
        <f>IF($J29 = "Eligible", T1243 * 'Facility Detail'!$G$3257, 0 )</f>
        <v>0</v>
      </c>
      <c r="U1246" s="223">
        <f>IF($J29 = "Eligible", U1243 * 'Facility Detail'!$G$3257, 0 )</f>
        <v>0</v>
      </c>
      <c r="W1246" s="1"/>
      <c r="X1246" s="1"/>
      <c r="Y1246" s="1"/>
    </row>
    <row r="1247" spans="1:25">
      <c r="G1247" s="62" t="s">
        <v>6</v>
      </c>
      <c r="H1247" s="57"/>
      <c r="I1247" s="39">
        <f t="shared" ref="I1247:U1247" si="551">IF($K29= "Eligible", I1243, 0 )</f>
        <v>0</v>
      </c>
      <c r="J1247" s="193">
        <f t="shared" si="551"/>
        <v>0</v>
      </c>
      <c r="K1247" s="193">
        <f t="shared" si="551"/>
        <v>0</v>
      </c>
      <c r="L1247" s="193">
        <f t="shared" si="551"/>
        <v>0</v>
      </c>
      <c r="M1247" s="193">
        <f t="shared" si="551"/>
        <v>0</v>
      </c>
      <c r="N1247" s="193">
        <f t="shared" si="551"/>
        <v>0</v>
      </c>
      <c r="O1247" s="193">
        <f t="shared" si="551"/>
        <v>0</v>
      </c>
      <c r="P1247" s="193">
        <f t="shared" si="551"/>
        <v>0</v>
      </c>
      <c r="Q1247" s="193">
        <f t="shared" si="551"/>
        <v>0</v>
      </c>
      <c r="R1247" s="193">
        <f t="shared" si="551"/>
        <v>0</v>
      </c>
      <c r="S1247" s="314">
        <f t="shared" si="551"/>
        <v>0</v>
      </c>
      <c r="T1247" s="193">
        <f t="shared" si="551"/>
        <v>0</v>
      </c>
      <c r="U1247" s="224">
        <f t="shared" si="551"/>
        <v>0</v>
      </c>
      <c r="W1247" s="1"/>
      <c r="X1247" s="1"/>
      <c r="Y1247" s="1"/>
    </row>
    <row r="1248" spans="1:25">
      <c r="G1248" s="26" t="s">
        <v>120</v>
      </c>
      <c r="H1248" s="6"/>
      <c r="I1248" s="32">
        <f>SUM(I1246:I1247)</f>
        <v>0</v>
      </c>
      <c r="J1248" s="33">
        <f t="shared" ref="J1248:S1248" si="552">SUM(J1246:J1247)</f>
        <v>0</v>
      </c>
      <c r="K1248" s="33">
        <f t="shared" si="552"/>
        <v>0</v>
      </c>
      <c r="L1248" s="33">
        <f t="shared" si="552"/>
        <v>0</v>
      </c>
      <c r="M1248" s="33">
        <f t="shared" si="552"/>
        <v>0</v>
      </c>
      <c r="N1248" s="33">
        <f t="shared" si="552"/>
        <v>0</v>
      </c>
      <c r="O1248" s="33">
        <f t="shared" si="552"/>
        <v>0</v>
      </c>
      <c r="P1248" s="33">
        <f t="shared" si="552"/>
        <v>0</v>
      </c>
      <c r="Q1248" s="33">
        <f t="shared" si="552"/>
        <v>0</v>
      </c>
      <c r="R1248" s="33">
        <f t="shared" si="552"/>
        <v>0</v>
      </c>
      <c r="S1248" s="315">
        <f t="shared" si="552"/>
        <v>0</v>
      </c>
      <c r="T1248" s="33">
        <f t="shared" ref="T1248:U1248" si="553">SUM(T1246:T1247)</f>
        <v>0</v>
      </c>
      <c r="U1248" s="33">
        <f t="shared" si="553"/>
        <v>0</v>
      </c>
      <c r="W1248" s="1"/>
      <c r="X1248" s="1"/>
      <c r="Y1248" s="1"/>
    </row>
    <row r="1249" spans="6:25">
      <c r="I1249" s="31"/>
      <c r="J1249" s="24"/>
      <c r="K1249" s="24"/>
      <c r="L1249" s="24"/>
      <c r="M1249" s="24"/>
      <c r="N1249" s="24"/>
      <c r="O1249" s="24"/>
      <c r="P1249" s="24"/>
      <c r="Q1249" s="24"/>
      <c r="R1249" s="24"/>
      <c r="S1249" s="316"/>
      <c r="T1249" s="24"/>
      <c r="U1249" s="24"/>
      <c r="W1249" s="1"/>
      <c r="X1249" s="1"/>
      <c r="Y1249" s="1"/>
    </row>
    <row r="1250" spans="6:25" ht="18.75">
      <c r="F1250" s="9" t="s">
        <v>30</v>
      </c>
      <c r="I1250" s="2">
        <f>'Facility Detail'!$G$3260</f>
        <v>2011</v>
      </c>
      <c r="J1250" s="2">
        <f>I1250+1</f>
        <v>2012</v>
      </c>
      <c r="K1250" s="2">
        <f t="shared" ref="K1250:R1250" si="554">J1250+1</f>
        <v>2013</v>
      </c>
      <c r="L1250" s="2">
        <f t="shared" si="554"/>
        <v>2014</v>
      </c>
      <c r="M1250" s="2">
        <f t="shared" si="554"/>
        <v>2015</v>
      </c>
      <c r="N1250" s="2">
        <f t="shared" si="554"/>
        <v>2016</v>
      </c>
      <c r="O1250" s="2">
        <f t="shared" si="554"/>
        <v>2017</v>
      </c>
      <c r="P1250" s="2">
        <f t="shared" si="554"/>
        <v>2018</v>
      </c>
      <c r="Q1250" s="2">
        <f t="shared" si="554"/>
        <v>2019</v>
      </c>
      <c r="R1250" s="2">
        <f t="shared" si="554"/>
        <v>2020</v>
      </c>
      <c r="S1250" s="304">
        <f>R1250+1</f>
        <v>2021</v>
      </c>
      <c r="T1250" s="2">
        <f>S1250+1</f>
        <v>2022</v>
      </c>
      <c r="U1250" s="2">
        <f>T1250+1</f>
        <v>2023</v>
      </c>
      <c r="W1250" s="1"/>
      <c r="X1250" s="1"/>
      <c r="Y1250" s="1"/>
    </row>
    <row r="1251" spans="6:25">
      <c r="G1251" s="62" t="s">
        <v>47</v>
      </c>
      <c r="H1251" s="57"/>
      <c r="I1251" s="71"/>
      <c r="J1251" s="72"/>
      <c r="K1251" s="72"/>
      <c r="L1251" s="72"/>
      <c r="M1251" s="72"/>
      <c r="N1251" s="72"/>
      <c r="O1251" s="72"/>
      <c r="P1251" s="72"/>
      <c r="Q1251" s="72"/>
      <c r="R1251" s="72"/>
      <c r="S1251" s="317"/>
      <c r="T1251" s="72"/>
      <c r="U1251" s="73"/>
      <c r="W1251" s="1"/>
      <c r="X1251" s="1"/>
      <c r="Y1251" s="1"/>
    </row>
    <row r="1252" spans="6:25">
      <c r="G1252" s="63" t="s">
        <v>23</v>
      </c>
      <c r="H1252" s="135"/>
      <c r="I1252" s="74"/>
      <c r="J1252" s="75"/>
      <c r="K1252" s="75"/>
      <c r="L1252" s="75"/>
      <c r="M1252" s="75"/>
      <c r="N1252" s="75"/>
      <c r="O1252" s="75"/>
      <c r="P1252" s="75"/>
      <c r="Q1252" s="75"/>
      <c r="R1252" s="75"/>
      <c r="S1252" s="318"/>
      <c r="T1252" s="75"/>
      <c r="U1252" s="76"/>
      <c r="W1252" s="1"/>
      <c r="X1252" s="1"/>
      <c r="Y1252" s="1"/>
    </row>
    <row r="1253" spans="6:25">
      <c r="G1253" s="63" t="s">
        <v>89</v>
      </c>
      <c r="H1253" s="134"/>
      <c r="I1253" s="43"/>
      <c r="J1253" s="44"/>
      <c r="K1253" s="44"/>
      <c r="L1253" s="44"/>
      <c r="M1253" s="44"/>
      <c r="N1253" s="44"/>
      <c r="O1253" s="44"/>
      <c r="P1253" s="44"/>
      <c r="Q1253" s="44"/>
      <c r="R1253" s="44"/>
      <c r="S1253" s="319"/>
      <c r="T1253" s="44"/>
      <c r="U1253" s="45"/>
      <c r="W1253" s="1"/>
      <c r="X1253" s="1"/>
      <c r="Y1253" s="1"/>
    </row>
    <row r="1254" spans="6:25">
      <c r="G1254" s="26" t="s">
        <v>90</v>
      </c>
      <c r="I1254" s="7">
        <v>0</v>
      </c>
      <c r="J1254" s="7">
        <v>0</v>
      </c>
      <c r="K1254" s="7">
        <v>0</v>
      </c>
      <c r="L1254" s="7">
        <v>0</v>
      </c>
      <c r="M1254" s="7">
        <v>0</v>
      </c>
      <c r="N1254" s="7">
        <v>0</v>
      </c>
      <c r="O1254" s="7">
        <v>0</v>
      </c>
      <c r="P1254" s="7">
        <v>0</v>
      </c>
      <c r="Q1254" s="7">
        <v>0</v>
      </c>
      <c r="R1254" s="7">
        <v>0</v>
      </c>
      <c r="S1254" s="320">
        <v>0</v>
      </c>
      <c r="T1254" s="7">
        <v>0</v>
      </c>
      <c r="U1254" s="7">
        <v>0</v>
      </c>
      <c r="W1254" s="1"/>
      <c r="X1254" s="1"/>
      <c r="Y1254" s="1"/>
    </row>
    <row r="1255" spans="6:25">
      <c r="G1255" s="6"/>
      <c r="I1255" s="7"/>
      <c r="J1255" s="7"/>
      <c r="K1255" s="7"/>
      <c r="L1255" s="23"/>
      <c r="M1255" s="23"/>
      <c r="N1255" s="23"/>
      <c r="O1255" s="23"/>
      <c r="P1255" s="23"/>
      <c r="Q1255" s="23"/>
      <c r="R1255" s="23"/>
      <c r="S1255" s="321"/>
      <c r="T1255" s="23"/>
      <c r="U1255" s="23"/>
      <c r="W1255" s="1"/>
      <c r="X1255" s="1"/>
      <c r="Y1255" s="1"/>
    </row>
    <row r="1256" spans="6:25" ht="18.75">
      <c r="F1256" s="9" t="s">
        <v>100</v>
      </c>
      <c r="I1256" s="2">
        <f>'Facility Detail'!$G$3260</f>
        <v>2011</v>
      </c>
      <c r="J1256" s="2">
        <f>I1256+1</f>
        <v>2012</v>
      </c>
      <c r="K1256" s="2">
        <f t="shared" ref="K1256:R1256" si="555">J1256+1</f>
        <v>2013</v>
      </c>
      <c r="L1256" s="2">
        <f t="shared" si="555"/>
        <v>2014</v>
      </c>
      <c r="M1256" s="2">
        <f t="shared" si="555"/>
        <v>2015</v>
      </c>
      <c r="N1256" s="2">
        <f t="shared" si="555"/>
        <v>2016</v>
      </c>
      <c r="O1256" s="2">
        <f t="shared" si="555"/>
        <v>2017</v>
      </c>
      <c r="P1256" s="2">
        <f t="shared" si="555"/>
        <v>2018</v>
      </c>
      <c r="Q1256" s="2">
        <f t="shared" si="555"/>
        <v>2019</v>
      </c>
      <c r="R1256" s="2">
        <f t="shared" si="555"/>
        <v>2020</v>
      </c>
      <c r="S1256" s="304">
        <f>R1256+1</f>
        <v>2021</v>
      </c>
      <c r="T1256" s="2">
        <f>S1256+1</f>
        <v>2022</v>
      </c>
      <c r="U1256" s="2">
        <f>T1256+1</f>
        <v>2023</v>
      </c>
      <c r="W1256" s="1"/>
      <c r="X1256" s="1"/>
      <c r="Y1256" s="1"/>
    </row>
    <row r="1257" spans="6:25">
      <c r="G1257" s="62" t="s">
        <v>68</v>
      </c>
      <c r="H1257" s="57"/>
      <c r="I1257" s="3"/>
      <c r="J1257" s="46">
        <f>I1257</f>
        <v>0</v>
      </c>
      <c r="K1257" s="106"/>
      <c r="L1257" s="106"/>
      <c r="M1257" s="106"/>
      <c r="N1257" s="106"/>
      <c r="O1257" s="106"/>
      <c r="P1257" s="106"/>
      <c r="Q1257" s="106"/>
      <c r="R1257" s="106"/>
      <c r="S1257" s="322"/>
      <c r="T1257" s="106"/>
      <c r="U1257" s="47"/>
      <c r="W1257" s="1"/>
      <c r="X1257" s="1"/>
      <c r="Y1257" s="1"/>
    </row>
    <row r="1258" spans="6:25">
      <c r="G1258" s="62" t="s">
        <v>69</v>
      </c>
      <c r="H1258" s="57"/>
      <c r="I1258" s="127">
        <f>J1258</f>
        <v>0</v>
      </c>
      <c r="J1258" s="10"/>
      <c r="K1258" s="60"/>
      <c r="L1258" s="60"/>
      <c r="M1258" s="60"/>
      <c r="N1258" s="60"/>
      <c r="O1258" s="60"/>
      <c r="P1258" s="60"/>
      <c r="Q1258" s="60"/>
      <c r="R1258" s="60"/>
      <c r="S1258" s="330"/>
      <c r="T1258" s="60"/>
      <c r="U1258" s="128"/>
      <c r="W1258" s="1"/>
      <c r="X1258" s="1"/>
      <c r="Y1258" s="1"/>
    </row>
    <row r="1259" spans="6:25">
      <c r="G1259" s="62" t="s">
        <v>70</v>
      </c>
      <c r="H1259" s="57"/>
      <c r="I1259" s="48"/>
      <c r="J1259" s="10">
        <f>J1243</f>
        <v>0</v>
      </c>
      <c r="K1259" s="56">
        <f>J1259</f>
        <v>0</v>
      </c>
      <c r="L1259" s="60"/>
      <c r="M1259" s="60"/>
      <c r="N1259" s="60"/>
      <c r="O1259" s="60"/>
      <c r="P1259" s="60"/>
      <c r="Q1259" s="60"/>
      <c r="R1259" s="60"/>
      <c r="S1259" s="330"/>
      <c r="T1259" s="60"/>
      <c r="U1259" s="128"/>
      <c r="W1259" s="1"/>
      <c r="X1259" s="1"/>
      <c r="Y1259" s="1"/>
    </row>
    <row r="1260" spans="6:25">
      <c r="G1260" s="62" t="s">
        <v>71</v>
      </c>
      <c r="H1260" s="57"/>
      <c r="I1260" s="48"/>
      <c r="J1260" s="56">
        <f>K1260</f>
        <v>0</v>
      </c>
      <c r="K1260" s="126"/>
      <c r="L1260" s="60"/>
      <c r="M1260" s="60"/>
      <c r="N1260" s="60"/>
      <c r="O1260" s="60"/>
      <c r="P1260" s="60"/>
      <c r="Q1260" s="60"/>
      <c r="R1260" s="60"/>
      <c r="S1260" s="330"/>
      <c r="T1260" s="60"/>
      <c r="U1260" s="128"/>
      <c r="W1260" s="1"/>
      <c r="X1260" s="1"/>
      <c r="Y1260" s="1"/>
    </row>
    <row r="1261" spans="6:25">
      <c r="G1261" s="62" t="s">
        <v>170</v>
      </c>
      <c r="I1261" s="48"/>
      <c r="J1261" s="118"/>
      <c r="K1261" s="10">
        <f>K1243</f>
        <v>0</v>
      </c>
      <c r="L1261" s="119">
        <f>K1261</f>
        <v>0</v>
      </c>
      <c r="M1261" s="60"/>
      <c r="N1261" s="60"/>
      <c r="O1261" s="60"/>
      <c r="P1261" s="60"/>
      <c r="Q1261" s="60"/>
      <c r="R1261" s="60"/>
      <c r="S1261" s="330"/>
      <c r="T1261" s="60"/>
      <c r="U1261" s="128"/>
      <c r="W1261" s="1"/>
      <c r="X1261" s="1"/>
      <c r="Y1261" s="1"/>
    </row>
    <row r="1262" spans="6:25">
      <c r="G1262" s="62" t="s">
        <v>171</v>
      </c>
      <c r="I1262" s="48"/>
      <c r="J1262" s="118"/>
      <c r="K1262" s="56">
        <f>L1262</f>
        <v>0</v>
      </c>
      <c r="L1262" s="10"/>
      <c r="M1262" s="60"/>
      <c r="N1262" s="60"/>
      <c r="O1262" s="60"/>
      <c r="P1262" s="60"/>
      <c r="Q1262" s="60"/>
      <c r="R1262" s="60"/>
      <c r="S1262" s="330"/>
      <c r="T1262" s="60"/>
      <c r="U1262" s="128"/>
      <c r="W1262" s="1"/>
      <c r="X1262" s="1"/>
      <c r="Y1262" s="1"/>
    </row>
    <row r="1263" spans="6:25">
      <c r="G1263" s="62" t="s">
        <v>172</v>
      </c>
      <c r="I1263" s="48"/>
      <c r="J1263" s="118"/>
      <c r="K1263" s="118"/>
      <c r="L1263" s="10">
        <f>L1243</f>
        <v>0</v>
      </c>
      <c r="M1263" s="119">
        <f>L1263</f>
        <v>0</v>
      </c>
      <c r="N1263" s="118">
        <f>M1263</f>
        <v>0</v>
      </c>
      <c r="O1263" s="118"/>
      <c r="P1263" s="118"/>
      <c r="Q1263" s="118"/>
      <c r="R1263" s="118"/>
      <c r="S1263" s="324"/>
      <c r="T1263" s="118"/>
      <c r="U1263" s="122"/>
      <c r="W1263" s="1"/>
      <c r="X1263" s="1"/>
      <c r="Y1263" s="1"/>
    </row>
    <row r="1264" spans="6:25">
      <c r="G1264" s="62" t="s">
        <v>173</v>
      </c>
      <c r="I1264" s="48"/>
      <c r="J1264" s="118"/>
      <c r="K1264" s="118"/>
      <c r="L1264" s="120"/>
      <c r="M1264" s="121"/>
      <c r="N1264" s="118"/>
      <c r="O1264" s="118"/>
      <c r="P1264" s="118"/>
      <c r="Q1264" s="118"/>
      <c r="R1264" s="118"/>
      <c r="S1264" s="324"/>
      <c r="T1264" s="118"/>
      <c r="U1264" s="122"/>
      <c r="W1264" s="1"/>
      <c r="X1264" s="1"/>
      <c r="Y1264" s="1"/>
    </row>
    <row r="1265" spans="2:25">
      <c r="G1265" s="62" t="s">
        <v>174</v>
      </c>
      <c r="I1265" s="48"/>
      <c r="J1265" s="118"/>
      <c r="K1265" s="118"/>
      <c r="L1265" s="118"/>
      <c r="M1265" s="121">
        <v>0</v>
      </c>
      <c r="N1265" s="119">
        <f>M1265</f>
        <v>0</v>
      </c>
      <c r="O1265" s="60"/>
      <c r="P1265" s="60"/>
      <c r="Q1265" s="60"/>
      <c r="R1265" s="60"/>
      <c r="S1265" s="330"/>
      <c r="T1265" s="60"/>
      <c r="U1265" s="128"/>
      <c r="W1265" s="1"/>
      <c r="X1265" s="1"/>
      <c r="Y1265" s="1"/>
    </row>
    <row r="1266" spans="2:25">
      <c r="G1266" s="62" t="s">
        <v>175</v>
      </c>
      <c r="I1266" s="48"/>
      <c r="J1266" s="118"/>
      <c r="K1266" s="118"/>
      <c r="L1266" s="118"/>
      <c r="M1266" s="56"/>
      <c r="N1266" s="121"/>
      <c r="O1266" s="60"/>
      <c r="P1266" s="60"/>
      <c r="Q1266" s="118"/>
      <c r="R1266" s="118"/>
      <c r="S1266" s="324"/>
      <c r="T1266" s="118"/>
      <c r="U1266" s="122"/>
      <c r="W1266" s="1"/>
      <c r="X1266" s="1"/>
      <c r="Y1266" s="1"/>
    </row>
    <row r="1267" spans="2:25">
      <c r="G1267" s="62" t="s">
        <v>176</v>
      </c>
      <c r="I1267" s="48"/>
      <c r="J1267" s="118"/>
      <c r="K1267" s="118"/>
      <c r="L1267" s="118"/>
      <c r="M1267" s="118"/>
      <c r="N1267" s="121">
        <f>N1243</f>
        <v>0</v>
      </c>
      <c r="O1267" s="119">
        <f>N1267</f>
        <v>0</v>
      </c>
      <c r="P1267" s="118"/>
      <c r="Q1267" s="118"/>
      <c r="R1267" s="118"/>
      <c r="S1267" s="324"/>
      <c r="T1267" s="118"/>
      <c r="U1267" s="122"/>
      <c r="W1267" s="1"/>
      <c r="X1267" s="1"/>
      <c r="Y1267" s="1"/>
    </row>
    <row r="1268" spans="2:25">
      <c r="G1268" s="62" t="s">
        <v>167</v>
      </c>
      <c r="I1268" s="48"/>
      <c r="J1268" s="118"/>
      <c r="K1268" s="118"/>
      <c r="L1268" s="118"/>
      <c r="M1268" s="118"/>
      <c r="N1268" s="120"/>
      <c r="O1268" s="121"/>
      <c r="P1268" s="118"/>
      <c r="Q1268" s="118"/>
      <c r="R1268" s="118"/>
      <c r="S1268" s="324"/>
      <c r="T1268" s="118"/>
      <c r="U1268" s="122"/>
      <c r="W1268" s="1"/>
      <c r="X1268" s="1"/>
      <c r="Y1268" s="1"/>
    </row>
    <row r="1269" spans="2:25">
      <c r="G1269" s="62" t="s">
        <v>168</v>
      </c>
      <c r="I1269" s="48"/>
      <c r="J1269" s="118"/>
      <c r="K1269" s="118"/>
      <c r="L1269" s="118"/>
      <c r="M1269" s="118"/>
      <c r="N1269" s="118"/>
      <c r="O1269" s="121"/>
      <c r="P1269" s="119">
        <f>O1269</f>
        <v>0</v>
      </c>
      <c r="Q1269" s="118"/>
      <c r="R1269" s="118"/>
      <c r="S1269" s="324"/>
      <c r="T1269" s="118"/>
      <c r="U1269" s="122"/>
      <c r="W1269" s="1"/>
      <c r="X1269" s="1"/>
      <c r="Y1269" s="1"/>
    </row>
    <row r="1270" spans="2:25">
      <c r="G1270" s="62" t="s">
        <v>185</v>
      </c>
      <c r="I1270" s="48"/>
      <c r="J1270" s="118"/>
      <c r="K1270" s="118"/>
      <c r="L1270" s="118"/>
      <c r="M1270" s="118"/>
      <c r="N1270" s="118"/>
      <c r="O1270" s="120"/>
      <c r="P1270" s="121"/>
      <c r="Q1270" s="118"/>
      <c r="R1270" s="118"/>
      <c r="S1270" s="324"/>
      <c r="T1270" s="118"/>
      <c r="U1270" s="122"/>
      <c r="W1270" s="1"/>
      <c r="X1270" s="1"/>
      <c r="Y1270" s="1"/>
    </row>
    <row r="1271" spans="2:25">
      <c r="G1271" s="62" t="s">
        <v>186</v>
      </c>
      <c r="I1271" s="48"/>
      <c r="J1271" s="118"/>
      <c r="K1271" s="118"/>
      <c r="L1271" s="118"/>
      <c r="M1271" s="118"/>
      <c r="N1271" s="118"/>
      <c r="O1271" s="118"/>
      <c r="P1271" s="121">
        <f>P1247</f>
        <v>0</v>
      </c>
      <c r="Q1271" s="119">
        <f>P1271</f>
        <v>0</v>
      </c>
      <c r="R1271" s="118"/>
      <c r="S1271" s="324"/>
      <c r="T1271" s="118"/>
      <c r="U1271" s="122"/>
      <c r="W1271" s="1"/>
      <c r="X1271" s="1"/>
      <c r="Y1271" s="1"/>
    </row>
    <row r="1272" spans="2:25">
      <c r="G1272" s="62" t="s">
        <v>187</v>
      </c>
      <c r="I1272" s="48"/>
      <c r="J1272" s="118"/>
      <c r="K1272" s="118"/>
      <c r="L1272" s="118"/>
      <c r="M1272" s="118"/>
      <c r="N1272" s="118"/>
      <c r="O1272" s="118"/>
      <c r="P1272" s="120"/>
      <c r="Q1272" s="121"/>
      <c r="R1272" s="118"/>
      <c r="S1272" s="324"/>
      <c r="T1272" s="118"/>
      <c r="U1272" s="122"/>
      <c r="W1272" s="1"/>
      <c r="X1272" s="1"/>
      <c r="Y1272" s="1"/>
    </row>
    <row r="1273" spans="2:25">
      <c r="G1273" s="62" t="s">
        <v>188</v>
      </c>
      <c r="I1273" s="48"/>
      <c r="J1273" s="118"/>
      <c r="K1273" s="118"/>
      <c r="L1273" s="118"/>
      <c r="M1273" s="118"/>
      <c r="N1273" s="118"/>
      <c r="O1273" s="118"/>
      <c r="P1273" s="118"/>
      <c r="Q1273" s="121">
        <f>Q1249</f>
        <v>0</v>
      </c>
      <c r="R1273" s="119">
        <f>Q1273</f>
        <v>0</v>
      </c>
      <c r="S1273" s="118"/>
      <c r="T1273" s="118"/>
      <c r="U1273" s="122"/>
      <c r="W1273" s="1"/>
      <c r="X1273" s="1"/>
      <c r="Y1273" s="1"/>
    </row>
    <row r="1274" spans="2:25">
      <c r="G1274" s="62" t="s">
        <v>189</v>
      </c>
      <c r="I1274" s="48"/>
      <c r="J1274" s="118"/>
      <c r="K1274" s="118"/>
      <c r="L1274" s="118"/>
      <c r="M1274" s="118"/>
      <c r="N1274" s="118"/>
      <c r="O1274" s="118"/>
      <c r="P1274" s="118"/>
      <c r="Q1274" s="120"/>
      <c r="R1274" s="121"/>
      <c r="S1274" s="119"/>
      <c r="T1274" s="118"/>
      <c r="U1274" s="122"/>
      <c r="W1274" s="1"/>
      <c r="X1274" s="1"/>
      <c r="Y1274" s="1"/>
    </row>
    <row r="1275" spans="2:25">
      <c r="G1275" s="62" t="s">
        <v>190</v>
      </c>
      <c r="I1275" s="49"/>
      <c r="J1275" s="108"/>
      <c r="K1275" s="108"/>
      <c r="L1275" s="108"/>
      <c r="M1275" s="108"/>
      <c r="N1275" s="108"/>
      <c r="O1275" s="108"/>
      <c r="P1275" s="108"/>
      <c r="Q1275" s="108"/>
      <c r="R1275" s="123">
        <f>R1251</f>
        <v>0</v>
      </c>
      <c r="S1275" s="123">
        <f>R1275</f>
        <v>0</v>
      </c>
      <c r="T1275" s="193"/>
      <c r="U1275" s="459"/>
      <c r="W1275" s="1"/>
      <c r="X1275" s="1"/>
      <c r="Y1275" s="1"/>
    </row>
    <row r="1276" spans="2:25">
      <c r="B1276" s="1" t="s">
        <v>197</v>
      </c>
      <c r="G1276" s="26" t="s">
        <v>17</v>
      </c>
      <c r="I1276" s="154">
        <f xml:space="preserve"> I1263 - I1262</f>
        <v>0</v>
      </c>
      <c r="J1276" s="154">
        <f xml:space="preserve"> J1262 + J1265 - J1264 - J1263</f>
        <v>0</v>
      </c>
      <c r="K1276" s="154">
        <f>K1264 - K1265</f>
        <v>0</v>
      </c>
      <c r="L1276" s="154">
        <f>L1264 - L1265</f>
        <v>0</v>
      </c>
      <c r="M1276" s="154">
        <f>M1263-M1264-M1265</f>
        <v>0</v>
      </c>
      <c r="N1276" s="154">
        <f>N1265-N1266-N1267</f>
        <v>0</v>
      </c>
      <c r="O1276" s="154">
        <f t="shared" ref="O1276:U1276" si="556">O1267-O1268-O1269</f>
        <v>0</v>
      </c>
      <c r="P1276" s="154">
        <f t="shared" si="556"/>
        <v>0</v>
      </c>
      <c r="Q1276" s="154">
        <f t="shared" si="556"/>
        <v>0</v>
      </c>
      <c r="R1276" s="154">
        <f t="shared" si="556"/>
        <v>0</v>
      </c>
      <c r="S1276" s="327">
        <f t="shared" si="556"/>
        <v>0</v>
      </c>
      <c r="T1276" s="154">
        <f t="shared" si="556"/>
        <v>0</v>
      </c>
      <c r="U1276" s="154">
        <f t="shared" si="556"/>
        <v>0</v>
      </c>
      <c r="W1276" s="1"/>
      <c r="X1276" s="1"/>
      <c r="Y1276" s="1"/>
    </row>
    <row r="1277" spans="2:25">
      <c r="G1277" s="6"/>
      <c r="I1277" s="154"/>
      <c r="J1277" s="154"/>
      <c r="K1277" s="154"/>
      <c r="L1277" s="154"/>
      <c r="M1277" s="154"/>
      <c r="N1277" s="154"/>
      <c r="O1277" s="154"/>
      <c r="P1277" s="154"/>
      <c r="Q1277" s="154"/>
      <c r="R1277" s="154"/>
      <c r="S1277" s="327"/>
      <c r="T1277" s="154"/>
      <c r="U1277" s="154"/>
      <c r="W1277" s="1"/>
      <c r="X1277" s="1"/>
      <c r="Y1277" s="1"/>
    </row>
    <row r="1278" spans="2:25">
      <c r="G1278" s="26" t="s">
        <v>12</v>
      </c>
      <c r="H1278" s="57"/>
      <c r="I1278" s="155"/>
      <c r="J1278" s="156"/>
      <c r="K1278" s="156"/>
      <c r="L1278" s="156"/>
      <c r="M1278" s="156"/>
      <c r="N1278" s="156"/>
      <c r="O1278" s="156"/>
      <c r="P1278" s="156"/>
      <c r="Q1278" s="156"/>
      <c r="R1278" s="156"/>
      <c r="S1278" s="326"/>
      <c r="T1278" s="156"/>
      <c r="U1278" s="267"/>
      <c r="W1278" s="1"/>
      <c r="X1278" s="1"/>
      <c r="Y1278" s="1"/>
    </row>
    <row r="1279" spans="2:25">
      <c r="G1279" s="6"/>
      <c r="I1279" s="154"/>
      <c r="J1279" s="154"/>
      <c r="K1279" s="154"/>
      <c r="L1279" s="154"/>
      <c r="M1279" s="154"/>
      <c r="N1279" s="154"/>
      <c r="O1279" s="154"/>
      <c r="P1279" s="154"/>
      <c r="Q1279" s="154"/>
      <c r="R1279" s="154"/>
      <c r="S1279" s="327"/>
      <c r="T1279" s="154"/>
      <c r="U1279" s="154"/>
      <c r="W1279" s="1"/>
      <c r="X1279" s="1"/>
      <c r="Y1279" s="1"/>
    </row>
    <row r="1280" spans="2:25" ht="18.75">
      <c r="C1280" s="1" t="s">
        <v>197</v>
      </c>
      <c r="D1280" s="1" t="s">
        <v>195</v>
      </c>
      <c r="E1280" s="1" t="s">
        <v>108</v>
      </c>
      <c r="F1280" s="9" t="s">
        <v>26</v>
      </c>
      <c r="H1280" s="57"/>
      <c r="I1280" s="157">
        <f t="shared" ref="I1280:U1280" si="557" xml:space="preserve"> I1243 + I1248 - I1254 + I1276 + I1278</f>
        <v>0</v>
      </c>
      <c r="J1280" s="158">
        <f t="shared" si="557"/>
        <v>0</v>
      </c>
      <c r="K1280" s="158">
        <f t="shared" si="557"/>
        <v>0</v>
      </c>
      <c r="L1280" s="158">
        <f t="shared" si="557"/>
        <v>0</v>
      </c>
      <c r="M1280" s="158">
        <f t="shared" si="557"/>
        <v>0</v>
      </c>
      <c r="N1280" s="158">
        <f t="shared" si="557"/>
        <v>0</v>
      </c>
      <c r="O1280" s="158">
        <f t="shared" si="557"/>
        <v>0</v>
      </c>
      <c r="P1280" s="158">
        <f t="shared" si="557"/>
        <v>0</v>
      </c>
      <c r="Q1280" s="158">
        <f t="shared" si="557"/>
        <v>0</v>
      </c>
      <c r="R1280" s="158">
        <f t="shared" si="557"/>
        <v>75000</v>
      </c>
      <c r="S1280" s="328">
        <f t="shared" si="557"/>
        <v>0</v>
      </c>
      <c r="T1280" s="158">
        <f t="shared" si="557"/>
        <v>0</v>
      </c>
      <c r="U1280" s="268">
        <f t="shared" si="557"/>
        <v>0</v>
      </c>
      <c r="W1280" s="1"/>
      <c r="X1280" s="1"/>
      <c r="Y1280" s="1"/>
    </row>
    <row r="1281" spans="1:25" ht="15.75" thickBot="1">
      <c r="W1281" s="1"/>
      <c r="X1281" s="1"/>
      <c r="Y1281" s="1"/>
    </row>
    <row r="1282" spans="1:25" ht="15.75" thickBot="1">
      <c r="F1282" s="8"/>
      <c r="G1282" s="8"/>
      <c r="H1282" s="8"/>
      <c r="I1282" s="8"/>
      <c r="J1282" s="8"/>
      <c r="K1282" s="8"/>
      <c r="L1282" s="8"/>
      <c r="M1282" s="8"/>
      <c r="N1282" s="8"/>
      <c r="O1282" s="8"/>
      <c r="P1282" s="8"/>
      <c r="Q1282" s="8"/>
      <c r="R1282" s="8"/>
      <c r="S1282" s="290"/>
      <c r="T1282" s="8"/>
      <c r="U1282" s="8"/>
      <c r="W1282" s="1"/>
      <c r="X1282" s="1"/>
      <c r="Y1282" s="1"/>
    </row>
    <row r="1283" spans="1:25" ht="21.75" thickBot="1">
      <c r="F1283" s="13" t="s">
        <v>4</v>
      </c>
      <c r="G1283" s="13"/>
      <c r="H1283" s="185" t="s">
        <v>198</v>
      </c>
      <c r="I1283" s="183"/>
      <c r="W1283" s="1"/>
      <c r="X1283" s="1"/>
      <c r="Y1283" s="1"/>
    </row>
    <row r="1284" spans="1:25">
      <c r="W1284" s="1"/>
      <c r="X1284" s="1"/>
      <c r="Y1284" s="1"/>
    </row>
    <row r="1285" spans="1:25" ht="18.75">
      <c r="F1285" s="9" t="s">
        <v>21</v>
      </c>
      <c r="G1285" s="9"/>
      <c r="I1285" s="2">
        <f>'Facility Detail'!$G$3260</f>
        <v>2011</v>
      </c>
      <c r="J1285" s="2">
        <f>I1285+1</f>
        <v>2012</v>
      </c>
      <c r="K1285" s="2">
        <f t="shared" ref="K1285:R1285" si="558">J1285+1</f>
        <v>2013</v>
      </c>
      <c r="L1285" s="2">
        <f t="shared" si="558"/>
        <v>2014</v>
      </c>
      <c r="M1285" s="2">
        <f t="shared" si="558"/>
        <v>2015</v>
      </c>
      <c r="N1285" s="2">
        <f t="shared" si="558"/>
        <v>2016</v>
      </c>
      <c r="O1285" s="2">
        <f t="shared" si="558"/>
        <v>2017</v>
      </c>
      <c r="P1285" s="2">
        <f t="shared" si="558"/>
        <v>2018</v>
      </c>
      <c r="Q1285" s="2">
        <f t="shared" si="558"/>
        <v>2019</v>
      </c>
      <c r="R1285" s="2">
        <f t="shared" si="558"/>
        <v>2020</v>
      </c>
      <c r="S1285" s="2">
        <f>R1285+1</f>
        <v>2021</v>
      </c>
      <c r="T1285" s="2">
        <f>S1285+1</f>
        <v>2022</v>
      </c>
      <c r="U1285" s="2">
        <f>T1285+1</f>
        <v>2023</v>
      </c>
      <c r="W1285" s="1"/>
      <c r="X1285" s="1"/>
      <c r="Y1285" s="1"/>
    </row>
    <row r="1286" spans="1:25">
      <c r="G1286" s="62" t="str">
        <f>"Total MWh Produced / Purchased from " &amp; H1283</f>
        <v>Total MWh Produced / Purchased from Granite Mountain West</v>
      </c>
      <c r="H1286" s="57"/>
      <c r="I1286" s="3"/>
      <c r="J1286" s="4"/>
      <c r="K1286" s="4"/>
      <c r="L1286" s="4"/>
      <c r="M1286" s="4"/>
      <c r="N1286" s="4"/>
      <c r="O1286" s="4"/>
      <c r="P1286" s="4"/>
      <c r="Q1286" s="4"/>
      <c r="R1286" s="4">
        <v>75000</v>
      </c>
      <c r="S1286" s="4"/>
      <c r="T1286" s="4"/>
      <c r="U1286" s="5"/>
      <c r="W1286" s="1"/>
      <c r="X1286" s="1"/>
      <c r="Y1286" s="1"/>
    </row>
    <row r="1287" spans="1:25">
      <c r="G1287" s="62" t="s">
        <v>25</v>
      </c>
      <c r="H1287" s="57"/>
      <c r="I1287" s="269"/>
      <c r="J1287" s="41"/>
      <c r="K1287" s="41"/>
      <c r="L1287" s="41"/>
      <c r="M1287" s="41"/>
      <c r="N1287" s="41"/>
      <c r="O1287" s="41"/>
      <c r="P1287" s="41"/>
      <c r="Q1287" s="41"/>
      <c r="R1287" s="41">
        <v>1</v>
      </c>
      <c r="S1287" s="41"/>
      <c r="T1287" s="41"/>
      <c r="U1287" s="42"/>
      <c r="W1287" s="1"/>
      <c r="X1287" s="1"/>
      <c r="Y1287" s="1"/>
    </row>
    <row r="1288" spans="1:25">
      <c r="G1288" s="62" t="s">
        <v>20</v>
      </c>
      <c r="H1288" s="57"/>
      <c r="I1288" s="270"/>
      <c r="J1288" s="36"/>
      <c r="K1288" s="36"/>
      <c r="L1288" s="36"/>
      <c r="M1288" s="36"/>
      <c r="N1288" s="36"/>
      <c r="O1288" s="36"/>
      <c r="P1288" s="36"/>
      <c r="Q1288" s="36"/>
      <c r="R1288" s="36">
        <v>1</v>
      </c>
      <c r="S1288" s="36"/>
      <c r="T1288" s="36"/>
      <c r="U1288" s="37"/>
      <c r="W1288" s="1"/>
      <c r="X1288" s="1"/>
      <c r="Y1288" s="1"/>
    </row>
    <row r="1289" spans="1:25">
      <c r="A1289" s="1" t="s">
        <v>198</v>
      </c>
      <c r="G1289" s="26" t="s">
        <v>22</v>
      </c>
      <c r="H1289" s="6"/>
      <c r="I1289" s="30">
        <v>0</v>
      </c>
      <c r="J1289" s="30">
        <v>0</v>
      </c>
      <c r="K1289" s="30">
        <v>0</v>
      </c>
      <c r="L1289" s="30">
        <v>0</v>
      </c>
      <c r="M1289" s="30">
        <v>0</v>
      </c>
      <c r="N1289" s="161">
        <v>0</v>
      </c>
      <c r="O1289" s="161">
        <v>0</v>
      </c>
      <c r="P1289" s="161">
        <v>0</v>
      </c>
      <c r="Q1289" s="161">
        <v>0</v>
      </c>
      <c r="R1289" s="161">
        <f>R1286*R1288</f>
        <v>75000</v>
      </c>
      <c r="S1289" s="161">
        <v>0</v>
      </c>
      <c r="T1289" s="161">
        <v>0</v>
      </c>
      <c r="U1289" s="161">
        <v>0</v>
      </c>
      <c r="W1289" s="1"/>
      <c r="X1289" s="1"/>
      <c r="Y1289" s="1"/>
    </row>
    <row r="1290" spans="1:25">
      <c r="I1290" s="29"/>
      <c r="J1290" s="29"/>
      <c r="K1290" s="29"/>
      <c r="L1290" s="29"/>
      <c r="M1290" s="29"/>
      <c r="N1290" s="20"/>
      <c r="O1290" s="20"/>
      <c r="P1290" s="20"/>
      <c r="Q1290" s="20"/>
      <c r="R1290" s="20"/>
      <c r="S1290" s="20"/>
      <c r="T1290" s="20"/>
      <c r="U1290" s="20"/>
      <c r="W1290" s="1"/>
      <c r="X1290" s="1"/>
      <c r="Y1290" s="1"/>
    </row>
    <row r="1291" spans="1:25" ht="18.75">
      <c r="F1291" s="9" t="s">
        <v>118</v>
      </c>
      <c r="I1291" s="2">
        <f>'Facility Detail'!$G$3260</f>
        <v>2011</v>
      </c>
      <c r="J1291" s="2">
        <f>I1291+1</f>
        <v>2012</v>
      </c>
      <c r="K1291" s="2">
        <f t="shared" ref="K1291:R1291" si="559">J1291+1</f>
        <v>2013</v>
      </c>
      <c r="L1291" s="2">
        <f t="shared" si="559"/>
        <v>2014</v>
      </c>
      <c r="M1291" s="2">
        <f t="shared" si="559"/>
        <v>2015</v>
      </c>
      <c r="N1291" s="2">
        <f t="shared" si="559"/>
        <v>2016</v>
      </c>
      <c r="O1291" s="2">
        <f t="shared" si="559"/>
        <v>2017</v>
      </c>
      <c r="P1291" s="2">
        <f t="shared" si="559"/>
        <v>2018</v>
      </c>
      <c r="Q1291" s="2">
        <f t="shared" si="559"/>
        <v>2019</v>
      </c>
      <c r="R1291" s="2">
        <f t="shared" si="559"/>
        <v>2020</v>
      </c>
      <c r="S1291" s="2">
        <f>R1291+1</f>
        <v>2021</v>
      </c>
      <c r="T1291" s="2">
        <f>S1291+1</f>
        <v>2022</v>
      </c>
      <c r="U1291" s="2">
        <f>T1291+1</f>
        <v>2023</v>
      </c>
      <c r="W1291" s="1"/>
      <c r="X1291" s="1"/>
      <c r="Y1291" s="1"/>
    </row>
    <row r="1292" spans="1:25">
      <c r="G1292" s="62" t="s">
        <v>10</v>
      </c>
      <c r="H1292" s="57"/>
      <c r="I1292" s="38">
        <f>IF($J30 = "Eligible", I1289 * 'Facility Detail'!$G$3257, 0 )</f>
        <v>0</v>
      </c>
      <c r="J1292" s="11">
        <f>IF($J30 = "Eligible", J1289 * 'Facility Detail'!$G$3257, 0 )</f>
        <v>0</v>
      </c>
      <c r="K1292" s="11">
        <f>IF($J30 = "Eligible", K1289 * 'Facility Detail'!$G$3257, 0 )</f>
        <v>0</v>
      </c>
      <c r="L1292" s="11">
        <f>IF($J30 = "Eligible", L1289 * 'Facility Detail'!$G$3257, 0 )</f>
        <v>0</v>
      </c>
      <c r="M1292" s="11">
        <f>IF($J30 = "Eligible", M1289 * 'Facility Detail'!$G$3257, 0 )</f>
        <v>0</v>
      </c>
      <c r="N1292" s="11">
        <f>IF($J30 = "Eligible", N1289 * 'Facility Detail'!$G$3257, 0 )</f>
        <v>0</v>
      </c>
      <c r="O1292" s="11">
        <f>IF($J30 = "Eligible", O1289 * 'Facility Detail'!$G$3257, 0 )</f>
        <v>0</v>
      </c>
      <c r="P1292" s="11">
        <f>IF($J30 = "Eligible", P1289 * 'Facility Detail'!$G$3257, 0 )</f>
        <v>0</v>
      </c>
      <c r="Q1292" s="11">
        <f>IF($J30 = "Eligible", Q1289 * 'Facility Detail'!$G$3257, 0 )</f>
        <v>0</v>
      </c>
      <c r="R1292" s="11">
        <f>IF($J30 = "Eligible", R1289 * 'Facility Detail'!$G$3257, 0 )</f>
        <v>0</v>
      </c>
      <c r="S1292" s="11">
        <f>IF($J30 = "Eligible", S1289 * 'Facility Detail'!$G$3257, 0 )</f>
        <v>0</v>
      </c>
      <c r="T1292" s="11">
        <f>IF($J30 = "Eligible", T1289 * 'Facility Detail'!$G$3257, 0 )</f>
        <v>0</v>
      </c>
      <c r="U1292" s="223">
        <f>IF($J30 = "Eligible", U1289 * 'Facility Detail'!$G$3257, 0 )</f>
        <v>0</v>
      </c>
      <c r="W1292" s="1"/>
      <c r="X1292" s="1"/>
      <c r="Y1292" s="1"/>
    </row>
    <row r="1293" spans="1:25">
      <c r="G1293" s="62" t="s">
        <v>6</v>
      </c>
      <c r="H1293" s="57"/>
      <c r="I1293" s="39">
        <f t="shared" ref="I1293:U1293" si="560">IF($K30= "Eligible", I1289, 0 )</f>
        <v>0</v>
      </c>
      <c r="J1293" s="193">
        <f t="shared" si="560"/>
        <v>0</v>
      </c>
      <c r="K1293" s="193">
        <f t="shared" si="560"/>
        <v>0</v>
      </c>
      <c r="L1293" s="193">
        <f t="shared" si="560"/>
        <v>0</v>
      </c>
      <c r="M1293" s="193">
        <f t="shared" si="560"/>
        <v>0</v>
      </c>
      <c r="N1293" s="193">
        <f t="shared" si="560"/>
        <v>0</v>
      </c>
      <c r="O1293" s="193">
        <f t="shared" si="560"/>
        <v>0</v>
      </c>
      <c r="P1293" s="193">
        <f t="shared" si="560"/>
        <v>0</v>
      </c>
      <c r="Q1293" s="193">
        <f t="shared" si="560"/>
        <v>0</v>
      </c>
      <c r="R1293" s="193">
        <f t="shared" si="560"/>
        <v>0</v>
      </c>
      <c r="S1293" s="193">
        <f t="shared" si="560"/>
        <v>0</v>
      </c>
      <c r="T1293" s="193">
        <f t="shared" si="560"/>
        <v>0</v>
      </c>
      <c r="U1293" s="224">
        <f t="shared" si="560"/>
        <v>0</v>
      </c>
      <c r="W1293" s="1"/>
      <c r="X1293" s="1"/>
      <c r="Y1293" s="1"/>
    </row>
    <row r="1294" spans="1:25">
      <c r="G1294" s="26" t="s">
        <v>120</v>
      </c>
      <c r="H1294" s="6"/>
      <c r="I1294" s="32">
        <f>SUM(I1292:I1293)</f>
        <v>0</v>
      </c>
      <c r="J1294" s="33">
        <f t="shared" ref="J1294:S1294" si="561">SUM(J1292:J1293)</f>
        <v>0</v>
      </c>
      <c r="K1294" s="33">
        <f t="shared" si="561"/>
        <v>0</v>
      </c>
      <c r="L1294" s="33">
        <f t="shared" si="561"/>
        <v>0</v>
      </c>
      <c r="M1294" s="33">
        <f t="shared" si="561"/>
        <v>0</v>
      </c>
      <c r="N1294" s="33">
        <f t="shared" si="561"/>
        <v>0</v>
      </c>
      <c r="O1294" s="33">
        <f t="shared" si="561"/>
        <v>0</v>
      </c>
      <c r="P1294" s="33">
        <f t="shared" si="561"/>
        <v>0</v>
      </c>
      <c r="Q1294" s="33">
        <f t="shared" si="561"/>
        <v>0</v>
      </c>
      <c r="R1294" s="33">
        <f t="shared" si="561"/>
        <v>0</v>
      </c>
      <c r="S1294" s="33">
        <f t="shared" si="561"/>
        <v>0</v>
      </c>
      <c r="T1294" s="33">
        <f t="shared" ref="T1294:U1294" si="562">SUM(T1292:T1293)</f>
        <v>0</v>
      </c>
      <c r="U1294" s="33">
        <f t="shared" si="562"/>
        <v>0</v>
      </c>
      <c r="W1294" s="1"/>
      <c r="X1294" s="1"/>
      <c r="Y1294" s="1"/>
    </row>
    <row r="1295" spans="1:25">
      <c r="I1295" s="31"/>
      <c r="J1295" s="24"/>
      <c r="K1295" s="24"/>
      <c r="L1295" s="24"/>
      <c r="M1295" s="24"/>
      <c r="N1295" s="24"/>
      <c r="O1295" s="24"/>
      <c r="P1295" s="24"/>
      <c r="Q1295" s="24"/>
      <c r="R1295" s="24"/>
      <c r="S1295" s="24"/>
      <c r="T1295" s="24"/>
      <c r="U1295" s="24"/>
      <c r="W1295" s="1"/>
      <c r="X1295" s="1"/>
      <c r="Y1295" s="1"/>
    </row>
    <row r="1296" spans="1:25" ht="18.75">
      <c r="F1296" s="9" t="s">
        <v>30</v>
      </c>
      <c r="I1296" s="2">
        <f>'Facility Detail'!$G$3260</f>
        <v>2011</v>
      </c>
      <c r="J1296" s="2">
        <f>I1296+1</f>
        <v>2012</v>
      </c>
      <c r="K1296" s="2">
        <f t="shared" ref="K1296:R1296" si="563">J1296+1</f>
        <v>2013</v>
      </c>
      <c r="L1296" s="2">
        <f t="shared" si="563"/>
        <v>2014</v>
      </c>
      <c r="M1296" s="2">
        <f t="shared" si="563"/>
        <v>2015</v>
      </c>
      <c r="N1296" s="2">
        <f t="shared" si="563"/>
        <v>2016</v>
      </c>
      <c r="O1296" s="2">
        <f t="shared" si="563"/>
        <v>2017</v>
      </c>
      <c r="P1296" s="2">
        <f t="shared" si="563"/>
        <v>2018</v>
      </c>
      <c r="Q1296" s="2">
        <f t="shared" si="563"/>
        <v>2019</v>
      </c>
      <c r="R1296" s="2">
        <f t="shared" si="563"/>
        <v>2020</v>
      </c>
      <c r="S1296" s="2">
        <f>R1296+1</f>
        <v>2021</v>
      </c>
      <c r="T1296" s="2">
        <f>S1296+1</f>
        <v>2022</v>
      </c>
      <c r="U1296" s="2">
        <f>T1296+1</f>
        <v>2023</v>
      </c>
      <c r="W1296" s="1"/>
      <c r="X1296" s="1"/>
      <c r="Y1296" s="1"/>
    </row>
    <row r="1297" spans="6:25">
      <c r="G1297" s="62" t="s">
        <v>47</v>
      </c>
      <c r="H1297" s="57"/>
      <c r="I1297" s="71"/>
      <c r="J1297" s="72"/>
      <c r="K1297" s="72"/>
      <c r="L1297" s="72"/>
      <c r="M1297" s="72"/>
      <c r="N1297" s="72"/>
      <c r="O1297" s="72"/>
      <c r="P1297" s="72"/>
      <c r="Q1297" s="72"/>
      <c r="R1297" s="72"/>
      <c r="S1297" s="72"/>
      <c r="T1297" s="72"/>
      <c r="U1297" s="73"/>
      <c r="W1297" s="1"/>
      <c r="X1297" s="1"/>
      <c r="Y1297" s="1"/>
    </row>
    <row r="1298" spans="6:25">
      <c r="G1298" s="63" t="s">
        <v>23</v>
      </c>
      <c r="H1298" s="135"/>
      <c r="I1298" s="74"/>
      <c r="J1298" s="75"/>
      <c r="K1298" s="75"/>
      <c r="L1298" s="75"/>
      <c r="M1298" s="75"/>
      <c r="N1298" s="75"/>
      <c r="O1298" s="75"/>
      <c r="P1298" s="75"/>
      <c r="Q1298" s="75"/>
      <c r="R1298" s="75"/>
      <c r="S1298" s="75"/>
      <c r="T1298" s="75"/>
      <c r="U1298" s="76"/>
      <c r="W1298" s="1"/>
      <c r="X1298" s="1"/>
      <c r="Y1298" s="1"/>
    </row>
    <row r="1299" spans="6:25">
      <c r="G1299" s="63" t="s">
        <v>89</v>
      </c>
      <c r="H1299" s="134"/>
      <c r="I1299" s="43"/>
      <c r="J1299" s="44"/>
      <c r="K1299" s="44"/>
      <c r="L1299" s="44"/>
      <c r="M1299" s="44"/>
      <c r="N1299" s="44"/>
      <c r="O1299" s="44"/>
      <c r="P1299" s="44"/>
      <c r="Q1299" s="44"/>
      <c r="R1299" s="44"/>
      <c r="S1299" s="44"/>
      <c r="T1299" s="44"/>
      <c r="U1299" s="45"/>
      <c r="W1299" s="1"/>
      <c r="X1299" s="1"/>
      <c r="Y1299" s="1"/>
    </row>
    <row r="1300" spans="6:25">
      <c r="G1300" s="26" t="s">
        <v>90</v>
      </c>
      <c r="I1300" s="7">
        <v>0</v>
      </c>
      <c r="J1300" s="7">
        <v>0</v>
      </c>
      <c r="K1300" s="7">
        <v>0</v>
      </c>
      <c r="L1300" s="7">
        <v>0</v>
      </c>
      <c r="M1300" s="7">
        <v>0</v>
      </c>
      <c r="N1300" s="7">
        <v>0</v>
      </c>
      <c r="O1300" s="7">
        <v>0</v>
      </c>
      <c r="P1300" s="7">
        <v>0</v>
      </c>
      <c r="Q1300" s="7">
        <v>0</v>
      </c>
      <c r="R1300" s="7">
        <v>0</v>
      </c>
      <c r="S1300" s="7">
        <v>0</v>
      </c>
      <c r="T1300" s="7">
        <v>0</v>
      </c>
      <c r="U1300" s="7">
        <v>0</v>
      </c>
      <c r="W1300" s="1"/>
      <c r="X1300" s="1"/>
      <c r="Y1300" s="1"/>
    </row>
    <row r="1301" spans="6:25">
      <c r="G1301" s="6"/>
      <c r="I1301" s="7"/>
      <c r="J1301" s="7"/>
      <c r="K1301" s="7"/>
      <c r="L1301" s="23"/>
      <c r="M1301" s="23"/>
      <c r="N1301" s="23"/>
      <c r="O1301" s="23"/>
      <c r="P1301" s="23"/>
      <c r="Q1301" s="23"/>
      <c r="R1301" s="23"/>
      <c r="S1301" s="23"/>
      <c r="T1301" s="23"/>
      <c r="U1301" s="23"/>
      <c r="W1301" s="1"/>
      <c r="X1301" s="1"/>
      <c r="Y1301" s="1"/>
    </row>
    <row r="1302" spans="6:25" ht="18.75">
      <c r="F1302" s="9" t="s">
        <v>100</v>
      </c>
      <c r="I1302" s="2">
        <f>'Facility Detail'!$G$3260</f>
        <v>2011</v>
      </c>
      <c r="J1302" s="2">
        <f>I1302+1</f>
        <v>2012</v>
      </c>
      <c r="K1302" s="2">
        <f t="shared" ref="K1302:R1302" si="564">J1302+1</f>
        <v>2013</v>
      </c>
      <c r="L1302" s="2">
        <f t="shared" si="564"/>
        <v>2014</v>
      </c>
      <c r="M1302" s="2">
        <f t="shared" si="564"/>
        <v>2015</v>
      </c>
      <c r="N1302" s="2">
        <f t="shared" si="564"/>
        <v>2016</v>
      </c>
      <c r="O1302" s="2">
        <f t="shared" si="564"/>
        <v>2017</v>
      </c>
      <c r="P1302" s="2">
        <f t="shared" si="564"/>
        <v>2018</v>
      </c>
      <c r="Q1302" s="2">
        <f t="shared" si="564"/>
        <v>2019</v>
      </c>
      <c r="R1302" s="2">
        <f t="shared" si="564"/>
        <v>2020</v>
      </c>
      <c r="S1302" s="304">
        <f>R1302+1</f>
        <v>2021</v>
      </c>
      <c r="T1302" s="2">
        <f>S1302+1</f>
        <v>2022</v>
      </c>
      <c r="U1302" s="2">
        <f>T1302+1</f>
        <v>2023</v>
      </c>
      <c r="W1302" s="1"/>
      <c r="X1302" s="1"/>
      <c r="Y1302" s="1"/>
    </row>
    <row r="1303" spans="6:25">
      <c r="G1303" s="62" t="s">
        <v>68</v>
      </c>
      <c r="H1303" s="57"/>
      <c r="I1303" s="3"/>
      <c r="J1303" s="46">
        <f>I1303</f>
        <v>0</v>
      </c>
      <c r="K1303" s="106"/>
      <c r="L1303" s="106"/>
      <c r="M1303" s="106"/>
      <c r="N1303" s="106"/>
      <c r="O1303" s="106"/>
      <c r="P1303" s="106"/>
      <c r="Q1303" s="106"/>
      <c r="R1303" s="106"/>
      <c r="S1303" s="322"/>
      <c r="T1303" s="106"/>
      <c r="U1303" s="47"/>
      <c r="W1303" s="1"/>
      <c r="X1303" s="1"/>
      <c r="Y1303" s="1"/>
    </row>
    <row r="1304" spans="6:25">
      <c r="G1304" s="62" t="s">
        <v>69</v>
      </c>
      <c r="H1304" s="57"/>
      <c r="I1304" s="127">
        <f>J1304</f>
        <v>0</v>
      </c>
      <c r="J1304" s="10"/>
      <c r="K1304" s="60"/>
      <c r="L1304" s="60"/>
      <c r="M1304" s="60"/>
      <c r="N1304" s="60"/>
      <c r="O1304" s="60"/>
      <c r="P1304" s="60"/>
      <c r="Q1304" s="60"/>
      <c r="R1304" s="60"/>
      <c r="S1304" s="330"/>
      <c r="T1304" s="60"/>
      <c r="U1304" s="128"/>
      <c r="W1304" s="1"/>
      <c r="X1304" s="1"/>
      <c r="Y1304" s="1"/>
    </row>
    <row r="1305" spans="6:25">
      <c r="G1305" s="62" t="s">
        <v>70</v>
      </c>
      <c r="H1305" s="57"/>
      <c r="I1305" s="48"/>
      <c r="J1305" s="10">
        <f>J1289</f>
        <v>0</v>
      </c>
      <c r="K1305" s="56">
        <f>J1305</f>
        <v>0</v>
      </c>
      <c r="L1305" s="60"/>
      <c r="M1305" s="60"/>
      <c r="N1305" s="60"/>
      <c r="O1305" s="60"/>
      <c r="P1305" s="60"/>
      <c r="Q1305" s="60"/>
      <c r="R1305" s="60"/>
      <c r="S1305" s="330"/>
      <c r="T1305" s="60"/>
      <c r="U1305" s="128"/>
      <c r="W1305" s="1"/>
      <c r="X1305" s="1"/>
      <c r="Y1305" s="1"/>
    </row>
    <row r="1306" spans="6:25">
      <c r="G1306" s="62" t="s">
        <v>71</v>
      </c>
      <c r="H1306" s="57"/>
      <c r="I1306" s="48"/>
      <c r="J1306" s="56">
        <f>K1306</f>
        <v>0</v>
      </c>
      <c r="K1306" s="126"/>
      <c r="L1306" s="60"/>
      <c r="M1306" s="60"/>
      <c r="N1306" s="60"/>
      <c r="O1306" s="60"/>
      <c r="P1306" s="60"/>
      <c r="Q1306" s="60"/>
      <c r="R1306" s="60"/>
      <c r="S1306" s="330"/>
      <c r="T1306" s="60"/>
      <c r="U1306" s="128"/>
      <c r="W1306" s="1"/>
      <c r="X1306" s="1"/>
      <c r="Y1306" s="1"/>
    </row>
    <row r="1307" spans="6:25">
      <c r="G1307" s="62" t="s">
        <v>170</v>
      </c>
      <c r="I1307" s="48"/>
      <c r="J1307" s="118"/>
      <c r="K1307" s="10">
        <f>K1289</f>
        <v>0</v>
      </c>
      <c r="L1307" s="119">
        <f>K1307</f>
        <v>0</v>
      </c>
      <c r="M1307" s="60"/>
      <c r="N1307" s="60"/>
      <c r="O1307" s="60"/>
      <c r="P1307" s="60"/>
      <c r="Q1307" s="60"/>
      <c r="R1307" s="60"/>
      <c r="S1307" s="330"/>
      <c r="T1307" s="60"/>
      <c r="U1307" s="128"/>
      <c r="W1307" s="1"/>
      <c r="X1307" s="1"/>
      <c r="Y1307" s="1"/>
    </row>
    <row r="1308" spans="6:25">
      <c r="G1308" s="62" t="s">
        <v>171</v>
      </c>
      <c r="I1308" s="48"/>
      <c r="J1308" s="118"/>
      <c r="K1308" s="56">
        <f>L1308</f>
        <v>0</v>
      </c>
      <c r="L1308" s="10"/>
      <c r="M1308" s="60"/>
      <c r="N1308" s="60"/>
      <c r="O1308" s="60"/>
      <c r="P1308" s="60"/>
      <c r="Q1308" s="60"/>
      <c r="R1308" s="60"/>
      <c r="S1308" s="330"/>
      <c r="T1308" s="60"/>
      <c r="U1308" s="128"/>
      <c r="W1308" s="1"/>
      <c r="X1308" s="1"/>
      <c r="Y1308" s="1"/>
    </row>
    <row r="1309" spans="6:25">
      <c r="G1309" s="62" t="s">
        <v>172</v>
      </c>
      <c r="I1309" s="48"/>
      <c r="J1309" s="118"/>
      <c r="K1309" s="118"/>
      <c r="L1309" s="10">
        <f>L1289</f>
        <v>0</v>
      </c>
      <c r="M1309" s="119">
        <f>L1309</f>
        <v>0</v>
      </c>
      <c r="N1309" s="118">
        <f>M1309</f>
        <v>0</v>
      </c>
      <c r="O1309" s="118"/>
      <c r="P1309" s="118"/>
      <c r="Q1309" s="118"/>
      <c r="R1309" s="118"/>
      <c r="S1309" s="324"/>
      <c r="T1309" s="118"/>
      <c r="U1309" s="122"/>
      <c r="W1309" s="1"/>
      <c r="X1309" s="1"/>
      <c r="Y1309" s="1"/>
    </row>
    <row r="1310" spans="6:25">
      <c r="G1310" s="62" t="s">
        <v>173</v>
      </c>
      <c r="I1310" s="48"/>
      <c r="J1310" s="118"/>
      <c r="K1310" s="118"/>
      <c r="L1310" s="120"/>
      <c r="M1310" s="121"/>
      <c r="N1310" s="118"/>
      <c r="O1310" s="118"/>
      <c r="P1310" s="118"/>
      <c r="Q1310" s="118"/>
      <c r="R1310" s="118"/>
      <c r="S1310" s="324"/>
      <c r="T1310" s="118"/>
      <c r="U1310" s="122"/>
      <c r="W1310" s="1"/>
      <c r="X1310" s="1"/>
      <c r="Y1310" s="1"/>
    </row>
    <row r="1311" spans="6:25">
      <c r="G1311" s="62" t="s">
        <v>174</v>
      </c>
      <c r="I1311" s="48"/>
      <c r="J1311" s="118"/>
      <c r="K1311" s="118"/>
      <c r="L1311" s="118"/>
      <c r="M1311" s="121">
        <v>0</v>
      </c>
      <c r="N1311" s="119">
        <f>M1311</f>
        <v>0</v>
      </c>
      <c r="O1311" s="60"/>
      <c r="P1311" s="60"/>
      <c r="Q1311" s="60"/>
      <c r="R1311" s="60"/>
      <c r="S1311" s="330"/>
      <c r="T1311" s="60"/>
      <c r="U1311" s="128"/>
      <c r="W1311" s="1"/>
      <c r="X1311" s="1"/>
      <c r="Y1311" s="1"/>
    </row>
    <row r="1312" spans="6:25">
      <c r="G1312" s="62" t="s">
        <v>175</v>
      </c>
      <c r="I1312" s="48"/>
      <c r="J1312" s="118"/>
      <c r="K1312" s="118"/>
      <c r="L1312" s="118"/>
      <c r="M1312" s="56"/>
      <c r="N1312" s="121"/>
      <c r="O1312" s="60"/>
      <c r="P1312" s="60"/>
      <c r="Q1312" s="118"/>
      <c r="R1312" s="118"/>
      <c r="S1312" s="324"/>
      <c r="T1312" s="118"/>
      <c r="U1312" s="122"/>
      <c r="W1312" s="1"/>
      <c r="X1312" s="1"/>
      <c r="Y1312" s="1"/>
    </row>
    <row r="1313" spans="2:25">
      <c r="G1313" s="62" t="s">
        <v>176</v>
      </c>
      <c r="I1313" s="48"/>
      <c r="J1313" s="118"/>
      <c r="K1313" s="118"/>
      <c r="L1313" s="118"/>
      <c r="M1313" s="118"/>
      <c r="N1313" s="121">
        <f>N1289</f>
        <v>0</v>
      </c>
      <c r="O1313" s="119">
        <f>N1313</f>
        <v>0</v>
      </c>
      <c r="P1313" s="118"/>
      <c r="Q1313" s="118"/>
      <c r="R1313" s="118"/>
      <c r="S1313" s="324"/>
      <c r="T1313" s="118"/>
      <c r="U1313" s="122"/>
      <c r="W1313" s="1"/>
      <c r="X1313" s="1"/>
      <c r="Y1313" s="1"/>
    </row>
    <row r="1314" spans="2:25">
      <c r="G1314" s="62" t="s">
        <v>167</v>
      </c>
      <c r="I1314" s="48"/>
      <c r="J1314" s="118"/>
      <c r="K1314" s="118"/>
      <c r="L1314" s="118"/>
      <c r="M1314" s="118"/>
      <c r="N1314" s="120"/>
      <c r="O1314" s="121"/>
      <c r="P1314" s="118"/>
      <c r="Q1314" s="118"/>
      <c r="R1314" s="118"/>
      <c r="S1314" s="324"/>
      <c r="T1314" s="118"/>
      <c r="U1314" s="122"/>
      <c r="W1314" s="1"/>
      <c r="X1314" s="1"/>
      <c r="Y1314" s="1"/>
    </row>
    <row r="1315" spans="2:25">
      <c r="G1315" s="62" t="s">
        <v>168</v>
      </c>
      <c r="I1315" s="48"/>
      <c r="J1315" s="118"/>
      <c r="K1315" s="118"/>
      <c r="L1315" s="118"/>
      <c r="M1315" s="118"/>
      <c r="N1315" s="118"/>
      <c r="O1315" s="121"/>
      <c r="P1315" s="119">
        <f>O1315</f>
        <v>0</v>
      </c>
      <c r="Q1315" s="118"/>
      <c r="R1315" s="118"/>
      <c r="S1315" s="324"/>
      <c r="T1315" s="118"/>
      <c r="U1315" s="122"/>
      <c r="W1315" s="1"/>
      <c r="X1315" s="1"/>
      <c r="Y1315" s="1"/>
    </row>
    <row r="1316" spans="2:25">
      <c r="G1316" s="62" t="s">
        <v>185</v>
      </c>
      <c r="I1316" s="48"/>
      <c r="J1316" s="118"/>
      <c r="K1316" s="118"/>
      <c r="L1316" s="118"/>
      <c r="M1316" s="118"/>
      <c r="N1316" s="118"/>
      <c r="O1316" s="120"/>
      <c r="P1316" s="121"/>
      <c r="Q1316" s="118"/>
      <c r="R1316" s="118"/>
      <c r="S1316" s="324"/>
      <c r="T1316" s="118"/>
      <c r="U1316" s="122"/>
      <c r="W1316" s="1"/>
      <c r="X1316" s="1"/>
      <c r="Y1316" s="1"/>
    </row>
    <row r="1317" spans="2:25">
      <c r="G1317" s="62" t="s">
        <v>186</v>
      </c>
      <c r="I1317" s="48"/>
      <c r="J1317" s="118"/>
      <c r="K1317" s="118"/>
      <c r="L1317" s="118"/>
      <c r="M1317" s="118"/>
      <c r="N1317" s="118"/>
      <c r="O1317" s="118"/>
      <c r="P1317" s="121">
        <f>P1293</f>
        <v>0</v>
      </c>
      <c r="Q1317" s="119">
        <f>P1317</f>
        <v>0</v>
      </c>
      <c r="R1317" s="118"/>
      <c r="S1317" s="324"/>
      <c r="T1317" s="118"/>
      <c r="U1317" s="122"/>
      <c r="W1317" s="1"/>
      <c r="X1317" s="1"/>
      <c r="Y1317" s="1"/>
    </row>
    <row r="1318" spans="2:25">
      <c r="G1318" s="62" t="s">
        <v>187</v>
      </c>
      <c r="I1318" s="48"/>
      <c r="J1318" s="118"/>
      <c r="K1318" s="118"/>
      <c r="L1318" s="118"/>
      <c r="M1318" s="118"/>
      <c r="N1318" s="118"/>
      <c r="O1318" s="118"/>
      <c r="P1318" s="120"/>
      <c r="Q1318" s="121"/>
      <c r="R1318" s="118"/>
      <c r="S1318" s="324"/>
      <c r="T1318" s="118"/>
      <c r="U1318" s="122"/>
      <c r="W1318" s="1"/>
      <c r="X1318" s="1"/>
      <c r="Y1318" s="1"/>
    </row>
    <row r="1319" spans="2:25">
      <c r="G1319" s="62" t="s">
        <v>188</v>
      </c>
      <c r="I1319" s="48"/>
      <c r="J1319" s="118"/>
      <c r="K1319" s="118"/>
      <c r="L1319" s="118"/>
      <c r="M1319" s="118"/>
      <c r="N1319" s="118"/>
      <c r="O1319" s="118"/>
      <c r="P1319" s="118"/>
      <c r="Q1319" s="121">
        <f>Q1295</f>
        <v>0</v>
      </c>
      <c r="R1319" s="119">
        <f>Q1319</f>
        <v>0</v>
      </c>
      <c r="S1319" s="118"/>
      <c r="T1319" s="118"/>
      <c r="U1319" s="122"/>
      <c r="W1319" s="1"/>
      <c r="X1319" s="1"/>
      <c r="Y1319" s="1"/>
    </row>
    <row r="1320" spans="2:25">
      <c r="G1320" s="62" t="s">
        <v>189</v>
      </c>
      <c r="I1320" s="48"/>
      <c r="J1320" s="118"/>
      <c r="K1320" s="118"/>
      <c r="L1320" s="118"/>
      <c r="M1320" s="118"/>
      <c r="N1320" s="118"/>
      <c r="O1320" s="118"/>
      <c r="P1320" s="118"/>
      <c r="Q1320" s="120"/>
      <c r="R1320" s="121"/>
      <c r="S1320" s="119"/>
      <c r="T1320" s="118"/>
      <c r="U1320" s="122"/>
      <c r="W1320" s="1"/>
      <c r="X1320" s="1"/>
      <c r="Y1320" s="1"/>
    </row>
    <row r="1321" spans="2:25">
      <c r="G1321" s="62" t="s">
        <v>190</v>
      </c>
      <c r="I1321" s="49"/>
      <c r="J1321" s="108"/>
      <c r="K1321" s="108"/>
      <c r="L1321" s="108"/>
      <c r="M1321" s="108"/>
      <c r="N1321" s="108"/>
      <c r="O1321" s="108"/>
      <c r="P1321" s="108"/>
      <c r="Q1321" s="108"/>
      <c r="R1321" s="123">
        <f>R1297</f>
        <v>0</v>
      </c>
      <c r="S1321" s="123">
        <f>R1321</f>
        <v>0</v>
      </c>
      <c r="T1321" s="193">
        <f>S1321</f>
        <v>0</v>
      </c>
      <c r="U1321" s="459"/>
      <c r="W1321" s="1"/>
      <c r="X1321" s="1"/>
      <c r="Y1321" s="1"/>
    </row>
    <row r="1322" spans="2:25">
      <c r="B1322" s="1" t="s">
        <v>198</v>
      </c>
      <c r="G1322" s="26" t="s">
        <v>17</v>
      </c>
      <c r="I1322" s="154">
        <f xml:space="preserve"> I1309 - I1308</f>
        <v>0</v>
      </c>
      <c r="J1322" s="154">
        <f xml:space="preserve"> J1308 + J1311 - J1310 - J1309</f>
        <v>0</v>
      </c>
      <c r="K1322" s="154">
        <f>K1310 - K1311</f>
        <v>0</v>
      </c>
      <c r="L1322" s="154">
        <f>L1310 - L1311</f>
        <v>0</v>
      </c>
      <c r="M1322" s="154">
        <f>M1309-M1310-M1311</f>
        <v>0</v>
      </c>
      <c r="N1322" s="154">
        <f>N1311-N1312-N1313</f>
        <v>0</v>
      </c>
      <c r="O1322" s="154">
        <f t="shared" ref="O1322:U1322" si="565">O1313-O1314-O1315</f>
        <v>0</v>
      </c>
      <c r="P1322" s="154">
        <f t="shared" si="565"/>
        <v>0</v>
      </c>
      <c r="Q1322" s="154">
        <f t="shared" si="565"/>
        <v>0</v>
      </c>
      <c r="R1322" s="154">
        <f t="shared" si="565"/>
        <v>0</v>
      </c>
      <c r="S1322" s="327">
        <f t="shared" si="565"/>
        <v>0</v>
      </c>
      <c r="T1322" s="154">
        <f t="shared" si="565"/>
        <v>0</v>
      </c>
      <c r="U1322" s="154">
        <f t="shared" si="565"/>
        <v>0</v>
      </c>
      <c r="W1322" s="1"/>
      <c r="X1322" s="1"/>
      <c r="Y1322" s="1"/>
    </row>
    <row r="1323" spans="2:25">
      <c r="G1323" s="6"/>
      <c r="I1323" s="154"/>
      <c r="J1323" s="154"/>
      <c r="K1323" s="154"/>
      <c r="L1323" s="154"/>
      <c r="M1323" s="154"/>
      <c r="N1323" s="154"/>
      <c r="O1323" s="154"/>
      <c r="P1323" s="154"/>
      <c r="Q1323" s="154"/>
      <c r="R1323" s="154"/>
      <c r="S1323" s="154"/>
      <c r="T1323" s="154"/>
      <c r="U1323" s="154"/>
      <c r="W1323" s="1"/>
      <c r="X1323" s="1"/>
      <c r="Y1323" s="1"/>
    </row>
    <row r="1324" spans="2:25">
      <c r="G1324" s="26" t="s">
        <v>12</v>
      </c>
      <c r="H1324" s="57"/>
      <c r="I1324" s="155"/>
      <c r="J1324" s="156"/>
      <c r="K1324" s="156"/>
      <c r="L1324" s="156"/>
      <c r="M1324" s="156"/>
      <c r="N1324" s="156"/>
      <c r="O1324" s="156"/>
      <c r="P1324" s="156"/>
      <c r="Q1324" s="156"/>
      <c r="R1324" s="156"/>
      <c r="S1324" s="156"/>
      <c r="T1324" s="156"/>
      <c r="U1324" s="267"/>
      <c r="W1324" s="1"/>
      <c r="X1324" s="1"/>
      <c r="Y1324" s="1"/>
    </row>
    <row r="1325" spans="2:25">
      <c r="G1325" s="6"/>
      <c r="I1325" s="154"/>
      <c r="J1325" s="154"/>
      <c r="K1325" s="154"/>
      <c r="L1325" s="154"/>
      <c r="M1325" s="154"/>
      <c r="N1325" s="154"/>
      <c r="O1325" s="154"/>
      <c r="P1325" s="154"/>
      <c r="Q1325" s="154"/>
      <c r="R1325" s="154"/>
      <c r="S1325" s="154"/>
      <c r="T1325" s="154"/>
      <c r="U1325" s="154"/>
      <c r="W1325" s="1"/>
      <c r="X1325" s="1"/>
      <c r="Y1325" s="1"/>
    </row>
    <row r="1326" spans="2:25" ht="18.75">
      <c r="C1326" s="1" t="s">
        <v>198</v>
      </c>
      <c r="D1326" s="1" t="s">
        <v>196</v>
      </c>
      <c r="E1326" s="1" t="s">
        <v>108</v>
      </c>
      <c r="F1326" s="9" t="s">
        <v>26</v>
      </c>
      <c r="H1326" s="57"/>
      <c r="I1326" s="157">
        <f t="shared" ref="I1326:U1326" si="566" xml:space="preserve"> I1289 + I1294 - I1300 + I1322 + I1324</f>
        <v>0</v>
      </c>
      <c r="J1326" s="158">
        <f t="shared" si="566"/>
        <v>0</v>
      </c>
      <c r="K1326" s="158">
        <f t="shared" si="566"/>
        <v>0</v>
      </c>
      <c r="L1326" s="158">
        <f t="shared" si="566"/>
        <v>0</v>
      </c>
      <c r="M1326" s="158">
        <f t="shared" si="566"/>
        <v>0</v>
      </c>
      <c r="N1326" s="158">
        <f t="shared" si="566"/>
        <v>0</v>
      </c>
      <c r="O1326" s="158">
        <f t="shared" si="566"/>
        <v>0</v>
      </c>
      <c r="P1326" s="158">
        <f t="shared" si="566"/>
        <v>0</v>
      </c>
      <c r="Q1326" s="158">
        <f t="shared" si="566"/>
        <v>0</v>
      </c>
      <c r="R1326" s="158">
        <f t="shared" si="566"/>
        <v>75000</v>
      </c>
      <c r="S1326" s="158">
        <f t="shared" si="566"/>
        <v>0</v>
      </c>
      <c r="T1326" s="158">
        <f t="shared" si="566"/>
        <v>0</v>
      </c>
      <c r="U1326" s="268">
        <f t="shared" si="566"/>
        <v>0</v>
      </c>
      <c r="W1326" s="1"/>
      <c r="X1326" s="1"/>
      <c r="Y1326" s="1"/>
    </row>
    <row r="1327" spans="2:25" ht="15.75" thickBot="1">
      <c r="W1327" s="1"/>
      <c r="X1327" s="1"/>
      <c r="Y1327" s="1"/>
    </row>
    <row r="1328" spans="2:25">
      <c r="F1328" s="8"/>
      <c r="G1328" s="8"/>
      <c r="H1328" s="8"/>
      <c r="I1328" s="8"/>
      <c r="J1328" s="8"/>
      <c r="K1328" s="8"/>
      <c r="L1328" s="8"/>
      <c r="M1328" s="8"/>
      <c r="N1328" s="8"/>
      <c r="O1328" s="8"/>
      <c r="P1328" s="8"/>
      <c r="Q1328" s="8"/>
      <c r="R1328" s="8"/>
      <c r="S1328" s="290"/>
      <c r="T1328" s="8"/>
      <c r="U1328" s="8"/>
      <c r="W1328" s="1"/>
      <c r="X1328" s="1"/>
      <c r="Y1328" s="1"/>
    </row>
    <row r="1329" spans="1:25" ht="15.75" thickBot="1">
      <c r="W1329" s="1"/>
      <c r="X1329" s="1"/>
      <c r="Y1329" s="1"/>
    </row>
    <row r="1330" spans="1:25" ht="21.75" thickBot="1">
      <c r="F1330" s="13" t="s">
        <v>4</v>
      </c>
      <c r="G1330" s="13"/>
      <c r="H1330" s="196" t="str">
        <f>G31</f>
        <v>Hidden Hollow - REC Only</v>
      </c>
      <c r="I1330" s="183"/>
      <c r="W1330" s="1"/>
      <c r="X1330" s="1"/>
      <c r="Y1330" s="1"/>
    </row>
    <row r="1331" spans="1:25">
      <c r="W1331" s="1"/>
      <c r="X1331" s="1"/>
      <c r="Y1331" s="1"/>
    </row>
    <row r="1332" spans="1:25" ht="18.75">
      <c r="F1332" s="9" t="s">
        <v>21</v>
      </c>
      <c r="G1332" s="9"/>
      <c r="I1332" s="2">
        <f>'Facility Detail'!$G$3260</f>
        <v>2011</v>
      </c>
      <c r="J1332" s="2">
        <f>I1332+1</f>
        <v>2012</v>
      </c>
      <c r="K1332" s="2">
        <f>J1332+1</f>
        <v>2013</v>
      </c>
      <c r="L1332" s="2">
        <f t="shared" ref="L1332:R1332" si="567">K1332+1</f>
        <v>2014</v>
      </c>
      <c r="M1332" s="2">
        <f t="shared" si="567"/>
        <v>2015</v>
      </c>
      <c r="N1332" s="2">
        <f t="shared" si="567"/>
        <v>2016</v>
      </c>
      <c r="O1332" s="2">
        <f t="shared" si="567"/>
        <v>2017</v>
      </c>
      <c r="P1332" s="2">
        <f t="shared" si="567"/>
        <v>2018</v>
      </c>
      <c r="Q1332" s="2">
        <f t="shared" si="567"/>
        <v>2019</v>
      </c>
      <c r="R1332" s="2">
        <f t="shared" si="567"/>
        <v>2020</v>
      </c>
      <c r="S1332" s="304">
        <f>R1332+1</f>
        <v>2021</v>
      </c>
      <c r="T1332" s="2">
        <f>S1332+1</f>
        <v>2022</v>
      </c>
      <c r="U1332" s="2">
        <f>T1332+1</f>
        <v>2023</v>
      </c>
      <c r="W1332" s="1"/>
      <c r="X1332" s="1"/>
      <c r="Y1332" s="1"/>
    </row>
    <row r="1333" spans="1:25">
      <c r="G1333" s="62" t="str">
        <f>"Total MWh Produced / Purchased from " &amp; H1330</f>
        <v>Total MWh Produced / Purchased from Hidden Hollow - REC Only</v>
      </c>
      <c r="H1333" s="57"/>
      <c r="I1333" s="3"/>
      <c r="J1333" s="4"/>
      <c r="K1333" s="4"/>
      <c r="L1333" s="4"/>
      <c r="M1333" s="4">
        <v>12501</v>
      </c>
      <c r="N1333" s="4">
        <v>3960</v>
      </c>
      <c r="O1333" s="4"/>
      <c r="P1333" s="4"/>
      <c r="Q1333" s="4"/>
      <c r="R1333" s="4"/>
      <c r="S1333" s="308"/>
      <c r="T1333" s="4"/>
      <c r="U1333" s="5"/>
      <c r="W1333" s="1"/>
      <c r="X1333" s="1"/>
      <c r="Y1333" s="1"/>
    </row>
    <row r="1334" spans="1:25">
      <c r="G1334" s="62" t="s">
        <v>25</v>
      </c>
      <c r="H1334" s="57"/>
      <c r="I1334" s="269"/>
      <c r="J1334" s="41"/>
      <c r="K1334" s="41"/>
      <c r="L1334" s="41"/>
      <c r="M1334" s="41">
        <v>1</v>
      </c>
      <c r="N1334" s="41">
        <v>1</v>
      </c>
      <c r="O1334" s="41"/>
      <c r="P1334" s="41"/>
      <c r="Q1334" s="41"/>
      <c r="R1334" s="41"/>
      <c r="S1334" s="309"/>
      <c r="T1334" s="41"/>
      <c r="U1334" s="42"/>
      <c r="W1334" s="1"/>
      <c r="X1334" s="1"/>
      <c r="Y1334" s="1"/>
    </row>
    <row r="1335" spans="1:25">
      <c r="G1335" s="62" t="s">
        <v>20</v>
      </c>
      <c r="H1335" s="57"/>
      <c r="I1335" s="270"/>
      <c r="J1335" s="36"/>
      <c r="K1335" s="36"/>
      <c r="L1335" s="36"/>
      <c r="M1335" s="36">
        <v>1</v>
      </c>
      <c r="N1335" s="36">
        <v>1</v>
      </c>
      <c r="O1335" s="36"/>
      <c r="P1335" s="36"/>
      <c r="Q1335" s="36"/>
      <c r="R1335" s="36"/>
      <c r="S1335" s="310"/>
      <c r="T1335" s="36"/>
      <c r="U1335" s="37"/>
      <c r="W1335" s="1"/>
      <c r="X1335" s="1"/>
      <c r="Y1335" s="1"/>
    </row>
    <row r="1336" spans="1:25">
      <c r="A1336" s="1" t="s">
        <v>282</v>
      </c>
      <c r="G1336" s="26" t="s">
        <v>22</v>
      </c>
      <c r="H1336" s="6"/>
      <c r="I1336" s="30">
        <f xml:space="preserve"> I1333 * I1334 * I1335</f>
        <v>0</v>
      </c>
      <c r="J1336" s="30">
        <f xml:space="preserve"> J1333 * J1334 * J1335</f>
        <v>0</v>
      </c>
      <c r="K1336" s="30">
        <f xml:space="preserve"> K1333 * K1334 * K1335</f>
        <v>0</v>
      </c>
      <c r="L1336" s="30">
        <f t="shared" ref="L1336" si="568" xml:space="preserve"> L1333 * L1334 * L1335</f>
        <v>0</v>
      </c>
      <c r="M1336" s="30">
        <v>12501</v>
      </c>
      <c r="N1336" s="161">
        <v>3960</v>
      </c>
      <c r="O1336" s="161"/>
      <c r="P1336" s="161"/>
      <c r="Q1336" s="161"/>
      <c r="R1336" s="161"/>
      <c r="S1336" s="311"/>
      <c r="T1336" s="161"/>
      <c r="U1336" s="161"/>
      <c r="W1336" s="1"/>
      <c r="X1336" s="1"/>
      <c r="Y1336" s="1"/>
    </row>
    <row r="1337" spans="1:25">
      <c r="I1337" s="29"/>
      <c r="J1337" s="29"/>
      <c r="K1337" s="29"/>
      <c r="L1337" s="29"/>
      <c r="M1337" s="29"/>
      <c r="N1337" s="20"/>
      <c r="O1337" s="20"/>
      <c r="P1337" s="20"/>
      <c r="Q1337" s="20"/>
      <c r="R1337" s="20"/>
      <c r="S1337" s="312"/>
      <c r="T1337" s="20"/>
      <c r="U1337" s="20"/>
      <c r="W1337" s="1"/>
      <c r="X1337" s="1"/>
      <c r="Y1337" s="1"/>
    </row>
    <row r="1338" spans="1:25" ht="18.75">
      <c r="F1338" s="9" t="s">
        <v>118</v>
      </c>
      <c r="I1338" s="2">
        <f>'Facility Detail'!$G$3260</f>
        <v>2011</v>
      </c>
      <c r="J1338" s="2">
        <f>I1338+1</f>
        <v>2012</v>
      </c>
      <c r="K1338" s="2">
        <f>J1338+1</f>
        <v>2013</v>
      </c>
      <c r="L1338" s="2">
        <f t="shared" ref="L1338:O1338" si="569">K1338+1</f>
        <v>2014</v>
      </c>
      <c r="M1338" s="2">
        <f t="shared" si="569"/>
        <v>2015</v>
      </c>
      <c r="N1338" s="2">
        <f t="shared" si="569"/>
        <v>2016</v>
      </c>
      <c r="O1338" s="2">
        <f t="shared" si="569"/>
        <v>2017</v>
      </c>
      <c r="P1338" s="2">
        <f>P1332</f>
        <v>2018</v>
      </c>
      <c r="Q1338" s="2">
        <f t="shared" ref="Q1338:S1338" si="570">Q1332</f>
        <v>2019</v>
      </c>
      <c r="R1338" s="2">
        <f t="shared" si="570"/>
        <v>2020</v>
      </c>
      <c r="S1338" s="304">
        <f t="shared" si="570"/>
        <v>2021</v>
      </c>
      <c r="T1338" s="2">
        <f t="shared" ref="T1338:U1338" si="571">T1332</f>
        <v>2022</v>
      </c>
      <c r="U1338" s="2">
        <f t="shared" si="571"/>
        <v>2023</v>
      </c>
      <c r="W1338" s="1"/>
      <c r="X1338" s="1"/>
      <c r="Y1338" s="1"/>
    </row>
    <row r="1339" spans="1:25">
      <c r="G1339" s="62" t="s">
        <v>10</v>
      </c>
      <c r="H1339" s="57"/>
      <c r="I1339" s="38">
        <f>IF($J31 = "Eligible", I1336 * 'Facility Detail'!$G$3257, 0 )</f>
        <v>0</v>
      </c>
      <c r="J1339" s="11">
        <f>IF($J31 = "Eligible", J1336 * 'Facility Detail'!$G$3257, 0 )</f>
        <v>0</v>
      </c>
      <c r="K1339" s="11">
        <f>IF($J31 = "Eligible", K1336 * 'Facility Detail'!$G$3257, 0 )</f>
        <v>0</v>
      </c>
      <c r="L1339" s="11">
        <f>IF($J31 = "Eligible", L1336 * 'Facility Detail'!$G$3257, 0 )</f>
        <v>0</v>
      </c>
      <c r="M1339" s="11">
        <f>IF($J31 = "Eligible", M1336 * 'Facility Detail'!$G$3257, 0 )</f>
        <v>0</v>
      </c>
      <c r="N1339" s="11">
        <f>IF($J31 = "Eligible", N1336 * 'Facility Detail'!$G$3257, 0 )</f>
        <v>0</v>
      </c>
      <c r="O1339" s="11">
        <f>IF($J31 = "Eligible", O1336 * 'Facility Detail'!$G$3257, 0 )</f>
        <v>0</v>
      </c>
      <c r="P1339" s="11">
        <f>IF($J31 = "Eligible", P1336 * 'Facility Detail'!$G$3257, 0 )</f>
        <v>0</v>
      </c>
      <c r="Q1339" s="11">
        <f>IF($J31 = "Eligible", Q1336 * 'Facility Detail'!$G$3257, 0 )</f>
        <v>0</v>
      </c>
      <c r="R1339" s="11">
        <f>IF($J31 = "Eligible", R1336 * 'Facility Detail'!$G$3257, 0 )</f>
        <v>0</v>
      </c>
      <c r="S1339" s="313">
        <f>IF($J31 = "Eligible", S1336 * 'Facility Detail'!$G$3257, 0 )</f>
        <v>0</v>
      </c>
      <c r="T1339" s="11">
        <f>IF($J31 = "Eligible", T1336 * 'Facility Detail'!$G$3257, 0 )</f>
        <v>0</v>
      </c>
      <c r="U1339" s="223">
        <f>IF($J31 = "Eligible", U1336 * 'Facility Detail'!$G$3257, 0 )</f>
        <v>0</v>
      </c>
      <c r="W1339" s="1"/>
      <c r="X1339" s="1"/>
      <c r="Y1339" s="1"/>
    </row>
    <row r="1340" spans="1:25">
      <c r="G1340" s="62" t="s">
        <v>6</v>
      </c>
      <c r="H1340" s="57"/>
      <c r="I1340" s="39">
        <f t="shared" ref="I1340:U1340" si="572">IF($K80= "Eligible", I1336, 0 )</f>
        <v>0</v>
      </c>
      <c r="J1340" s="193">
        <f t="shared" si="572"/>
        <v>0</v>
      </c>
      <c r="K1340" s="193">
        <f t="shared" si="572"/>
        <v>0</v>
      </c>
      <c r="L1340" s="193">
        <f t="shared" si="572"/>
        <v>0</v>
      </c>
      <c r="M1340" s="193">
        <f t="shared" si="572"/>
        <v>0</v>
      </c>
      <c r="N1340" s="193">
        <f t="shared" si="572"/>
        <v>0</v>
      </c>
      <c r="O1340" s="193">
        <f t="shared" si="572"/>
        <v>0</v>
      </c>
      <c r="P1340" s="193">
        <f t="shared" si="572"/>
        <v>0</v>
      </c>
      <c r="Q1340" s="193">
        <f t="shared" si="572"/>
        <v>0</v>
      </c>
      <c r="R1340" s="193">
        <f t="shared" si="572"/>
        <v>0</v>
      </c>
      <c r="S1340" s="314">
        <f t="shared" si="572"/>
        <v>0</v>
      </c>
      <c r="T1340" s="193">
        <f t="shared" si="572"/>
        <v>0</v>
      </c>
      <c r="U1340" s="224">
        <f t="shared" si="572"/>
        <v>0</v>
      </c>
      <c r="W1340" s="1"/>
      <c r="X1340" s="1"/>
      <c r="Y1340" s="1"/>
    </row>
    <row r="1341" spans="1:25">
      <c r="G1341" s="26" t="s">
        <v>120</v>
      </c>
      <c r="H1341" s="6"/>
      <c r="I1341" s="32">
        <f>SUM(I1339:I1340)</f>
        <v>0</v>
      </c>
      <c r="J1341" s="33">
        <f>SUM(J1339:J1340)</f>
        <v>0</v>
      </c>
      <c r="K1341" s="33">
        <f>SUM(K1339:K1340)</f>
        <v>0</v>
      </c>
      <c r="L1341" s="33">
        <f t="shared" ref="L1341:S1341" si="573">SUM(L1339:L1340)</f>
        <v>0</v>
      </c>
      <c r="M1341" s="33">
        <f t="shared" si="573"/>
        <v>0</v>
      </c>
      <c r="N1341" s="33">
        <f t="shared" si="573"/>
        <v>0</v>
      </c>
      <c r="O1341" s="33">
        <f t="shared" si="573"/>
        <v>0</v>
      </c>
      <c r="P1341" s="33">
        <f t="shared" si="573"/>
        <v>0</v>
      </c>
      <c r="Q1341" s="33">
        <f t="shared" si="573"/>
        <v>0</v>
      </c>
      <c r="R1341" s="33">
        <f t="shared" si="573"/>
        <v>0</v>
      </c>
      <c r="S1341" s="315">
        <f t="shared" si="573"/>
        <v>0</v>
      </c>
      <c r="T1341" s="33">
        <f t="shared" ref="T1341:U1341" si="574">SUM(T1339:T1340)</f>
        <v>0</v>
      </c>
      <c r="U1341" s="33">
        <f t="shared" si="574"/>
        <v>0</v>
      </c>
      <c r="W1341" s="1"/>
      <c r="X1341" s="1"/>
      <c r="Y1341" s="1"/>
    </row>
    <row r="1342" spans="1:25">
      <c r="I1342" s="31"/>
      <c r="J1342" s="24"/>
      <c r="K1342" s="24"/>
      <c r="L1342" s="24"/>
      <c r="M1342" s="24"/>
      <c r="N1342" s="24"/>
      <c r="O1342" s="24"/>
      <c r="P1342" s="24"/>
      <c r="Q1342" s="24"/>
      <c r="R1342" s="24"/>
      <c r="S1342" s="316"/>
      <c r="T1342" s="24"/>
      <c r="U1342" s="24"/>
      <c r="W1342" s="1"/>
      <c r="X1342" s="1"/>
      <c r="Y1342" s="1"/>
    </row>
    <row r="1343" spans="1:25" ht="18.75">
      <c r="F1343" s="9" t="s">
        <v>30</v>
      </c>
      <c r="I1343" s="2">
        <f>'Facility Detail'!$G$3260</f>
        <v>2011</v>
      </c>
      <c r="J1343" s="2">
        <f>I1343+1</f>
        <v>2012</v>
      </c>
      <c r="K1343" s="2">
        <f>J1343+1</f>
        <v>2013</v>
      </c>
      <c r="L1343" s="2">
        <f t="shared" ref="L1343:R1343" si="575">K1343+1</f>
        <v>2014</v>
      </c>
      <c r="M1343" s="2">
        <f t="shared" si="575"/>
        <v>2015</v>
      </c>
      <c r="N1343" s="2">
        <f t="shared" si="575"/>
        <v>2016</v>
      </c>
      <c r="O1343" s="2">
        <f t="shared" si="575"/>
        <v>2017</v>
      </c>
      <c r="P1343" s="2">
        <f t="shared" si="575"/>
        <v>2018</v>
      </c>
      <c r="Q1343" s="2">
        <f t="shared" si="575"/>
        <v>2019</v>
      </c>
      <c r="R1343" s="2">
        <f t="shared" si="575"/>
        <v>2020</v>
      </c>
      <c r="S1343" s="304">
        <f>R1343+1</f>
        <v>2021</v>
      </c>
      <c r="T1343" s="2">
        <f>S1343+1</f>
        <v>2022</v>
      </c>
      <c r="U1343" s="2">
        <f>T1343+1</f>
        <v>2023</v>
      </c>
      <c r="W1343" s="1"/>
      <c r="X1343" s="1"/>
      <c r="Y1343" s="1"/>
    </row>
    <row r="1344" spans="1:25">
      <c r="G1344" s="62" t="s">
        <v>47</v>
      </c>
      <c r="H1344" s="57"/>
      <c r="I1344" s="71"/>
      <c r="J1344" s="72"/>
      <c r="K1344" s="72"/>
      <c r="L1344" s="72"/>
      <c r="M1344" s="72"/>
      <c r="N1344" s="72"/>
      <c r="O1344" s="72"/>
      <c r="P1344" s="72"/>
      <c r="Q1344" s="72"/>
      <c r="R1344" s="72"/>
      <c r="S1344" s="317"/>
      <c r="T1344" s="72"/>
      <c r="U1344" s="73"/>
      <c r="W1344" s="1"/>
      <c r="X1344" s="1"/>
      <c r="Y1344" s="1"/>
    </row>
    <row r="1345" spans="6:25">
      <c r="G1345" s="63" t="s">
        <v>23</v>
      </c>
      <c r="H1345" s="135"/>
      <c r="I1345" s="74"/>
      <c r="J1345" s="75"/>
      <c r="K1345" s="75"/>
      <c r="L1345" s="75"/>
      <c r="M1345" s="75"/>
      <c r="N1345" s="75"/>
      <c r="O1345" s="75"/>
      <c r="P1345" s="75"/>
      <c r="Q1345" s="75"/>
      <c r="R1345" s="75"/>
      <c r="S1345" s="318"/>
      <c r="T1345" s="75"/>
      <c r="U1345" s="76"/>
      <c r="W1345" s="1"/>
      <c r="X1345" s="1"/>
      <c r="Y1345" s="1"/>
    </row>
    <row r="1346" spans="6:25">
      <c r="G1346" s="63" t="s">
        <v>89</v>
      </c>
      <c r="H1346" s="134"/>
      <c r="I1346" s="43"/>
      <c r="J1346" s="44"/>
      <c r="K1346" s="44"/>
      <c r="L1346" s="44"/>
      <c r="M1346" s="44"/>
      <c r="N1346" s="44"/>
      <c r="O1346" s="44"/>
      <c r="P1346" s="44"/>
      <c r="Q1346" s="44"/>
      <c r="R1346" s="44"/>
      <c r="S1346" s="319"/>
      <c r="T1346" s="44"/>
      <c r="U1346" s="45"/>
      <c r="W1346" s="1"/>
      <c r="X1346" s="1"/>
      <c r="Y1346" s="1"/>
    </row>
    <row r="1347" spans="6:25">
      <c r="G1347" s="26" t="s">
        <v>90</v>
      </c>
      <c r="I1347" s="7">
        <f>SUM(I1344:I1346)</f>
        <v>0</v>
      </c>
      <c r="J1347" s="7">
        <f>SUM(J1344:J1346)</f>
        <v>0</v>
      </c>
      <c r="K1347" s="7">
        <f>SUM(K1344:K1346)</f>
        <v>0</v>
      </c>
      <c r="L1347" s="7">
        <f t="shared" ref="L1347:S1347" si="576">SUM(L1344:L1346)</f>
        <v>0</v>
      </c>
      <c r="M1347" s="7">
        <f t="shared" si="576"/>
        <v>0</v>
      </c>
      <c r="N1347" s="7">
        <f t="shared" si="576"/>
        <v>0</v>
      </c>
      <c r="O1347" s="7">
        <f t="shared" si="576"/>
        <v>0</v>
      </c>
      <c r="P1347" s="7">
        <f t="shared" si="576"/>
        <v>0</v>
      </c>
      <c r="Q1347" s="7">
        <f t="shared" si="576"/>
        <v>0</v>
      </c>
      <c r="R1347" s="7">
        <f t="shared" si="576"/>
        <v>0</v>
      </c>
      <c r="S1347" s="320">
        <f t="shared" si="576"/>
        <v>0</v>
      </c>
      <c r="T1347" s="7">
        <f t="shared" ref="T1347:U1347" si="577">SUM(T1344:T1346)</f>
        <v>0</v>
      </c>
      <c r="U1347" s="7">
        <f t="shared" si="577"/>
        <v>0</v>
      </c>
      <c r="W1347" s="1"/>
      <c r="X1347" s="1"/>
      <c r="Y1347" s="1"/>
    </row>
    <row r="1348" spans="6:25">
      <c r="G1348" s="6"/>
      <c r="I1348" s="7"/>
      <c r="J1348" s="7"/>
      <c r="K1348" s="7"/>
      <c r="L1348" s="7"/>
      <c r="M1348" s="7"/>
      <c r="N1348" s="7"/>
      <c r="O1348" s="7"/>
      <c r="P1348" s="7"/>
      <c r="Q1348" s="7"/>
      <c r="R1348" s="7"/>
      <c r="S1348" s="320"/>
      <c r="T1348" s="7"/>
      <c r="U1348" s="7"/>
      <c r="W1348" s="1"/>
      <c r="X1348" s="1"/>
      <c r="Y1348" s="1"/>
    </row>
    <row r="1349" spans="6:25" ht="18.75">
      <c r="F1349" s="9" t="s">
        <v>100</v>
      </c>
      <c r="I1349" s="2">
        <f>'Facility Detail'!$G$3260</f>
        <v>2011</v>
      </c>
      <c r="J1349" s="2">
        <f>I1349+1</f>
        <v>2012</v>
      </c>
      <c r="K1349" s="2">
        <f>J1349+1</f>
        <v>2013</v>
      </c>
      <c r="L1349" s="2">
        <f t="shared" ref="L1349:R1349" si="578">K1349+1</f>
        <v>2014</v>
      </c>
      <c r="M1349" s="2">
        <f t="shared" si="578"/>
        <v>2015</v>
      </c>
      <c r="N1349" s="2">
        <f t="shared" si="578"/>
        <v>2016</v>
      </c>
      <c r="O1349" s="2">
        <f t="shared" si="578"/>
        <v>2017</v>
      </c>
      <c r="P1349" s="2">
        <f t="shared" si="578"/>
        <v>2018</v>
      </c>
      <c r="Q1349" s="2">
        <f t="shared" si="578"/>
        <v>2019</v>
      </c>
      <c r="R1349" s="2">
        <f t="shared" si="578"/>
        <v>2020</v>
      </c>
      <c r="S1349" s="304">
        <f>R1349+1</f>
        <v>2021</v>
      </c>
      <c r="T1349" s="2">
        <f>S1349+1</f>
        <v>2022</v>
      </c>
      <c r="U1349" s="2">
        <f>T1349+1</f>
        <v>2023</v>
      </c>
      <c r="W1349" s="1"/>
      <c r="X1349" s="1"/>
      <c r="Y1349" s="1"/>
    </row>
    <row r="1350" spans="6:25" ht="14.25" customHeight="1">
      <c r="F1350" s="9"/>
      <c r="G1350" s="62" t="s">
        <v>68</v>
      </c>
      <c r="H1350" s="57"/>
      <c r="I1350" s="3"/>
      <c r="J1350" s="46">
        <f>I1350</f>
        <v>0</v>
      </c>
      <c r="K1350" s="106"/>
      <c r="L1350" s="106"/>
      <c r="M1350" s="106"/>
      <c r="N1350" s="106"/>
      <c r="O1350" s="106"/>
      <c r="P1350" s="106"/>
      <c r="Q1350" s="106"/>
      <c r="R1350" s="106"/>
      <c r="S1350" s="322"/>
      <c r="T1350" s="106"/>
      <c r="U1350" s="47"/>
      <c r="W1350" s="1"/>
      <c r="X1350" s="1"/>
      <c r="Y1350" s="1"/>
    </row>
    <row r="1351" spans="6:25" ht="14.25" customHeight="1">
      <c r="F1351" s="9"/>
      <c r="G1351" s="62" t="s">
        <v>69</v>
      </c>
      <c r="H1351" s="57"/>
      <c r="I1351" s="127">
        <f>J1351</f>
        <v>0</v>
      </c>
      <c r="J1351" s="10"/>
      <c r="K1351" s="60"/>
      <c r="L1351" s="60"/>
      <c r="M1351" s="60"/>
      <c r="N1351" s="60"/>
      <c r="O1351" s="60"/>
      <c r="P1351" s="60"/>
      <c r="Q1351" s="60"/>
      <c r="R1351" s="60"/>
      <c r="S1351" s="330"/>
      <c r="T1351" s="60"/>
      <c r="U1351" s="128"/>
      <c r="W1351" s="1"/>
      <c r="X1351" s="1"/>
      <c r="Y1351" s="1"/>
    </row>
    <row r="1352" spans="6:25" ht="14.25" customHeight="1">
      <c r="F1352" s="9"/>
      <c r="G1352" s="62" t="s">
        <v>70</v>
      </c>
      <c r="H1352" s="57"/>
      <c r="I1352" s="48"/>
      <c r="J1352" s="10">
        <f>J1336</f>
        <v>0</v>
      </c>
      <c r="K1352" s="56">
        <f>J1352</f>
        <v>0</v>
      </c>
      <c r="L1352" s="60"/>
      <c r="M1352" s="60"/>
      <c r="N1352" s="60"/>
      <c r="O1352" s="60"/>
      <c r="P1352" s="60"/>
      <c r="Q1352" s="60"/>
      <c r="R1352" s="60"/>
      <c r="S1352" s="330"/>
      <c r="T1352" s="60"/>
      <c r="U1352" s="128"/>
      <c r="W1352" s="1"/>
      <c r="X1352" s="1"/>
      <c r="Y1352" s="1"/>
    </row>
    <row r="1353" spans="6:25" ht="14.25" customHeight="1">
      <c r="F1353" s="9"/>
      <c r="G1353" s="62" t="s">
        <v>71</v>
      </c>
      <c r="H1353" s="57"/>
      <c r="I1353" s="48"/>
      <c r="J1353" s="56">
        <f>K1353</f>
        <v>0</v>
      </c>
      <c r="K1353" s="126"/>
      <c r="L1353" s="60"/>
      <c r="M1353" s="60"/>
      <c r="N1353" s="60"/>
      <c r="O1353" s="60"/>
      <c r="P1353" s="60"/>
      <c r="Q1353" s="60"/>
      <c r="R1353" s="60"/>
      <c r="S1353" s="330"/>
      <c r="T1353" s="60"/>
      <c r="U1353" s="128"/>
      <c r="W1353" s="1"/>
      <c r="X1353" s="1"/>
      <c r="Y1353" s="1"/>
    </row>
    <row r="1354" spans="6:25" ht="14.25" customHeight="1">
      <c r="F1354" s="9"/>
      <c r="G1354" s="62" t="s">
        <v>170</v>
      </c>
      <c r="H1354" s="57"/>
      <c r="I1354" s="48"/>
      <c r="J1354" s="118"/>
      <c r="K1354" s="10">
        <f>K1336</f>
        <v>0</v>
      </c>
      <c r="L1354" s="119">
        <f>K1354</f>
        <v>0</v>
      </c>
      <c r="M1354" s="60"/>
      <c r="N1354" s="60"/>
      <c r="O1354" s="60"/>
      <c r="P1354" s="60"/>
      <c r="Q1354" s="60"/>
      <c r="R1354" s="60"/>
      <c r="S1354" s="330"/>
      <c r="T1354" s="60"/>
      <c r="U1354" s="128"/>
      <c r="W1354" s="1"/>
      <c r="X1354" s="1"/>
      <c r="Y1354" s="1"/>
    </row>
    <row r="1355" spans="6:25" ht="14.25" customHeight="1">
      <c r="G1355" s="62" t="s">
        <v>171</v>
      </c>
      <c r="H1355" s="57"/>
      <c r="I1355" s="48"/>
      <c r="J1355" s="118"/>
      <c r="K1355" s="56">
        <f>L1355</f>
        <v>0</v>
      </c>
      <c r="L1355" s="10"/>
      <c r="M1355" s="60"/>
      <c r="N1355" s="60"/>
      <c r="O1355" s="60"/>
      <c r="P1355" s="60"/>
      <c r="Q1355" s="60"/>
      <c r="R1355" s="60"/>
      <c r="S1355" s="330"/>
      <c r="T1355" s="60"/>
      <c r="U1355" s="128"/>
      <c r="W1355" s="1"/>
      <c r="X1355" s="1"/>
      <c r="Y1355" s="1"/>
    </row>
    <row r="1356" spans="6:25" ht="14.25" customHeight="1">
      <c r="G1356" s="62" t="s">
        <v>172</v>
      </c>
      <c r="H1356" s="57"/>
      <c r="I1356" s="48"/>
      <c r="J1356" s="118"/>
      <c r="K1356" s="118"/>
      <c r="L1356" s="10">
        <f>L1336</f>
        <v>0</v>
      </c>
      <c r="M1356" s="119">
        <f>L1356</f>
        <v>0</v>
      </c>
      <c r="N1356" s="118"/>
      <c r="O1356" s="118"/>
      <c r="P1356" s="118"/>
      <c r="Q1356" s="118"/>
      <c r="R1356" s="118"/>
      <c r="S1356" s="324"/>
      <c r="T1356" s="118"/>
      <c r="U1356" s="122"/>
      <c r="W1356" s="1"/>
      <c r="X1356" s="1"/>
      <c r="Y1356" s="1"/>
    </row>
    <row r="1357" spans="6:25" ht="14.25" customHeight="1">
      <c r="G1357" s="62" t="s">
        <v>173</v>
      </c>
      <c r="H1357" s="57"/>
      <c r="I1357" s="48"/>
      <c r="J1357" s="118"/>
      <c r="K1357" s="118"/>
      <c r="L1357" s="120"/>
      <c r="M1357" s="121"/>
      <c r="N1357" s="118"/>
      <c r="O1357" s="118"/>
      <c r="P1357" s="118"/>
      <c r="Q1357" s="118"/>
      <c r="R1357" s="118"/>
      <c r="S1357" s="324"/>
      <c r="T1357" s="118"/>
      <c r="U1357" s="122"/>
      <c r="W1357" s="1"/>
      <c r="X1357" s="1"/>
      <c r="Y1357" s="1"/>
    </row>
    <row r="1358" spans="6:25" ht="14.25" customHeight="1">
      <c r="G1358" s="62" t="s">
        <v>174</v>
      </c>
      <c r="H1358" s="57"/>
      <c r="I1358" s="48"/>
      <c r="J1358" s="118"/>
      <c r="K1358" s="118"/>
      <c r="L1358" s="118"/>
      <c r="M1358" s="121">
        <f>M1336</f>
        <v>12501</v>
      </c>
      <c r="N1358" s="119">
        <f>M1358</f>
        <v>12501</v>
      </c>
      <c r="O1358" s="118"/>
      <c r="P1358" s="60"/>
      <c r="Q1358" s="60"/>
      <c r="R1358" s="60"/>
      <c r="S1358" s="330"/>
      <c r="T1358" s="60"/>
      <c r="U1358" s="128"/>
      <c r="W1358" s="1"/>
      <c r="X1358" s="1"/>
      <c r="Y1358" s="1"/>
    </row>
    <row r="1359" spans="6:25" ht="14.25" customHeight="1">
      <c r="G1359" s="62" t="s">
        <v>175</v>
      </c>
      <c r="I1359" s="48"/>
      <c r="J1359" s="118"/>
      <c r="K1359" s="118"/>
      <c r="L1359" s="118"/>
      <c r="M1359" s="56"/>
      <c r="N1359" s="121"/>
      <c r="O1359" s="119"/>
      <c r="P1359" s="60"/>
      <c r="Q1359" s="60"/>
      <c r="R1359" s="60"/>
      <c r="S1359" s="330"/>
      <c r="T1359" s="60"/>
      <c r="U1359" s="128"/>
      <c r="W1359" s="1"/>
      <c r="X1359" s="1"/>
      <c r="Y1359" s="1"/>
    </row>
    <row r="1360" spans="6:25" ht="14.25" customHeight="1">
      <c r="G1360" s="62" t="s">
        <v>176</v>
      </c>
      <c r="I1360" s="48"/>
      <c r="J1360" s="118"/>
      <c r="K1360" s="118"/>
      <c r="L1360" s="118"/>
      <c r="M1360" s="118"/>
      <c r="N1360" s="121">
        <f>N1336</f>
        <v>3960</v>
      </c>
      <c r="O1360" s="121">
        <f>N1360</f>
        <v>3960</v>
      </c>
      <c r="P1360" s="118"/>
      <c r="Q1360" s="60"/>
      <c r="R1360" s="60"/>
      <c r="S1360" s="330"/>
      <c r="T1360" s="60"/>
      <c r="U1360" s="128"/>
      <c r="W1360" s="1"/>
      <c r="X1360" s="1"/>
      <c r="Y1360" s="1"/>
    </row>
    <row r="1361" spans="2:25" ht="14.25" customHeight="1">
      <c r="G1361" s="62" t="s">
        <v>167</v>
      </c>
      <c r="I1361" s="48"/>
      <c r="J1361" s="118"/>
      <c r="K1361" s="118"/>
      <c r="L1361" s="118"/>
      <c r="M1361" s="118"/>
      <c r="N1361" s="56"/>
      <c r="O1361" s="121"/>
      <c r="P1361" s="118"/>
      <c r="Q1361" s="60"/>
      <c r="R1361" s="60"/>
      <c r="S1361" s="330"/>
      <c r="T1361" s="60"/>
      <c r="U1361" s="128"/>
      <c r="W1361" s="1"/>
      <c r="X1361" s="1"/>
      <c r="Y1361" s="1"/>
    </row>
    <row r="1362" spans="2:25" ht="14.25" customHeight="1">
      <c r="G1362" s="62" t="s">
        <v>168</v>
      </c>
      <c r="I1362" s="49"/>
      <c r="J1362" s="108"/>
      <c r="K1362" s="108"/>
      <c r="L1362" s="108"/>
      <c r="M1362" s="108"/>
      <c r="N1362" s="108"/>
      <c r="O1362" s="272"/>
      <c r="P1362" s="193"/>
      <c r="Q1362" s="194"/>
      <c r="R1362" s="108"/>
      <c r="S1362" s="325"/>
      <c r="T1362" s="108"/>
      <c r="U1362" s="459"/>
      <c r="W1362" s="1"/>
      <c r="X1362" s="1"/>
      <c r="Y1362" s="1"/>
    </row>
    <row r="1363" spans="2:25">
      <c r="B1363" s="1" t="s">
        <v>282</v>
      </c>
      <c r="G1363" s="26" t="s">
        <v>17</v>
      </c>
      <c r="I1363" s="138">
        <f xml:space="preserve"> I1356 - I1355</f>
        <v>0</v>
      </c>
      <c r="J1363" s="138">
        <f xml:space="preserve"> J1355 + J1358 - J1357 - J1356</f>
        <v>0</v>
      </c>
      <c r="K1363" s="138">
        <f>K1357 - K1358</f>
        <v>0</v>
      </c>
      <c r="L1363" s="138">
        <f t="shared" ref="L1363" si="579">L1357 - L1358</f>
        <v>0</v>
      </c>
      <c r="M1363" s="23">
        <f>M1356-M1357-M1358</f>
        <v>-12501</v>
      </c>
      <c r="N1363" s="23">
        <f>N1358-N1359-N1360</f>
        <v>8541</v>
      </c>
      <c r="O1363" s="23">
        <f>O1360-O1361-O1362</f>
        <v>3960</v>
      </c>
      <c r="P1363" s="23">
        <f>P1360</f>
        <v>0</v>
      </c>
      <c r="Q1363" s="23">
        <f t="shared" ref="Q1363:S1363" si="580">Q1360</f>
        <v>0</v>
      </c>
      <c r="R1363" s="23">
        <f t="shared" si="580"/>
        <v>0</v>
      </c>
      <c r="S1363" s="321">
        <f t="shared" si="580"/>
        <v>0</v>
      </c>
      <c r="T1363" s="23">
        <f t="shared" ref="T1363:U1363" si="581">T1360</f>
        <v>0</v>
      </c>
      <c r="U1363" s="23">
        <f t="shared" si="581"/>
        <v>0</v>
      </c>
      <c r="W1363" s="1"/>
      <c r="X1363" s="1"/>
      <c r="Y1363" s="1"/>
    </row>
    <row r="1364" spans="2:25">
      <c r="G1364" s="6"/>
      <c r="I1364" s="7"/>
      <c r="J1364" s="7"/>
      <c r="K1364" s="7"/>
      <c r="L1364" s="7"/>
      <c r="M1364" s="7"/>
      <c r="N1364" s="7"/>
      <c r="O1364" s="7"/>
      <c r="P1364" s="7"/>
      <c r="Q1364" s="7"/>
      <c r="R1364" s="7"/>
      <c r="S1364" s="320"/>
      <c r="T1364" s="7"/>
      <c r="U1364" s="7"/>
      <c r="W1364" s="1"/>
      <c r="X1364" s="1"/>
      <c r="Y1364" s="1"/>
    </row>
    <row r="1365" spans="2:25">
      <c r="G1365" s="26" t="s">
        <v>12</v>
      </c>
      <c r="H1365" s="57"/>
      <c r="I1365" s="155"/>
      <c r="J1365" s="156"/>
      <c r="K1365" s="156"/>
      <c r="L1365" s="156"/>
      <c r="M1365" s="156"/>
      <c r="N1365" s="156"/>
      <c r="O1365" s="156"/>
      <c r="P1365" s="156"/>
      <c r="Q1365" s="156"/>
      <c r="R1365" s="156"/>
      <c r="S1365" s="326"/>
      <c r="T1365" s="156"/>
      <c r="U1365" s="267"/>
      <c r="W1365" s="1"/>
      <c r="X1365" s="1"/>
      <c r="Y1365" s="1"/>
    </row>
    <row r="1366" spans="2:25">
      <c r="G1366" s="6"/>
      <c r="I1366" s="154"/>
      <c r="J1366" s="154"/>
      <c r="K1366" s="154"/>
      <c r="L1366" s="154"/>
      <c r="M1366" s="154"/>
      <c r="N1366" s="154"/>
      <c r="O1366" s="154"/>
      <c r="P1366" s="154"/>
      <c r="Q1366" s="154"/>
      <c r="R1366" s="154"/>
      <c r="S1366" s="327"/>
      <c r="T1366" s="154"/>
      <c r="U1366" s="154"/>
      <c r="W1366" s="1"/>
      <c r="X1366" s="1"/>
      <c r="Y1366" s="1"/>
    </row>
    <row r="1367" spans="2:25" ht="18.75">
      <c r="C1367" s="1" t="s">
        <v>282</v>
      </c>
      <c r="D1367" s="1" t="s">
        <v>283</v>
      </c>
      <c r="E1367" s="1" t="s">
        <v>110</v>
      </c>
      <c r="F1367" s="9" t="s">
        <v>26</v>
      </c>
      <c r="H1367" s="57"/>
      <c r="I1367" s="157">
        <f xml:space="preserve"> I1336 + I1341 - I1347 + I1363 + I1365</f>
        <v>0</v>
      </c>
      <c r="J1367" s="158">
        <f xml:space="preserve"> J1336 + J1341 - J1347 + J1363 + J1365</f>
        <v>0</v>
      </c>
      <c r="K1367" s="158">
        <f xml:space="preserve"> K1336 + K1341 - K1347 + K1363 + K1365</f>
        <v>0</v>
      </c>
      <c r="L1367" s="158">
        <f t="shared" ref="L1367:S1367" si="582" xml:space="preserve"> L1336 + L1341 - L1347 + L1363 + L1365</f>
        <v>0</v>
      </c>
      <c r="M1367" s="158">
        <f t="shared" si="582"/>
        <v>0</v>
      </c>
      <c r="N1367" s="158">
        <f t="shared" si="582"/>
        <v>12501</v>
      </c>
      <c r="O1367" s="158">
        <f t="shared" si="582"/>
        <v>3960</v>
      </c>
      <c r="P1367" s="158">
        <f t="shared" si="582"/>
        <v>0</v>
      </c>
      <c r="Q1367" s="158">
        <f t="shared" si="582"/>
        <v>0</v>
      </c>
      <c r="R1367" s="158">
        <f t="shared" si="582"/>
        <v>0</v>
      </c>
      <c r="S1367" s="328">
        <f t="shared" si="582"/>
        <v>0</v>
      </c>
      <c r="T1367" s="158">
        <f t="shared" ref="T1367:U1367" si="583" xml:space="preserve"> T1336 + T1341 - T1347 + T1363 + T1365</f>
        <v>0</v>
      </c>
      <c r="U1367" s="268">
        <f t="shared" si="583"/>
        <v>0</v>
      </c>
      <c r="W1367" s="1"/>
      <c r="X1367" s="1"/>
      <c r="Y1367" s="1"/>
    </row>
    <row r="1368" spans="2:25">
      <c r="G1368" s="6"/>
      <c r="I1368" s="7"/>
      <c r="J1368" s="7"/>
      <c r="K1368" s="7"/>
      <c r="L1368" s="23"/>
      <c r="M1368" s="23"/>
      <c r="N1368" s="23"/>
      <c r="O1368" s="23"/>
      <c r="P1368" s="23"/>
      <c r="Q1368" s="23"/>
      <c r="R1368" s="23"/>
      <c r="S1368" s="321"/>
      <c r="T1368" s="23"/>
      <c r="U1368" s="23"/>
      <c r="W1368" s="1"/>
      <c r="X1368" s="1"/>
      <c r="Y1368" s="1"/>
    </row>
    <row r="1369" spans="2:25" ht="15.75" thickBot="1">
      <c r="W1369" s="1"/>
      <c r="X1369" s="1"/>
      <c r="Y1369" s="1"/>
    </row>
    <row r="1370" spans="2:25" ht="15.75" thickBot="1">
      <c r="F1370" s="8"/>
      <c r="G1370" s="8"/>
      <c r="H1370" s="8"/>
      <c r="I1370" s="8"/>
      <c r="J1370" s="8"/>
      <c r="K1370" s="8"/>
      <c r="L1370" s="8"/>
      <c r="M1370" s="8"/>
      <c r="N1370" s="8"/>
      <c r="O1370" s="8"/>
      <c r="P1370" s="8"/>
      <c r="Q1370" s="8"/>
      <c r="R1370" s="8"/>
      <c r="S1370" s="290"/>
      <c r="T1370" s="8"/>
      <c r="U1370" s="8"/>
      <c r="W1370" s="1"/>
      <c r="X1370" s="1"/>
      <c r="Y1370" s="1"/>
    </row>
    <row r="1371" spans="2:25" ht="21.75" thickBot="1">
      <c r="F1371" s="13" t="s">
        <v>4</v>
      </c>
      <c r="G1371" s="13"/>
      <c r="H1371" s="185" t="s">
        <v>218</v>
      </c>
      <c r="I1371" s="183"/>
      <c r="W1371" s="1"/>
      <c r="X1371" s="1"/>
      <c r="Y1371" s="1"/>
    </row>
    <row r="1372" spans="2:25">
      <c r="S1372" s="1"/>
      <c r="W1372" s="1"/>
      <c r="X1372" s="1"/>
      <c r="Y1372" s="1"/>
    </row>
    <row r="1373" spans="2:25" ht="18.75">
      <c r="F1373" s="9" t="s">
        <v>21</v>
      </c>
      <c r="G1373" s="9"/>
      <c r="I1373" s="2">
        <v>2011</v>
      </c>
      <c r="J1373" s="2">
        <f>I1373+1</f>
        <v>2012</v>
      </c>
      <c r="K1373" s="2">
        <f t="shared" ref="K1373" si="584">J1373+1</f>
        <v>2013</v>
      </c>
      <c r="L1373" s="2">
        <f t="shared" ref="L1373" si="585">K1373+1</f>
        <v>2014</v>
      </c>
      <c r="M1373" s="2">
        <f t="shared" ref="M1373" si="586">L1373+1</f>
        <v>2015</v>
      </c>
      <c r="N1373" s="2">
        <f t="shared" ref="N1373" si="587">M1373+1</f>
        <v>2016</v>
      </c>
      <c r="O1373" s="2">
        <f t="shared" ref="O1373" si="588">N1373+1</f>
        <v>2017</v>
      </c>
      <c r="P1373" s="2">
        <f t="shared" ref="P1373" si="589">O1373+1</f>
        <v>2018</v>
      </c>
      <c r="Q1373" s="2">
        <f t="shared" ref="Q1373" si="590">P1373+1</f>
        <v>2019</v>
      </c>
      <c r="R1373" s="2">
        <f t="shared" ref="R1373" si="591">Q1373+1</f>
        <v>2020</v>
      </c>
      <c r="S1373" s="2">
        <f>R1373+1</f>
        <v>2021</v>
      </c>
      <c r="T1373" s="2">
        <f>S1373+1</f>
        <v>2022</v>
      </c>
      <c r="U1373" s="2">
        <f>T1373+1</f>
        <v>2023</v>
      </c>
      <c r="W1373" s="1"/>
      <c r="X1373" s="1"/>
      <c r="Y1373" s="1"/>
    </row>
    <row r="1374" spans="2:25">
      <c r="G1374" s="62" t="str">
        <f>"Total MWh Produced / Purchased from " &amp; H1371</f>
        <v>Total MWh Produced / Purchased from High Plains</v>
      </c>
      <c r="H1374" s="57"/>
      <c r="I1374" s="3"/>
      <c r="J1374" s="4"/>
      <c r="K1374" s="4"/>
      <c r="L1374" s="4"/>
      <c r="M1374" s="4"/>
      <c r="N1374" s="4"/>
      <c r="O1374" s="4"/>
      <c r="P1374" s="4"/>
      <c r="Q1374" s="4"/>
      <c r="R1374" s="4"/>
      <c r="S1374" s="4">
        <v>333898</v>
      </c>
      <c r="T1374" s="4">
        <v>383965</v>
      </c>
      <c r="U1374" s="5">
        <v>334631</v>
      </c>
      <c r="W1374" s="1"/>
      <c r="X1374" s="1"/>
      <c r="Y1374" s="1"/>
    </row>
    <row r="1375" spans="2:25">
      <c r="G1375" s="62" t="s">
        <v>25</v>
      </c>
      <c r="H1375" s="57"/>
      <c r="I1375" s="269"/>
      <c r="J1375" s="41"/>
      <c r="K1375" s="41"/>
      <c r="L1375" s="41"/>
      <c r="M1375" s="41"/>
      <c r="N1375" s="41"/>
      <c r="O1375" s="41"/>
      <c r="P1375" s="41"/>
      <c r="Q1375" s="41"/>
      <c r="R1375" s="41"/>
      <c r="S1375" s="41">
        <v>1</v>
      </c>
      <c r="T1375" s="41">
        <v>1</v>
      </c>
      <c r="U1375" s="42">
        <v>1</v>
      </c>
      <c r="W1375" s="1"/>
      <c r="X1375" s="1"/>
      <c r="Y1375" s="1"/>
    </row>
    <row r="1376" spans="2:25">
      <c r="G1376" s="62" t="s">
        <v>20</v>
      </c>
      <c r="H1376" s="57"/>
      <c r="I1376" s="270"/>
      <c r="J1376" s="36"/>
      <c r="K1376" s="36"/>
      <c r="L1376" s="36"/>
      <c r="M1376" s="36"/>
      <c r="N1376" s="36"/>
      <c r="O1376" s="36"/>
      <c r="P1376" s="36"/>
      <c r="Q1376" s="36"/>
      <c r="R1376" s="36"/>
      <c r="S1376" s="36">
        <f>S2</f>
        <v>7.9696892166366717E-2</v>
      </c>
      <c r="T1376" s="36">
        <f>T2</f>
        <v>7.8737918965874246E-2</v>
      </c>
      <c r="U1376" s="36">
        <f>U2</f>
        <v>7.8407467372863096E-2</v>
      </c>
      <c r="W1376" s="1"/>
      <c r="X1376" s="1"/>
      <c r="Y1376" s="1"/>
    </row>
    <row r="1377" spans="1:25">
      <c r="A1377" s="1" t="s">
        <v>218</v>
      </c>
      <c r="G1377" s="26" t="s">
        <v>22</v>
      </c>
      <c r="H1377" s="6"/>
      <c r="I1377" s="30">
        <v>0</v>
      </c>
      <c r="J1377" s="30">
        <v>0</v>
      </c>
      <c r="K1377" s="30">
        <v>0</v>
      </c>
      <c r="L1377" s="30">
        <v>0</v>
      </c>
      <c r="M1377" s="30">
        <v>0</v>
      </c>
      <c r="N1377" s="161">
        <v>0</v>
      </c>
      <c r="O1377" s="161">
        <v>0</v>
      </c>
      <c r="P1377" s="161">
        <v>0</v>
      </c>
      <c r="Q1377" s="161">
        <f>Q1374*Q1376</f>
        <v>0</v>
      </c>
      <c r="R1377" s="161">
        <f>R1374*R1376</f>
        <v>0</v>
      </c>
      <c r="S1377" s="161">
        <f>S1374*S1376</f>
        <v>26610.632900565513</v>
      </c>
      <c r="T1377" s="161">
        <f>T1374*T1376</f>
        <v>30232.605055731903</v>
      </c>
      <c r="U1377" s="161">
        <f>U1374*U1376</f>
        <v>26237.569214448551</v>
      </c>
      <c r="W1377" s="1"/>
      <c r="X1377" s="1"/>
      <c r="Y1377" s="1"/>
    </row>
    <row r="1378" spans="1:25">
      <c r="I1378" s="29"/>
      <c r="J1378" s="29"/>
      <c r="K1378" s="29"/>
      <c r="L1378" s="29"/>
      <c r="M1378" s="29"/>
      <c r="N1378" s="20"/>
      <c r="O1378" s="20"/>
      <c r="P1378" s="20"/>
      <c r="Q1378" s="20"/>
      <c r="R1378" s="20"/>
      <c r="S1378" s="20"/>
      <c r="T1378" s="20"/>
      <c r="U1378" s="20"/>
      <c r="W1378" s="1"/>
      <c r="X1378" s="1"/>
      <c r="Y1378" s="1"/>
    </row>
    <row r="1379" spans="1:25" ht="18.75">
      <c r="F1379" s="9" t="s">
        <v>118</v>
      </c>
      <c r="I1379" s="2">
        <v>2011</v>
      </c>
      <c r="J1379" s="2">
        <f>I1379+1</f>
        <v>2012</v>
      </c>
      <c r="K1379" s="2">
        <f t="shared" ref="K1379" si="592">J1379+1</f>
        <v>2013</v>
      </c>
      <c r="L1379" s="2">
        <f t="shared" ref="L1379" si="593">K1379+1</f>
        <v>2014</v>
      </c>
      <c r="M1379" s="2">
        <f t="shared" ref="M1379" si="594">L1379+1</f>
        <v>2015</v>
      </c>
      <c r="N1379" s="2">
        <f t="shared" ref="N1379" si="595">M1379+1</f>
        <v>2016</v>
      </c>
      <c r="O1379" s="2">
        <f t="shared" ref="O1379" si="596">N1379+1</f>
        <v>2017</v>
      </c>
      <c r="P1379" s="2">
        <f t="shared" ref="P1379" si="597">O1379+1</f>
        <v>2018</v>
      </c>
      <c r="Q1379" s="2">
        <f t="shared" ref="Q1379" si="598">P1379+1</f>
        <v>2019</v>
      </c>
      <c r="R1379" s="2">
        <f t="shared" ref="R1379" si="599">Q1379+1</f>
        <v>2020</v>
      </c>
      <c r="S1379" s="2">
        <f>R1379+1</f>
        <v>2021</v>
      </c>
      <c r="T1379" s="2">
        <f>S1379+1</f>
        <v>2022</v>
      </c>
      <c r="U1379" s="2">
        <f>T1379+1</f>
        <v>2023</v>
      </c>
      <c r="W1379" s="1"/>
      <c r="X1379" s="1"/>
      <c r="Y1379" s="1"/>
    </row>
    <row r="1380" spans="1:25">
      <c r="G1380" s="62" t="s">
        <v>10</v>
      </c>
      <c r="H1380" s="57"/>
      <c r="I1380" s="38">
        <f>IF($J32 = "Eligible", I1377 * 'Facility Detail'!$G$3257, 0 )</f>
        <v>0</v>
      </c>
      <c r="J1380" s="11">
        <f>IF($J32 = "Eligible", J1377 * 'Facility Detail'!$G$3257, 0 )</f>
        <v>0</v>
      </c>
      <c r="K1380" s="11">
        <f>IF($J32 = "Eligible", K1377 * 'Facility Detail'!$G$3257, 0 )</f>
        <v>0</v>
      </c>
      <c r="L1380" s="11">
        <f>IF($J32 = "Eligible", L1377 * 'Facility Detail'!$G$3257, 0 )</f>
        <v>0</v>
      </c>
      <c r="M1380" s="11">
        <f>IF($J32 = "Eligible", M1377 * 'Facility Detail'!$G$3257, 0 )</f>
        <v>0</v>
      </c>
      <c r="N1380" s="11">
        <f>IF($J32 = "Eligible", N1377 * 'Facility Detail'!$G$3257, 0 )</f>
        <v>0</v>
      </c>
      <c r="O1380" s="11">
        <f>IF($J32 = "Eligible", O1377 * 'Facility Detail'!$G$3257, 0 )</f>
        <v>0</v>
      </c>
      <c r="P1380" s="11">
        <f>IF($J32 = "Eligible", P1377 * 'Facility Detail'!$G$3257, 0 )</f>
        <v>0</v>
      </c>
      <c r="Q1380" s="11">
        <f>IF($J32 = "Eligible", Q1377 * 'Facility Detail'!$G$3257, 0 )</f>
        <v>0</v>
      </c>
      <c r="R1380" s="11">
        <f>IF($J32 = "Eligible", R1377 * 'Facility Detail'!$G$3257, 0 )</f>
        <v>0</v>
      </c>
      <c r="S1380" s="11">
        <f>IF($J32 = "Eligible", S1377 * 'Facility Detail'!$G$3257, 0 )</f>
        <v>0</v>
      </c>
      <c r="T1380" s="11">
        <f>IF($J32 = "Eligible", T1377 * 'Facility Detail'!$G$3257, 0 )</f>
        <v>0</v>
      </c>
      <c r="U1380" s="223">
        <f>IF($J32 = "Eligible", U1377 * 'Facility Detail'!$G$3257, 0 )</f>
        <v>0</v>
      </c>
      <c r="W1380" s="1"/>
      <c r="X1380" s="1"/>
      <c r="Y1380" s="1"/>
    </row>
    <row r="1381" spans="1:25">
      <c r="G1381" s="62" t="s">
        <v>6</v>
      </c>
      <c r="H1381" s="57"/>
      <c r="I1381" s="39">
        <f t="shared" ref="I1381:U1381" si="600">IF($K32= "Eligible", I1377, 0 )</f>
        <v>0</v>
      </c>
      <c r="J1381" s="193">
        <f t="shared" si="600"/>
        <v>0</v>
      </c>
      <c r="K1381" s="193">
        <f t="shared" si="600"/>
        <v>0</v>
      </c>
      <c r="L1381" s="193">
        <f t="shared" si="600"/>
        <v>0</v>
      </c>
      <c r="M1381" s="193">
        <f t="shared" si="600"/>
        <v>0</v>
      </c>
      <c r="N1381" s="193">
        <f t="shared" si="600"/>
        <v>0</v>
      </c>
      <c r="O1381" s="193">
        <f t="shared" si="600"/>
        <v>0</v>
      </c>
      <c r="P1381" s="193">
        <f t="shared" si="600"/>
        <v>0</v>
      </c>
      <c r="Q1381" s="193">
        <f t="shared" si="600"/>
        <v>0</v>
      </c>
      <c r="R1381" s="193">
        <f t="shared" si="600"/>
        <v>0</v>
      </c>
      <c r="S1381" s="193">
        <f t="shared" si="600"/>
        <v>0</v>
      </c>
      <c r="T1381" s="193">
        <f t="shared" si="600"/>
        <v>0</v>
      </c>
      <c r="U1381" s="224">
        <f t="shared" si="600"/>
        <v>0</v>
      </c>
      <c r="W1381" s="1"/>
      <c r="X1381" s="1"/>
      <c r="Y1381" s="1"/>
    </row>
    <row r="1382" spans="1:25">
      <c r="G1382" s="26" t="s">
        <v>120</v>
      </c>
      <c r="H1382" s="6"/>
      <c r="I1382" s="32">
        <f>SUM(I1380:I1381)</f>
        <v>0</v>
      </c>
      <c r="J1382" s="33">
        <f t="shared" ref="J1382:S1382" si="601">SUM(J1380:J1381)</f>
        <v>0</v>
      </c>
      <c r="K1382" s="33">
        <f t="shared" si="601"/>
        <v>0</v>
      </c>
      <c r="L1382" s="33">
        <f t="shared" si="601"/>
        <v>0</v>
      </c>
      <c r="M1382" s="33">
        <f t="shared" si="601"/>
        <v>0</v>
      </c>
      <c r="N1382" s="33">
        <f t="shared" si="601"/>
        <v>0</v>
      </c>
      <c r="O1382" s="33">
        <f t="shared" si="601"/>
        <v>0</v>
      </c>
      <c r="P1382" s="33">
        <f t="shared" si="601"/>
        <v>0</v>
      </c>
      <c r="Q1382" s="33">
        <f t="shared" si="601"/>
        <v>0</v>
      </c>
      <c r="R1382" s="33">
        <f t="shared" si="601"/>
        <v>0</v>
      </c>
      <c r="S1382" s="33">
        <f t="shared" si="601"/>
        <v>0</v>
      </c>
      <c r="T1382" s="33">
        <f t="shared" ref="T1382:U1382" si="602">SUM(T1380:T1381)</f>
        <v>0</v>
      </c>
      <c r="U1382" s="33">
        <f t="shared" si="602"/>
        <v>0</v>
      </c>
      <c r="W1382" s="1"/>
      <c r="X1382" s="1"/>
      <c r="Y1382" s="1"/>
    </row>
    <row r="1383" spans="1:25">
      <c r="I1383" s="31"/>
      <c r="J1383" s="24"/>
      <c r="K1383" s="24"/>
      <c r="L1383" s="24"/>
      <c r="M1383" s="24"/>
      <c r="N1383" s="24"/>
      <c r="O1383" s="24"/>
      <c r="P1383" s="24"/>
      <c r="Q1383" s="24"/>
      <c r="R1383" s="24"/>
      <c r="S1383" s="24"/>
      <c r="T1383" s="24"/>
      <c r="U1383" s="24"/>
      <c r="W1383" s="1"/>
      <c r="X1383" s="1"/>
      <c r="Y1383" s="1"/>
    </row>
    <row r="1384" spans="1:25" ht="18.75">
      <c r="F1384" s="9" t="s">
        <v>30</v>
      </c>
      <c r="I1384" s="2">
        <v>2011</v>
      </c>
      <c r="J1384" s="2">
        <f>I1384+1</f>
        <v>2012</v>
      </c>
      <c r="K1384" s="2">
        <f t="shared" ref="K1384" si="603">J1384+1</f>
        <v>2013</v>
      </c>
      <c r="L1384" s="2">
        <f t="shared" ref="L1384" si="604">K1384+1</f>
        <v>2014</v>
      </c>
      <c r="M1384" s="2">
        <f t="shared" ref="M1384" si="605">L1384+1</f>
        <v>2015</v>
      </c>
      <c r="N1384" s="2">
        <f t="shared" ref="N1384" si="606">M1384+1</f>
        <v>2016</v>
      </c>
      <c r="O1384" s="2">
        <f t="shared" ref="O1384" si="607">N1384+1</f>
        <v>2017</v>
      </c>
      <c r="P1384" s="2">
        <f t="shared" ref="P1384" si="608">O1384+1</f>
        <v>2018</v>
      </c>
      <c r="Q1384" s="2">
        <f t="shared" ref="Q1384" si="609">P1384+1</f>
        <v>2019</v>
      </c>
      <c r="R1384" s="2">
        <f t="shared" ref="R1384" si="610">Q1384+1</f>
        <v>2020</v>
      </c>
      <c r="S1384" s="2">
        <f>R1384+1</f>
        <v>2021</v>
      </c>
      <c r="T1384" s="2">
        <f>S1384+1</f>
        <v>2022</v>
      </c>
      <c r="U1384" s="2">
        <f>T1384+1</f>
        <v>2023</v>
      </c>
      <c r="W1384" s="1"/>
      <c r="X1384" s="1"/>
      <c r="Y1384" s="1"/>
    </row>
    <row r="1385" spans="1:25">
      <c r="G1385" s="62" t="s">
        <v>47</v>
      </c>
      <c r="H1385" s="57"/>
      <c r="I1385" s="71"/>
      <c r="J1385" s="72"/>
      <c r="K1385" s="72"/>
      <c r="L1385" s="72"/>
      <c r="M1385" s="72"/>
      <c r="N1385" s="72"/>
      <c r="O1385" s="72"/>
      <c r="P1385" s="72"/>
      <c r="Q1385" s="72"/>
      <c r="R1385" s="72"/>
      <c r="S1385" s="72"/>
      <c r="T1385" s="72"/>
      <c r="U1385" s="73"/>
      <c r="W1385" s="1"/>
      <c r="X1385" s="1"/>
      <c r="Y1385" s="1"/>
    </row>
    <row r="1386" spans="1:25">
      <c r="G1386" s="63" t="s">
        <v>23</v>
      </c>
      <c r="H1386" s="135"/>
      <c r="I1386" s="74"/>
      <c r="J1386" s="75"/>
      <c r="K1386" s="75"/>
      <c r="L1386" s="75"/>
      <c r="M1386" s="75"/>
      <c r="N1386" s="75"/>
      <c r="O1386" s="75"/>
      <c r="P1386" s="75"/>
      <c r="Q1386" s="75"/>
      <c r="R1386" s="75"/>
      <c r="S1386" s="75"/>
      <c r="T1386" s="75"/>
      <c r="U1386" s="76"/>
      <c r="W1386" s="1"/>
      <c r="X1386" s="1"/>
      <c r="Y1386" s="1"/>
    </row>
    <row r="1387" spans="1:25">
      <c r="G1387" s="63" t="s">
        <v>89</v>
      </c>
      <c r="H1387" s="134"/>
      <c r="I1387" s="43"/>
      <c r="J1387" s="44"/>
      <c r="K1387" s="44"/>
      <c r="L1387" s="44"/>
      <c r="M1387" s="44"/>
      <c r="N1387" s="44"/>
      <c r="O1387" s="44"/>
      <c r="P1387" s="44"/>
      <c r="Q1387" s="44"/>
      <c r="R1387" s="44"/>
      <c r="S1387" s="44"/>
      <c r="T1387" s="44"/>
      <c r="U1387" s="45"/>
      <c r="W1387" s="1"/>
      <c r="X1387" s="1"/>
      <c r="Y1387" s="1"/>
    </row>
    <row r="1388" spans="1:25">
      <c r="G1388" s="26" t="s">
        <v>90</v>
      </c>
      <c r="I1388" s="7">
        <v>0</v>
      </c>
      <c r="J1388" s="7">
        <v>0</v>
      </c>
      <c r="K1388" s="7">
        <v>0</v>
      </c>
      <c r="L1388" s="7">
        <v>0</v>
      </c>
      <c r="M1388" s="7">
        <v>0</v>
      </c>
      <c r="N1388" s="7">
        <v>0</v>
      </c>
      <c r="O1388" s="7">
        <v>0</v>
      </c>
      <c r="P1388" s="7">
        <v>0</v>
      </c>
      <c r="Q1388" s="7">
        <v>0</v>
      </c>
      <c r="R1388" s="7">
        <v>0</v>
      </c>
      <c r="S1388" s="7">
        <v>0</v>
      </c>
      <c r="T1388" s="7">
        <v>0</v>
      </c>
      <c r="U1388" s="7">
        <v>0</v>
      </c>
      <c r="W1388" s="1"/>
      <c r="X1388" s="1"/>
      <c r="Y1388" s="1"/>
    </row>
    <row r="1389" spans="1:25">
      <c r="G1389" s="6"/>
      <c r="I1389" s="7"/>
      <c r="J1389" s="7"/>
      <c r="K1389" s="7"/>
      <c r="L1389" s="23"/>
      <c r="M1389" s="23"/>
      <c r="N1389" s="23"/>
      <c r="O1389" s="23"/>
      <c r="P1389" s="23"/>
      <c r="Q1389" s="23"/>
      <c r="R1389" s="23"/>
      <c r="S1389" s="23"/>
      <c r="T1389" s="23"/>
      <c r="U1389" s="23"/>
      <c r="W1389" s="1"/>
      <c r="X1389" s="1"/>
      <c r="Y1389" s="1"/>
    </row>
    <row r="1390" spans="1:25" ht="18.75">
      <c r="F1390" s="9" t="s">
        <v>100</v>
      </c>
      <c r="I1390" s="2">
        <f>'Facility Detail'!$G$3260</f>
        <v>2011</v>
      </c>
      <c r="J1390" s="2">
        <f>I1390+1</f>
        <v>2012</v>
      </c>
      <c r="K1390" s="2">
        <f t="shared" ref="K1390" si="611">J1390+1</f>
        <v>2013</v>
      </c>
      <c r="L1390" s="2">
        <f t="shared" ref="L1390" si="612">K1390+1</f>
        <v>2014</v>
      </c>
      <c r="M1390" s="2">
        <f t="shared" ref="M1390" si="613">L1390+1</f>
        <v>2015</v>
      </c>
      <c r="N1390" s="2">
        <f t="shared" ref="N1390" si="614">M1390+1</f>
        <v>2016</v>
      </c>
      <c r="O1390" s="2">
        <f t="shared" ref="O1390" si="615">N1390+1</f>
        <v>2017</v>
      </c>
      <c r="P1390" s="2">
        <f t="shared" ref="P1390" si="616">O1390+1</f>
        <v>2018</v>
      </c>
      <c r="Q1390" s="2">
        <f t="shared" ref="Q1390" si="617">P1390+1</f>
        <v>2019</v>
      </c>
      <c r="R1390" s="2">
        <f t="shared" ref="R1390" si="618">Q1390+1</f>
        <v>2020</v>
      </c>
      <c r="S1390" s="2">
        <f>R1390+1</f>
        <v>2021</v>
      </c>
      <c r="T1390" s="2">
        <f>S1390+1</f>
        <v>2022</v>
      </c>
      <c r="U1390" s="2">
        <f>T1390+1</f>
        <v>2023</v>
      </c>
      <c r="W1390" s="1"/>
      <c r="X1390" s="1"/>
      <c r="Y1390" s="1"/>
    </row>
    <row r="1391" spans="1:25">
      <c r="G1391" s="62" t="s">
        <v>68</v>
      </c>
      <c r="H1391" s="57"/>
      <c r="I1391" s="3"/>
      <c r="J1391" s="46">
        <f>I1391</f>
        <v>0</v>
      </c>
      <c r="K1391" s="106"/>
      <c r="L1391" s="106"/>
      <c r="M1391" s="106"/>
      <c r="N1391" s="106"/>
      <c r="O1391" s="106"/>
      <c r="P1391" s="106"/>
      <c r="Q1391" s="106"/>
      <c r="R1391" s="106"/>
      <c r="S1391" s="106"/>
      <c r="T1391" s="217"/>
      <c r="U1391" s="47"/>
      <c r="W1391" s="1"/>
      <c r="X1391" s="1"/>
      <c r="Y1391" s="1"/>
    </row>
    <row r="1392" spans="1:25">
      <c r="G1392" s="62" t="s">
        <v>69</v>
      </c>
      <c r="H1392" s="57"/>
      <c r="I1392" s="127">
        <f>J1392</f>
        <v>0</v>
      </c>
      <c r="J1392" s="10"/>
      <c r="K1392" s="60"/>
      <c r="L1392" s="60"/>
      <c r="M1392" s="60"/>
      <c r="N1392" s="60"/>
      <c r="O1392" s="60"/>
      <c r="P1392" s="60"/>
      <c r="Q1392" s="60"/>
      <c r="R1392" s="60"/>
      <c r="S1392" s="60"/>
      <c r="T1392" s="218"/>
      <c r="U1392" s="128"/>
      <c r="W1392" s="1"/>
      <c r="X1392" s="1"/>
      <c r="Y1392" s="1"/>
    </row>
    <row r="1393" spans="7:25">
      <c r="G1393" s="62" t="s">
        <v>70</v>
      </c>
      <c r="H1393" s="57"/>
      <c r="I1393" s="48"/>
      <c r="J1393" s="10">
        <f>J1377</f>
        <v>0</v>
      </c>
      <c r="K1393" s="56">
        <f>J1393</f>
        <v>0</v>
      </c>
      <c r="L1393" s="60"/>
      <c r="M1393" s="60"/>
      <c r="N1393" s="60"/>
      <c r="O1393" s="60"/>
      <c r="P1393" s="60"/>
      <c r="Q1393" s="60"/>
      <c r="R1393" s="60"/>
      <c r="S1393" s="60"/>
      <c r="T1393" s="218"/>
      <c r="U1393" s="128"/>
      <c r="W1393" s="1"/>
      <c r="X1393" s="1"/>
      <c r="Y1393" s="1"/>
    </row>
    <row r="1394" spans="7:25">
      <c r="G1394" s="62" t="s">
        <v>71</v>
      </c>
      <c r="H1394" s="57"/>
      <c r="I1394" s="48"/>
      <c r="J1394" s="56">
        <f>K1394</f>
        <v>0</v>
      </c>
      <c r="K1394" s="10"/>
      <c r="L1394" s="60"/>
      <c r="M1394" s="60"/>
      <c r="N1394" s="60"/>
      <c r="O1394" s="60"/>
      <c r="P1394" s="60"/>
      <c r="Q1394" s="60"/>
      <c r="R1394" s="60"/>
      <c r="S1394" s="60"/>
      <c r="T1394" s="218"/>
      <c r="U1394" s="128"/>
      <c r="W1394" s="1"/>
      <c r="X1394" s="1"/>
      <c r="Y1394" s="1"/>
    </row>
    <row r="1395" spans="7:25">
      <c r="G1395" s="62" t="s">
        <v>170</v>
      </c>
      <c r="I1395" s="48"/>
      <c r="J1395" s="118"/>
      <c r="K1395" s="10">
        <f>K1377</f>
        <v>0</v>
      </c>
      <c r="L1395" s="119">
        <f>K1395</f>
        <v>0</v>
      </c>
      <c r="M1395" s="60"/>
      <c r="N1395" s="60"/>
      <c r="O1395" s="60"/>
      <c r="P1395" s="60"/>
      <c r="Q1395" s="60"/>
      <c r="R1395" s="60"/>
      <c r="S1395" s="60"/>
      <c r="T1395" s="146"/>
      <c r="U1395" s="122"/>
      <c r="W1395" s="1"/>
      <c r="X1395" s="1"/>
      <c r="Y1395" s="1"/>
    </row>
    <row r="1396" spans="7:25">
      <c r="G1396" s="62" t="s">
        <v>171</v>
      </c>
      <c r="I1396" s="48"/>
      <c r="J1396" s="118"/>
      <c r="K1396" s="56">
        <f>L1396</f>
        <v>0</v>
      </c>
      <c r="L1396" s="10"/>
      <c r="M1396" s="60"/>
      <c r="N1396" s="60"/>
      <c r="O1396" s="60"/>
      <c r="P1396" s="60"/>
      <c r="Q1396" s="60"/>
      <c r="R1396" s="60"/>
      <c r="S1396" s="60"/>
      <c r="T1396" s="146"/>
      <c r="U1396" s="122"/>
      <c r="W1396" s="1"/>
      <c r="X1396" s="1"/>
      <c r="Y1396" s="1"/>
    </row>
    <row r="1397" spans="7:25">
      <c r="G1397" s="62" t="s">
        <v>172</v>
      </c>
      <c r="I1397" s="48"/>
      <c r="J1397" s="118"/>
      <c r="K1397" s="118"/>
      <c r="L1397" s="10">
        <f>L1377</f>
        <v>0</v>
      </c>
      <c r="M1397" s="119">
        <f>L1397</f>
        <v>0</v>
      </c>
      <c r="N1397" s="118"/>
      <c r="O1397" s="60"/>
      <c r="P1397" s="60"/>
      <c r="Q1397" s="60"/>
      <c r="R1397" s="60"/>
      <c r="S1397" s="60"/>
      <c r="T1397" s="146"/>
      <c r="U1397" s="122"/>
      <c r="W1397" s="1"/>
      <c r="X1397" s="1"/>
      <c r="Y1397" s="1"/>
    </row>
    <row r="1398" spans="7:25">
      <c r="G1398" s="62" t="s">
        <v>173</v>
      </c>
      <c r="I1398" s="48"/>
      <c r="J1398" s="118"/>
      <c r="K1398" s="118"/>
      <c r="L1398" s="56"/>
      <c r="M1398" s="10"/>
      <c r="N1398" s="118"/>
      <c r="O1398" s="60"/>
      <c r="P1398" s="60"/>
      <c r="Q1398" s="60"/>
      <c r="R1398" s="60"/>
      <c r="S1398" s="60"/>
      <c r="T1398" s="146"/>
      <c r="U1398" s="122"/>
      <c r="W1398" s="1"/>
      <c r="X1398" s="1"/>
      <c r="Y1398" s="1"/>
    </row>
    <row r="1399" spans="7:25">
      <c r="G1399" s="62" t="s">
        <v>174</v>
      </c>
      <c r="I1399" s="48"/>
      <c r="J1399" s="118"/>
      <c r="K1399" s="118"/>
      <c r="L1399" s="118"/>
      <c r="M1399" s="10">
        <v>0</v>
      </c>
      <c r="N1399" s="119">
        <f>M1399</f>
        <v>0</v>
      </c>
      <c r="O1399" s="60"/>
      <c r="P1399" s="60"/>
      <c r="Q1399" s="60"/>
      <c r="R1399" s="60"/>
      <c r="S1399" s="60"/>
      <c r="T1399" s="146"/>
      <c r="U1399" s="122"/>
      <c r="W1399" s="1"/>
      <c r="X1399" s="1"/>
      <c r="Y1399" s="1"/>
    </row>
    <row r="1400" spans="7:25">
      <c r="G1400" s="62" t="s">
        <v>175</v>
      </c>
      <c r="I1400" s="48"/>
      <c r="J1400" s="118"/>
      <c r="K1400" s="118"/>
      <c r="L1400" s="118"/>
      <c r="M1400" s="56"/>
      <c r="N1400" s="10"/>
      <c r="O1400" s="60"/>
      <c r="P1400" s="60"/>
      <c r="Q1400" s="60"/>
      <c r="R1400" s="60"/>
      <c r="S1400" s="60"/>
      <c r="T1400" s="146"/>
      <c r="U1400" s="122"/>
      <c r="W1400" s="1"/>
      <c r="X1400" s="1"/>
      <c r="Y1400" s="1"/>
    </row>
    <row r="1401" spans="7:25">
      <c r="G1401" s="62" t="s">
        <v>176</v>
      </c>
      <c r="I1401" s="48"/>
      <c r="J1401" s="118"/>
      <c r="K1401" s="118"/>
      <c r="L1401" s="118"/>
      <c r="M1401" s="118"/>
      <c r="N1401" s="149">
        <f>N1377</f>
        <v>0</v>
      </c>
      <c r="O1401" s="120">
        <f>N1401</f>
        <v>0</v>
      </c>
      <c r="P1401" s="60"/>
      <c r="Q1401" s="60"/>
      <c r="R1401" s="60"/>
      <c r="S1401" s="60"/>
      <c r="T1401" s="146"/>
      <c r="U1401" s="122"/>
      <c r="W1401" s="1"/>
      <c r="X1401" s="1"/>
      <c r="Y1401" s="1"/>
    </row>
    <row r="1402" spans="7:25">
      <c r="G1402" s="62" t="s">
        <v>167</v>
      </c>
      <c r="I1402" s="48"/>
      <c r="J1402" s="118"/>
      <c r="K1402" s="118"/>
      <c r="L1402" s="118"/>
      <c r="M1402" s="118"/>
      <c r="N1402" s="150"/>
      <c r="O1402" s="121"/>
      <c r="P1402" s="60"/>
      <c r="Q1402" s="60"/>
      <c r="R1402" s="60"/>
      <c r="S1402" s="60"/>
      <c r="T1402" s="146"/>
      <c r="U1402" s="122"/>
      <c r="W1402" s="1"/>
      <c r="X1402" s="1"/>
      <c r="Y1402" s="1"/>
    </row>
    <row r="1403" spans="7:25">
      <c r="G1403" s="62" t="s">
        <v>168</v>
      </c>
      <c r="I1403" s="48"/>
      <c r="J1403" s="118"/>
      <c r="K1403" s="118"/>
      <c r="L1403" s="118"/>
      <c r="M1403" s="118"/>
      <c r="N1403" s="118"/>
      <c r="O1403" s="121">
        <f>O1377</f>
        <v>0</v>
      </c>
      <c r="P1403" s="120">
        <f>O1403</f>
        <v>0</v>
      </c>
      <c r="Q1403" s="60"/>
      <c r="R1403" s="60"/>
      <c r="S1403" s="60"/>
      <c r="T1403" s="146"/>
      <c r="U1403" s="122"/>
      <c r="W1403" s="1"/>
      <c r="X1403" s="1"/>
      <c r="Y1403" s="1"/>
    </row>
    <row r="1404" spans="7:25">
      <c r="G1404" s="62" t="s">
        <v>185</v>
      </c>
      <c r="I1404" s="48"/>
      <c r="J1404" s="118"/>
      <c r="K1404" s="118"/>
      <c r="L1404" s="118"/>
      <c r="M1404" s="118"/>
      <c r="N1404" s="118"/>
      <c r="O1404" s="120"/>
      <c r="P1404" s="121"/>
      <c r="Q1404" s="60"/>
      <c r="R1404" s="60"/>
      <c r="S1404" s="60"/>
      <c r="T1404" s="146"/>
      <c r="U1404" s="122"/>
      <c r="W1404" s="1"/>
      <c r="X1404" s="1"/>
      <c r="Y1404" s="1"/>
    </row>
    <row r="1405" spans="7:25">
      <c r="G1405" s="62" t="s">
        <v>186</v>
      </c>
      <c r="I1405" s="48"/>
      <c r="J1405" s="118"/>
      <c r="K1405" s="118"/>
      <c r="L1405" s="118"/>
      <c r="M1405" s="118"/>
      <c r="N1405" s="118"/>
      <c r="O1405" s="118"/>
      <c r="P1405" s="121"/>
      <c r="Q1405" s="56">
        <f>P1405</f>
        <v>0</v>
      </c>
      <c r="R1405" s="60"/>
      <c r="S1405" s="60"/>
      <c r="T1405" s="146"/>
      <c r="U1405" s="122"/>
      <c r="W1405" s="1"/>
      <c r="X1405" s="1"/>
      <c r="Y1405" s="1"/>
    </row>
    <row r="1406" spans="7:25">
      <c r="G1406" s="62" t="s">
        <v>187</v>
      </c>
      <c r="I1406" s="48"/>
      <c r="J1406" s="118"/>
      <c r="K1406" s="118"/>
      <c r="L1406" s="118"/>
      <c r="M1406" s="118"/>
      <c r="N1406" s="118"/>
      <c r="O1406" s="118"/>
      <c r="P1406" s="120"/>
      <c r="Q1406" s="306"/>
      <c r="R1406" s="60"/>
      <c r="S1406" s="60"/>
      <c r="T1406" s="146"/>
      <c r="U1406" s="122"/>
      <c r="W1406" s="1"/>
      <c r="X1406" s="1"/>
      <c r="Y1406" s="1"/>
    </row>
    <row r="1407" spans="7:25">
      <c r="G1407" s="62" t="s">
        <v>188</v>
      </c>
      <c r="I1407" s="48"/>
      <c r="J1407" s="118"/>
      <c r="K1407" s="118"/>
      <c r="L1407" s="118"/>
      <c r="M1407" s="118"/>
      <c r="N1407" s="118"/>
      <c r="O1407" s="118"/>
      <c r="P1407" s="118"/>
      <c r="Q1407" s="121"/>
      <c r="R1407" s="151">
        <f>Q1407</f>
        <v>0</v>
      </c>
      <c r="S1407" s="60"/>
      <c r="T1407" s="146"/>
      <c r="U1407" s="122"/>
      <c r="W1407" s="1"/>
      <c r="X1407" s="1"/>
      <c r="Y1407" s="1"/>
    </row>
    <row r="1408" spans="7:25">
      <c r="G1408" s="62" t="s">
        <v>189</v>
      </c>
      <c r="I1408" s="48"/>
      <c r="J1408" s="118"/>
      <c r="K1408" s="118"/>
      <c r="L1408" s="118"/>
      <c r="M1408" s="118"/>
      <c r="N1408" s="118"/>
      <c r="O1408" s="118"/>
      <c r="P1408" s="118"/>
      <c r="Q1408" s="151">
        <f>R1377</f>
        <v>0</v>
      </c>
      <c r="R1408" s="173">
        <f>Q1408</f>
        <v>0</v>
      </c>
      <c r="S1408" s="60"/>
      <c r="T1408" s="146"/>
      <c r="U1408" s="122"/>
      <c r="W1408" s="1"/>
      <c r="X1408" s="1"/>
      <c r="Y1408" s="1"/>
    </row>
    <row r="1409" spans="2:25">
      <c r="G1409" s="62" t="s">
        <v>190</v>
      </c>
      <c r="I1409" s="48"/>
      <c r="J1409" s="118"/>
      <c r="K1409" s="118"/>
      <c r="L1409" s="118"/>
      <c r="M1409" s="118"/>
      <c r="N1409" s="118"/>
      <c r="O1409" s="118"/>
      <c r="P1409" s="118"/>
      <c r="Q1409" s="118"/>
      <c r="R1409" s="173"/>
      <c r="S1409" s="151">
        <f>R1409</f>
        <v>0</v>
      </c>
      <c r="T1409" s="146"/>
      <c r="U1409" s="122"/>
      <c r="W1409" s="1"/>
      <c r="X1409" s="1"/>
      <c r="Y1409" s="1"/>
    </row>
    <row r="1410" spans="2:25">
      <c r="G1410" s="62" t="s">
        <v>199</v>
      </c>
      <c r="I1410" s="48"/>
      <c r="J1410" s="118"/>
      <c r="K1410" s="118"/>
      <c r="L1410" s="118"/>
      <c r="M1410" s="118"/>
      <c r="N1410" s="118"/>
      <c r="O1410" s="118"/>
      <c r="P1410" s="118"/>
      <c r="Q1410" s="118"/>
      <c r="R1410" s="120">
        <v>10000</v>
      </c>
      <c r="S1410" s="173">
        <v>10000</v>
      </c>
      <c r="T1410" s="146"/>
      <c r="U1410" s="122"/>
      <c r="W1410" s="1"/>
      <c r="X1410" s="1"/>
      <c r="Y1410" s="1"/>
    </row>
    <row r="1411" spans="2:25">
      <c r="G1411" s="62" t="s">
        <v>200</v>
      </c>
      <c r="I1411" s="48"/>
      <c r="J1411" s="118"/>
      <c r="K1411" s="118"/>
      <c r="L1411" s="118"/>
      <c r="M1411" s="118"/>
      <c r="N1411" s="118"/>
      <c r="O1411" s="118"/>
      <c r="P1411" s="118"/>
      <c r="Q1411" s="118"/>
      <c r="R1411" s="118"/>
      <c r="S1411" s="173"/>
      <c r="T1411" s="151">
        <f>S1411</f>
        <v>0</v>
      </c>
      <c r="U1411" s="122"/>
      <c r="W1411" s="1"/>
      <c r="X1411" s="1"/>
      <c r="Y1411" s="1"/>
    </row>
    <row r="1412" spans="2:25">
      <c r="G1412" s="62" t="s">
        <v>308</v>
      </c>
      <c r="I1412" s="48"/>
      <c r="J1412" s="118"/>
      <c r="K1412" s="118"/>
      <c r="L1412" s="118"/>
      <c r="M1412" s="118"/>
      <c r="N1412" s="118"/>
      <c r="O1412" s="118"/>
      <c r="P1412" s="118"/>
      <c r="Q1412" s="118"/>
      <c r="R1412" s="118"/>
      <c r="S1412" s="120">
        <f>T1412</f>
        <v>0</v>
      </c>
      <c r="T1412" s="173"/>
      <c r="U1412" s="122"/>
      <c r="W1412" s="1"/>
      <c r="X1412" s="1"/>
      <c r="Y1412" s="1"/>
    </row>
    <row r="1413" spans="2:25">
      <c r="G1413" s="62" t="s">
        <v>307</v>
      </c>
      <c r="I1413" s="114"/>
      <c r="J1413" s="107"/>
      <c r="K1413" s="107"/>
      <c r="L1413" s="107"/>
      <c r="M1413" s="107"/>
      <c r="N1413" s="107"/>
      <c r="O1413" s="107"/>
      <c r="P1413" s="107"/>
      <c r="Q1413" s="107"/>
      <c r="R1413" s="107"/>
      <c r="S1413" s="107"/>
      <c r="T1413" s="173"/>
      <c r="U1413" s="456">
        <f>T1413</f>
        <v>0</v>
      </c>
      <c r="W1413" s="1"/>
      <c r="X1413" s="1"/>
      <c r="Y1413" s="1"/>
    </row>
    <row r="1414" spans="2:25">
      <c r="G1414" s="62" t="s">
        <v>318</v>
      </c>
      <c r="I1414" s="114"/>
      <c r="J1414" s="107"/>
      <c r="K1414" s="107"/>
      <c r="L1414" s="107"/>
      <c r="M1414" s="107"/>
      <c r="N1414" s="107"/>
      <c r="O1414" s="107"/>
      <c r="P1414" s="107"/>
      <c r="Q1414" s="107"/>
      <c r="R1414" s="107"/>
      <c r="S1414" s="107"/>
      <c r="T1414" s="120"/>
      <c r="U1414" s="457">
        <f>T1414</f>
        <v>0</v>
      </c>
      <c r="W1414" s="1"/>
      <c r="X1414" s="1"/>
      <c r="Y1414" s="1"/>
    </row>
    <row r="1415" spans="2:25">
      <c r="G1415" s="62" t="s">
        <v>319</v>
      </c>
      <c r="I1415" s="49"/>
      <c r="J1415" s="194"/>
      <c r="K1415" s="194"/>
      <c r="L1415" s="194"/>
      <c r="M1415" s="194"/>
      <c r="N1415" s="194"/>
      <c r="O1415" s="194"/>
      <c r="P1415" s="194"/>
      <c r="Q1415" s="194"/>
      <c r="R1415" s="194"/>
      <c r="S1415" s="194"/>
      <c r="T1415" s="194"/>
      <c r="U1415" s="458"/>
      <c r="W1415" s="1"/>
      <c r="X1415" s="1"/>
      <c r="Y1415" s="1"/>
    </row>
    <row r="1416" spans="2:25">
      <c r="B1416" s="1" t="s">
        <v>218</v>
      </c>
      <c r="G1416" s="26" t="s">
        <v>17</v>
      </c>
      <c r="I1416" s="7">
        <f xml:space="preserve"> I1397 - I1396</f>
        <v>0</v>
      </c>
      <c r="J1416" s="7">
        <f xml:space="preserve"> J1396 + J1399 - J1398 - J1397</f>
        <v>0</v>
      </c>
      <c r="K1416" s="7">
        <f>K1398 - K1399</f>
        <v>0</v>
      </c>
      <c r="L1416" s="7">
        <f>L1398 - L1399</f>
        <v>0</v>
      </c>
      <c r="M1416" s="7">
        <f>M1397-M1398-M1399</f>
        <v>0</v>
      </c>
      <c r="N1416" s="7">
        <f>N1399-N1400-N1401</f>
        <v>0</v>
      </c>
      <c r="O1416" s="7">
        <f>O1401-O1402-O1403</f>
        <v>0</v>
      </c>
      <c r="P1416" s="154">
        <f>P1403-P1404-P1405</f>
        <v>0</v>
      </c>
      <c r="Q1416" s="154">
        <f>Q1405+Q1408-Q1407-Q1406</f>
        <v>0</v>
      </c>
      <c r="R1416" s="154">
        <f>R1407-R1408+R1410</f>
        <v>10000</v>
      </c>
      <c r="S1416" s="7">
        <f>S1409-S1410-S1411</f>
        <v>-10000</v>
      </c>
      <c r="T1416" s="7">
        <f>T1411-T1412-T1413</f>
        <v>0</v>
      </c>
      <c r="U1416" s="7">
        <f>U1411-U1412-U1413</f>
        <v>0</v>
      </c>
      <c r="W1416" s="1"/>
      <c r="X1416" s="1"/>
      <c r="Y1416" s="1"/>
    </row>
    <row r="1417" spans="2:25">
      <c r="G1417" s="6"/>
      <c r="I1417" s="154"/>
      <c r="J1417" s="154"/>
      <c r="K1417" s="154"/>
      <c r="L1417" s="154"/>
      <c r="M1417" s="154"/>
      <c r="N1417" s="154"/>
      <c r="O1417" s="154"/>
      <c r="P1417" s="154"/>
      <c r="Q1417" s="154"/>
      <c r="R1417" s="154"/>
      <c r="S1417" s="297"/>
      <c r="T1417" s="154"/>
      <c r="U1417" s="154"/>
      <c r="W1417" s="1"/>
      <c r="X1417" s="1"/>
      <c r="Y1417" s="1"/>
    </row>
    <row r="1418" spans="2:25">
      <c r="G1418" s="26" t="s">
        <v>12</v>
      </c>
      <c r="H1418" s="57"/>
      <c r="I1418" s="155"/>
      <c r="J1418" s="156"/>
      <c r="K1418" s="156"/>
      <c r="L1418" s="156"/>
      <c r="M1418" s="156"/>
      <c r="N1418" s="156"/>
      <c r="O1418" s="156"/>
      <c r="P1418" s="156"/>
      <c r="Q1418" s="156"/>
      <c r="R1418" s="156"/>
      <c r="S1418" s="156"/>
      <c r="T1418" s="156"/>
      <c r="U1418" s="267"/>
      <c r="W1418" s="1"/>
      <c r="X1418" s="1"/>
      <c r="Y1418" s="1"/>
    </row>
    <row r="1419" spans="2:25">
      <c r="G1419" s="6"/>
      <c r="I1419" s="154"/>
      <c r="J1419" s="154"/>
      <c r="K1419" s="154"/>
      <c r="L1419" s="154"/>
      <c r="M1419" s="154"/>
      <c r="N1419" s="154"/>
      <c r="O1419" s="154"/>
      <c r="P1419" s="154"/>
      <c r="Q1419" s="154"/>
      <c r="R1419" s="154"/>
      <c r="S1419" s="154"/>
      <c r="T1419" s="154"/>
      <c r="U1419" s="154"/>
      <c r="W1419" s="1"/>
      <c r="X1419" s="1"/>
      <c r="Y1419" s="1"/>
    </row>
    <row r="1420" spans="2:25" ht="18.75">
      <c r="C1420" s="1" t="s">
        <v>218</v>
      </c>
      <c r="D1420" s="1" t="s">
        <v>243</v>
      </c>
      <c r="E1420" s="1" t="s">
        <v>107</v>
      </c>
      <c r="F1420" s="9" t="s">
        <v>26</v>
      </c>
      <c r="H1420" s="57"/>
      <c r="I1420" s="157">
        <f t="shared" ref="I1420:S1420" si="619" xml:space="preserve"> I1377 + I1382 - I1388 + I1416 + I1418</f>
        <v>0</v>
      </c>
      <c r="J1420" s="158">
        <f t="shared" si="619"/>
        <v>0</v>
      </c>
      <c r="K1420" s="158">
        <f t="shared" si="619"/>
        <v>0</v>
      </c>
      <c r="L1420" s="158">
        <f t="shared" si="619"/>
        <v>0</v>
      </c>
      <c r="M1420" s="158">
        <f t="shared" si="619"/>
        <v>0</v>
      </c>
      <c r="N1420" s="158">
        <f t="shared" si="619"/>
        <v>0</v>
      </c>
      <c r="O1420" s="158">
        <f t="shared" si="619"/>
        <v>0</v>
      </c>
      <c r="P1420" s="158">
        <f t="shared" si="619"/>
        <v>0</v>
      </c>
      <c r="Q1420" s="158">
        <f t="shared" si="619"/>
        <v>0</v>
      </c>
      <c r="R1420" s="158">
        <f t="shared" si="619"/>
        <v>10000</v>
      </c>
      <c r="S1420" s="298">
        <f t="shared" si="619"/>
        <v>16610.632900565513</v>
      </c>
      <c r="T1420" s="158">
        <f t="shared" ref="T1420:U1420" si="620" xml:space="preserve"> T1377 + T1382 - T1388 + T1416 + T1418</f>
        <v>30232.605055731903</v>
      </c>
      <c r="U1420" s="268">
        <f t="shared" si="620"/>
        <v>26237.569214448551</v>
      </c>
      <c r="W1420" s="1"/>
      <c r="X1420" s="1"/>
      <c r="Y1420" s="1"/>
    </row>
    <row r="1421" spans="2:25" ht="15.75" thickBot="1">
      <c r="W1421" s="1"/>
      <c r="X1421" s="1"/>
      <c r="Y1421" s="1"/>
    </row>
    <row r="1422" spans="2:25">
      <c r="F1422" s="8"/>
      <c r="G1422" s="8"/>
      <c r="H1422" s="8"/>
      <c r="I1422" s="8"/>
      <c r="J1422" s="8"/>
      <c r="K1422" s="8"/>
      <c r="L1422" s="8"/>
      <c r="M1422" s="8"/>
      <c r="N1422" s="8"/>
      <c r="O1422" s="8"/>
      <c r="P1422" s="8"/>
      <c r="Q1422" s="8"/>
      <c r="R1422" s="8"/>
      <c r="S1422" s="290"/>
      <c r="T1422" s="8"/>
      <c r="U1422" s="8"/>
      <c r="W1422" s="1"/>
      <c r="X1422" s="1"/>
      <c r="Y1422" s="1"/>
    </row>
    <row r="1423" spans="2:25" ht="15.75" thickBot="1">
      <c r="W1423" s="1"/>
      <c r="X1423" s="1"/>
      <c r="Y1423" s="1"/>
    </row>
    <row r="1424" spans="2:25" ht="21.75" thickBot="1">
      <c r="F1424" s="13" t="s">
        <v>4</v>
      </c>
      <c r="G1424" s="13"/>
      <c r="H1424" s="185" t="s">
        <v>203</v>
      </c>
      <c r="I1424" s="186"/>
      <c r="J1424" s="174"/>
      <c r="W1424" s="1"/>
      <c r="X1424" s="1"/>
      <c r="Y1424" s="1"/>
    </row>
    <row r="1425" spans="1:25">
      <c r="W1425" s="1"/>
      <c r="X1425" s="1"/>
      <c r="Y1425" s="1"/>
    </row>
    <row r="1426" spans="1:25" ht="18.75">
      <c r="F1426" s="9" t="s">
        <v>21</v>
      </c>
      <c r="G1426" s="9"/>
      <c r="I1426" s="2">
        <f>'Facility Detail'!$G$3260</f>
        <v>2011</v>
      </c>
      <c r="J1426" s="2">
        <f t="shared" ref="J1426:P1426" si="621">I1426+1</f>
        <v>2012</v>
      </c>
      <c r="K1426" s="2">
        <f t="shared" si="621"/>
        <v>2013</v>
      </c>
      <c r="L1426" s="2">
        <f t="shared" si="621"/>
        <v>2014</v>
      </c>
      <c r="M1426" s="2">
        <f t="shared" si="621"/>
        <v>2015</v>
      </c>
      <c r="N1426" s="2">
        <f t="shared" si="621"/>
        <v>2016</v>
      </c>
      <c r="O1426" s="2">
        <f t="shared" si="621"/>
        <v>2017</v>
      </c>
      <c r="P1426" s="2">
        <f t="shared" si="621"/>
        <v>2018</v>
      </c>
      <c r="Q1426" s="2">
        <f t="shared" ref="Q1426" si="622">P1426+1</f>
        <v>2019</v>
      </c>
      <c r="R1426" s="2">
        <f t="shared" ref="R1426" si="623">Q1426+1</f>
        <v>2020</v>
      </c>
      <c r="S1426" s="304">
        <f>R1426+1</f>
        <v>2021</v>
      </c>
      <c r="T1426" s="2">
        <f>S1426+1</f>
        <v>2022</v>
      </c>
      <c r="U1426" s="2">
        <f>T1426+1</f>
        <v>2023</v>
      </c>
      <c r="W1426" s="1"/>
      <c r="X1426" s="1"/>
      <c r="Y1426" s="1"/>
    </row>
    <row r="1427" spans="1:25">
      <c r="G1427" s="62" t="str">
        <f>"Total MWh Produced / Purchased from " &amp; H1424</f>
        <v>Total MWh Produced / Purchased from Hot Springs Wind Farm - REC Only</v>
      </c>
      <c r="H1427" s="57"/>
      <c r="I1427" s="3">
        <v>7963</v>
      </c>
      <c r="J1427" s="4"/>
      <c r="K1427" s="4"/>
      <c r="L1427" s="4"/>
      <c r="M1427" s="4">
        <v>8028</v>
      </c>
      <c r="N1427" s="4">
        <v>10218</v>
      </c>
      <c r="O1427" s="4">
        <v>8846</v>
      </c>
      <c r="P1427" s="4">
        <v>1923</v>
      </c>
      <c r="Q1427" s="4"/>
      <c r="R1427" s="4"/>
      <c r="S1427" s="308"/>
      <c r="T1427" s="4"/>
      <c r="U1427" s="5"/>
      <c r="W1427" s="1"/>
      <c r="X1427" s="1"/>
      <c r="Y1427" s="1"/>
    </row>
    <row r="1428" spans="1:25">
      <c r="G1428" s="62" t="s">
        <v>25</v>
      </c>
      <c r="H1428" s="57"/>
      <c r="I1428" s="269">
        <v>1</v>
      </c>
      <c r="J1428" s="41"/>
      <c r="K1428" s="41"/>
      <c r="L1428" s="41"/>
      <c r="M1428" s="41">
        <v>1</v>
      </c>
      <c r="N1428" s="41">
        <v>1</v>
      </c>
      <c r="O1428" s="41">
        <v>1</v>
      </c>
      <c r="P1428" s="41">
        <v>1</v>
      </c>
      <c r="Q1428" s="41"/>
      <c r="R1428" s="41"/>
      <c r="S1428" s="309"/>
      <c r="T1428" s="41"/>
      <c r="U1428" s="42"/>
      <c r="W1428" s="1"/>
      <c r="X1428" s="1"/>
      <c r="Y1428" s="1"/>
    </row>
    <row r="1429" spans="1:25">
      <c r="G1429" s="62" t="s">
        <v>20</v>
      </c>
      <c r="H1429" s="57"/>
      <c r="I1429" s="270">
        <v>1</v>
      </c>
      <c r="J1429" s="36"/>
      <c r="K1429" s="36"/>
      <c r="L1429" s="36"/>
      <c r="M1429" s="36">
        <v>1</v>
      </c>
      <c r="N1429" s="36">
        <v>1</v>
      </c>
      <c r="O1429" s="36">
        <v>1</v>
      </c>
      <c r="P1429" s="36">
        <v>1</v>
      </c>
      <c r="Q1429" s="36"/>
      <c r="R1429" s="36"/>
      <c r="S1429" s="310"/>
      <c r="T1429" s="36"/>
      <c r="U1429" s="37"/>
      <c r="W1429" s="1"/>
      <c r="X1429" s="1"/>
      <c r="Y1429" s="1"/>
    </row>
    <row r="1430" spans="1:25">
      <c r="A1430" s="1" t="s">
        <v>136</v>
      </c>
      <c r="G1430" s="26" t="s">
        <v>22</v>
      </c>
      <c r="H1430" s="6"/>
      <c r="I1430" s="30">
        <v>7963</v>
      </c>
      <c r="J1430" s="30">
        <v>0</v>
      </c>
      <c r="K1430" s="30">
        <v>0</v>
      </c>
      <c r="L1430" s="30">
        <v>0</v>
      </c>
      <c r="M1430" s="30">
        <v>8028</v>
      </c>
      <c r="N1430" s="161">
        <v>10218</v>
      </c>
      <c r="O1430" s="161">
        <v>8846</v>
      </c>
      <c r="P1430" s="161">
        <v>1923</v>
      </c>
      <c r="Q1430" s="161">
        <f t="shared" ref="Q1430" si="624">Q1427 * Q1428 * Q1429</f>
        <v>0</v>
      </c>
      <c r="R1430" s="161">
        <f t="shared" ref="R1430:S1430" si="625">R1427 * R1428 * R1429</f>
        <v>0</v>
      </c>
      <c r="S1430" s="311">
        <f t="shared" si="625"/>
        <v>0</v>
      </c>
      <c r="T1430" s="161">
        <f t="shared" ref="T1430:U1430" si="626">T1427 * T1428 * T1429</f>
        <v>0</v>
      </c>
      <c r="U1430" s="161">
        <f t="shared" si="626"/>
        <v>0</v>
      </c>
      <c r="W1430" s="1"/>
      <c r="X1430" s="1"/>
      <c r="Y1430" s="1"/>
    </row>
    <row r="1431" spans="1:25">
      <c r="I1431" s="29"/>
      <c r="J1431" s="29"/>
      <c r="K1431" s="29"/>
      <c r="L1431" s="29"/>
      <c r="M1431" s="29"/>
      <c r="N1431" s="20"/>
      <c r="O1431" s="20"/>
      <c r="P1431" s="20"/>
      <c r="Q1431" s="20"/>
      <c r="R1431" s="20"/>
      <c r="S1431" s="312"/>
      <c r="T1431" s="20"/>
      <c r="U1431" s="20"/>
      <c r="W1431" s="1"/>
      <c r="X1431" s="1"/>
      <c r="Y1431" s="1"/>
    </row>
    <row r="1432" spans="1:25" ht="18.75">
      <c r="F1432" s="9" t="s">
        <v>118</v>
      </c>
      <c r="I1432" s="2">
        <f>'Facility Detail'!$G$3260</f>
        <v>2011</v>
      </c>
      <c r="J1432" s="2">
        <f>I1432+1</f>
        <v>2012</v>
      </c>
      <c r="K1432" s="2">
        <f>J1432+1</f>
        <v>2013</v>
      </c>
      <c r="L1432" s="2">
        <f>L1426</f>
        <v>2014</v>
      </c>
      <c r="M1432" s="2">
        <f>M1426</f>
        <v>2015</v>
      </c>
      <c r="N1432" s="2">
        <f>N1426</f>
        <v>2016</v>
      </c>
      <c r="O1432" s="2">
        <f>O1426</f>
        <v>2017</v>
      </c>
      <c r="P1432" s="2">
        <f t="shared" ref="P1432:Q1432" si="627">P1426</f>
        <v>2018</v>
      </c>
      <c r="Q1432" s="2">
        <f t="shared" si="627"/>
        <v>2019</v>
      </c>
      <c r="R1432" s="2">
        <f t="shared" ref="R1432:S1432" si="628">R1426</f>
        <v>2020</v>
      </c>
      <c r="S1432" s="304">
        <f t="shared" si="628"/>
        <v>2021</v>
      </c>
      <c r="T1432" s="2">
        <f t="shared" ref="T1432:U1432" si="629">T1426</f>
        <v>2022</v>
      </c>
      <c r="U1432" s="2">
        <f t="shared" si="629"/>
        <v>2023</v>
      </c>
      <c r="W1432" s="1"/>
      <c r="X1432" s="1"/>
      <c r="Y1432" s="1"/>
    </row>
    <row r="1433" spans="1:25">
      <c r="G1433" s="62" t="s">
        <v>10</v>
      </c>
      <c r="H1433" s="57"/>
      <c r="I1433" s="38">
        <f>IF( $J33 = "Eligible", I1430 * 'Facility Detail'!$G$3257, 0 )</f>
        <v>0</v>
      </c>
      <c r="J1433" s="11">
        <f>IF( $J33 = "Eligible", J1430 * 'Facility Detail'!$G$3257, 0 )</f>
        <v>0</v>
      </c>
      <c r="K1433" s="11">
        <f>IF( $J33 = "Eligible", K1430 * 'Facility Detail'!$G$3257, 0 )</f>
        <v>0</v>
      </c>
      <c r="L1433" s="11">
        <f>IF( $J33 = "Eligible", L1430 * 'Facility Detail'!$G$3257, 0 )</f>
        <v>0</v>
      </c>
      <c r="M1433" s="11">
        <f>IF( $J33 = "Eligible", M1430 * 'Facility Detail'!$G$3257, 0 )</f>
        <v>0</v>
      </c>
      <c r="N1433" s="11">
        <f>IF( $J33 = "Eligible", N1430 * 'Facility Detail'!$G$3257, 0 )</f>
        <v>0</v>
      </c>
      <c r="O1433" s="11">
        <f>IF( $J33 = "Eligible", O1430 * 'Facility Detail'!$G$3257, 0 )</f>
        <v>0</v>
      </c>
      <c r="P1433" s="11">
        <f>IF( $J33 = "Eligible", P1430 * 'Facility Detail'!$G$3257, 0 )</f>
        <v>0</v>
      </c>
      <c r="Q1433" s="11">
        <f>IF( $J33 = "Eligible", Q1430 * 'Facility Detail'!$G$3257, 0 )</f>
        <v>0</v>
      </c>
      <c r="R1433" s="11">
        <f>IF( $J33 = "Eligible", R1430 * 'Facility Detail'!$G$3257, 0 )</f>
        <v>0</v>
      </c>
      <c r="S1433" s="313">
        <f>IF( $J33 = "Eligible", S1430 * 'Facility Detail'!$G$3257, 0 )</f>
        <v>0</v>
      </c>
      <c r="T1433" s="11">
        <f>IF( $J33 = "Eligible", T1430 * 'Facility Detail'!$G$3257, 0 )</f>
        <v>0</v>
      </c>
      <c r="U1433" s="223">
        <f>IF( $J33 = "Eligible", U1430 * 'Facility Detail'!$G$3257, 0 )</f>
        <v>0</v>
      </c>
      <c r="W1433" s="1"/>
      <c r="X1433" s="1"/>
      <c r="Y1433" s="1"/>
    </row>
    <row r="1434" spans="1:25">
      <c r="G1434" s="62" t="s">
        <v>6</v>
      </c>
      <c r="H1434" s="57"/>
      <c r="I1434" s="39">
        <f t="shared" ref="I1434:U1434" si="630">IF( $K33 = "Eligible", I1430, 0 )</f>
        <v>0</v>
      </c>
      <c r="J1434" s="193">
        <f t="shared" si="630"/>
        <v>0</v>
      </c>
      <c r="K1434" s="193">
        <f t="shared" si="630"/>
        <v>0</v>
      </c>
      <c r="L1434" s="193">
        <f t="shared" si="630"/>
        <v>0</v>
      </c>
      <c r="M1434" s="193">
        <f t="shared" si="630"/>
        <v>0</v>
      </c>
      <c r="N1434" s="193">
        <f t="shared" si="630"/>
        <v>0</v>
      </c>
      <c r="O1434" s="193">
        <f t="shared" si="630"/>
        <v>0</v>
      </c>
      <c r="P1434" s="193">
        <f t="shared" si="630"/>
        <v>0</v>
      </c>
      <c r="Q1434" s="193">
        <f t="shared" si="630"/>
        <v>0</v>
      </c>
      <c r="R1434" s="193">
        <f t="shared" si="630"/>
        <v>0</v>
      </c>
      <c r="S1434" s="314">
        <f t="shared" si="630"/>
        <v>0</v>
      </c>
      <c r="T1434" s="193">
        <f t="shared" si="630"/>
        <v>0</v>
      </c>
      <c r="U1434" s="224">
        <f t="shared" si="630"/>
        <v>0</v>
      </c>
      <c r="W1434" s="1"/>
      <c r="X1434" s="1"/>
      <c r="Y1434" s="1"/>
    </row>
    <row r="1435" spans="1:25">
      <c r="G1435" s="26" t="s">
        <v>120</v>
      </c>
      <c r="H1435" s="6"/>
      <c r="I1435" s="32">
        <f t="shared" ref="I1435" si="631">SUM(I1433:I1434)</f>
        <v>0</v>
      </c>
      <c r="J1435" s="33">
        <f t="shared" ref="J1435:S1435" si="632">SUM(J1433:J1434)</f>
        <v>0</v>
      </c>
      <c r="K1435" s="33">
        <f t="shared" si="632"/>
        <v>0</v>
      </c>
      <c r="L1435" s="33">
        <f t="shared" si="632"/>
        <v>0</v>
      </c>
      <c r="M1435" s="33">
        <f t="shared" si="632"/>
        <v>0</v>
      </c>
      <c r="N1435" s="33">
        <f t="shared" si="632"/>
        <v>0</v>
      </c>
      <c r="O1435" s="33">
        <f t="shared" si="632"/>
        <v>0</v>
      </c>
      <c r="P1435" s="33">
        <f t="shared" si="632"/>
        <v>0</v>
      </c>
      <c r="Q1435" s="33">
        <f t="shared" si="632"/>
        <v>0</v>
      </c>
      <c r="R1435" s="33">
        <f t="shared" si="632"/>
        <v>0</v>
      </c>
      <c r="S1435" s="315">
        <f t="shared" si="632"/>
        <v>0</v>
      </c>
      <c r="T1435" s="33">
        <f t="shared" ref="T1435:U1435" si="633">SUM(T1433:T1434)</f>
        <v>0</v>
      </c>
      <c r="U1435" s="33">
        <f t="shared" si="633"/>
        <v>0</v>
      </c>
      <c r="W1435" s="1"/>
      <c r="X1435" s="1"/>
      <c r="Y1435" s="1"/>
    </row>
    <row r="1436" spans="1:25">
      <c r="I1436" s="31"/>
      <c r="J1436" s="24"/>
      <c r="K1436" s="24"/>
      <c r="L1436" s="24"/>
      <c r="M1436" s="24"/>
      <c r="N1436" s="24"/>
      <c r="O1436" s="24"/>
      <c r="P1436" s="24"/>
      <c r="Q1436" s="24"/>
      <c r="R1436" s="24"/>
      <c r="S1436" s="316"/>
      <c r="T1436" s="24"/>
      <c r="U1436" s="24"/>
      <c r="W1436" s="1"/>
      <c r="X1436" s="1"/>
      <c r="Y1436" s="1"/>
    </row>
    <row r="1437" spans="1:25" ht="18.75">
      <c r="F1437" s="9" t="s">
        <v>30</v>
      </c>
      <c r="I1437" s="2">
        <f>'Facility Detail'!$G$3260</f>
        <v>2011</v>
      </c>
      <c r="J1437" s="2">
        <f>I1437+1</f>
        <v>2012</v>
      </c>
      <c r="K1437" s="2">
        <f>J1437+1</f>
        <v>2013</v>
      </c>
      <c r="L1437" s="2">
        <f>L1426</f>
        <v>2014</v>
      </c>
      <c r="M1437" s="2">
        <f>M1426</f>
        <v>2015</v>
      </c>
      <c r="N1437" s="2">
        <f>N1426</f>
        <v>2016</v>
      </c>
      <c r="O1437" s="2">
        <f>O1426</f>
        <v>2017</v>
      </c>
      <c r="P1437" s="2">
        <f t="shared" ref="P1437:Q1437" si="634">P1426</f>
        <v>2018</v>
      </c>
      <c r="Q1437" s="2">
        <f t="shared" si="634"/>
        <v>2019</v>
      </c>
      <c r="R1437" s="2">
        <f t="shared" ref="R1437:S1437" si="635">R1426</f>
        <v>2020</v>
      </c>
      <c r="S1437" s="304">
        <f t="shared" si="635"/>
        <v>2021</v>
      </c>
      <c r="T1437" s="2">
        <f t="shared" ref="T1437:U1437" si="636">T1426</f>
        <v>2022</v>
      </c>
      <c r="U1437" s="2">
        <f t="shared" si="636"/>
        <v>2023</v>
      </c>
      <c r="W1437" s="1"/>
      <c r="X1437" s="1"/>
      <c r="Y1437" s="1"/>
    </row>
    <row r="1438" spans="1:25">
      <c r="G1438" s="62" t="s">
        <v>47</v>
      </c>
      <c r="H1438" s="57"/>
      <c r="I1438" s="71"/>
      <c r="J1438" s="72"/>
      <c r="K1438" s="72"/>
      <c r="L1438" s="72"/>
      <c r="M1438" s="72"/>
      <c r="N1438" s="72"/>
      <c r="O1438" s="72"/>
      <c r="P1438" s="72"/>
      <c r="Q1438" s="72"/>
      <c r="R1438" s="72"/>
      <c r="S1438" s="317"/>
      <c r="T1438" s="72"/>
      <c r="U1438" s="73"/>
      <c r="W1438" s="1"/>
      <c r="X1438" s="1"/>
      <c r="Y1438" s="1"/>
    </row>
    <row r="1439" spans="1:25">
      <c r="G1439" s="63" t="s">
        <v>23</v>
      </c>
      <c r="H1439" s="135"/>
      <c r="I1439" s="74"/>
      <c r="J1439" s="75"/>
      <c r="K1439" s="75"/>
      <c r="L1439" s="75"/>
      <c r="M1439" s="75"/>
      <c r="N1439" s="75"/>
      <c r="O1439" s="75"/>
      <c r="P1439" s="75"/>
      <c r="Q1439" s="75"/>
      <c r="R1439" s="75"/>
      <c r="S1439" s="318"/>
      <c r="T1439" s="75"/>
      <c r="U1439" s="76"/>
      <c r="W1439" s="1"/>
      <c r="X1439" s="1"/>
      <c r="Y1439" s="1"/>
    </row>
    <row r="1440" spans="1:25">
      <c r="G1440" s="63" t="s">
        <v>89</v>
      </c>
      <c r="H1440" s="134"/>
      <c r="I1440" s="43"/>
      <c r="J1440" s="44"/>
      <c r="K1440" s="44"/>
      <c r="L1440" s="44"/>
      <c r="M1440" s="44"/>
      <c r="N1440" s="44"/>
      <c r="O1440" s="44"/>
      <c r="P1440" s="44"/>
      <c r="Q1440" s="44"/>
      <c r="R1440" s="44"/>
      <c r="S1440" s="319"/>
      <c r="T1440" s="44"/>
      <c r="U1440" s="45"/>
      <c r="W1440" s="1"/>
      <c r="X1440" s="1"/>
      <c r="Y1440" s="1"/>
    </row>
    <row r="1441" spans="6:25">
      <c r="G1441" s="26" t="s">
        <v>90</v>
      </c>
      <c r="I1441" s="7">
        <f t="shared" ref="I1441:N1441" si="637">SUM(I1438:I1440)</f>
        <v>0</v>
      </c>
      <c r="J1441" s="7">
        <f t="shared" si="637"/>
        <v>0</v>
      </c>
      <c r="K1441" s="7">
        <f t="shared" si="637"/>
        <v>0</v>
      </c>
      <c r="L1441" s="7">
        <f t="shared" si="637"/>
        <v>0</v>
      </c>
      <c r="M1441" s="7">
        <f t="shared" si="637"/>
        <v>0</v>
      </c>
      <c r="N1441" s="7">
        <f t="shared" si="637"/>
        <v>0</v>
      </c>
      <c r="O1441" s="7">
        <f t="shared" ref="O1441:Q1441" si="638">SUM(O1438:O1440)</f>
        <v>0</v>
      </c>
      <c r="P1441" s="7">
        <f t="shared" si="638"/>
        <v>0</v>
      </c>
      <c r="Q1441" s="7">
        <f t="shared" si="638"/>
        <v>0</v>
      </c>
      <c r="R1441" s="7">
        <f t="shared" ref="R1441:S1441" si="639">SUM(R1438:R1440)</f>
        <v>0</v>
      </c>
      <c r="S1441" s="320">
        <f t="shared" si="639"/>
        <v>0</v>
      </c>
      <c r="T1441" s="7">
        <f t="shared" ref="T1441:U1441" si="640">SUM(T1438:T1440)</f>
        <v>0</v>
      </c>
      <c r="U1441" s="7">
        <f t="shared" si="640"/>
        <v>0</v>
      </c>
      <c r="W1441" s="1"/>
      <c r="X1441" s="1"/>
      <c r="Y1441" s="1"/>
    </row>
    <row r="1442" spans="6:25">
      <c r="G1442" s="6"/>
      <c r="I1442" s="7"/>
      <c r="J1442" s="7"/>
      <c r="K1442" s="7"/>
      <c r="L1442" s="23"/>
      <c r="M1442" s="23"/>
      <c r="N1442" s="23"/>
      <c r="O1442" s="23"/>
      <c r="P1442" s="23"/>
      <c r="Q1442" s="23"/>
      <c r="R1442" s="23"/>
      <c r="S1442" s="321"/>
      <c r="T1442" s="23"/>
      <c r="U1442" s="23"/>
      <c r="W1442" s="1"/>
      <c r="X1442" s="1"/>
      <c r="Y1442" s="1"/>
    </row>
    <row r="1443" spans="6:25" ht="18.75">
      <c r="F1443" s="9" t="s">
        <v>100</v>
      </c>
      <c r="I1443" s="2">
        <f>'Facility Detail'!$G$3260</f>
        <v>2011</v>
      </c>
      <c r="J1443" s="2">
        <f t="shared" ref="J1443:P1443" si="641">I1443+1</f>
        <v>2012</v>
      </c>
      <c r="K1443" s="2">
        <f t="shared" si="641"/>
        <v>2013</v>
      </c>
      <c r="L1443" s="2">
        <f t="shared" si="641"/>
        <v>2014</v>
      </c>
      <c r="M1443" s="2">
        <f t="shared" si="641"/>
        <v>2015</v>
      </c>
      <c r="N1443" s="2">
        <f t="shared" si="641"/>
        <v>2016</v>
      </c>
      <c r="O1443" s="2">
        <f t="shared" si="641"/>
        <v>2017</v>
      </c>
      <c r="P1443" s="2">
        <f t="shared" si="641"/>
        <v>2018</v>
      </c>
      <c r="Q1443" s="2">
        <f t="shared" ref="Q1443" si="642">P1443+1</f>
        <v>2019</v>
      </c>
      <c r="R1443" s="2">
        <f t="shared" ref="R1443" si="643">Q1443+1</f>
        <v>2020</v>
      </c>
      <c r="S1443" s="304">
        <f>R1443+1</f>
        <v>2021</v>
      </c>
      <c r="T1443" s="2">
        <f>S1443+1</f>
        <v>2022</v>
      </c>
      <c r="U1443" s="2">
        <f>T1443+1</f>
        <v>2023</v>
      </c>
      <c r="W1443" s="1"/>
      <c r="X1443" s="1"/>
      <c r="Y1443" s="1"/>
    </row>
    <row r="1444" spans="6:25">
      <c r="G1444" s="62" t="str">
        <f xml:space="preserve"> 'Facility Detail'!$G$3260 &amp; " Surplus Applied to " &amp; ( 'Facility Detail'!$G$3260 + 1 )</f>
        <v>2011 Surplus Applied to 2012</v>
      </c>
      <c r="I1444" s="3">
        <f>I1430</f>
        <v>7963</v>
      </c>
      <c r="J1444" s="46">
        <f>I1444</f>
        <v>7963</v>
      </c>
      <c r="K1444" s="106"/>
      <c r="L1444" s="106"/>
      <c r="M1444" s="106"/>
      <c r="N1444" s="106"/>
      <c r="O1444" s="106"/>
      <c r="P1444" s="106"/>
      <c r="Q1444" s="106"/>
      <c r="R1444" s="106"/>
      <c r="S1444" s="322"/>
      <c r="T1444" s="106"/>
      <c r="U1444" s="47"/>
      <c r="W1444" s="1"/>
      <c r="X1444" s="1"/>
      <c r="Y1444" s="1"/>
    </row>
    <row r="1445" spans="6:25">
      <c r="G1445" s="62" t="str">
        <f xml:space="preserve"> ( 'Facility Detail'!$G$3260 + 1 ) &amp; " Surplus Applied to " &amp; ( 'Facility Detail'!$G$3260 )</f>
        <v>2012 Surplus Applied to 2011</v>
      </c>
      <c r="I1445" s="35">
        <f>J1445</f>
        <v>0</v>
      </c>
      <c r="J1445" s="40"/>
      <c r="K1445" s="107"/>
      <c r="L1445" s="107"/>
      <c r="M1445" s="107"/>
      <c r="N1445" s="107"/>
      <c r="O1445" s="60"/>
      <c r="P1445" s="60"/>
      <c r="Q1445" s="60"/>
      <c r="R1445" s="60"/>
      <c r="S1445" s="330"/>
      <c r="T1445" s="60"/>
      <c r="U1445" s="128"/>
      <c r="W1445" s="1"/>
      <c r="X1445" s="1"/>
      <c r="Y1445" s="1"/>
    </row>
    <row r="1446" spans="6:25">
      <c r="G1446" s="62" t="str">
        <f xml:space="preserve"> ( 'Facility Detail'!$G$3260 + 1 ) &amp; " Surplus Applied to " &amp; ( 'Facility Detail'!$G$3260 + 2 )</f>
        <v>2012 Surplus Applied to 2013</v>
      </c>
      <c r="I1446" s="48"/>
      <c r="J1446" s="10"/>
      <c r="K1446" s="56">
        <f>J1446</f>
        <v>0</v>
      </c>
      <c r="L1446" s="107"/>
      <c r="M1446" s="107"/>
      <c r="N1446" s="107"/>
      <c r="O1446" s="60"/>
      <c r="P1446" s="60"/>
      <c r="Q1446" s="60"/>
      <c r="R1446" s="60"/>
      <c r="S1446" s="330"/>
      <c r="T1446" s="60"/>
      <c r="U1446" s="128"/>
      <c r="W1446" s="1"/>
      <c r="X1446" s="1"/>
      <c r="Y1446" s="1"/>
    </row>
    <row r="1447" spans="6:25">
      <c r="G1447" s="62" t="str">
        <f xml:space="preserve"> ( 'Facility Detail'!$G$3260 + 2 ) &amp; " Surplus Applied to " &amp; ( 'Facility Detail'!$G$3260 + 1 )</f>
        <v>2013 Surplus Applied to 2012</v>
      </c>
      <c r="I1447" s="48"/>
      <c r="J1447" s="56">
        <f>K1447</f>
        <v>0</v>
      </c>
      <c r="K1447" s="113"/>
      <c r="L1447" s="107"/>
      <c r="M1447" s="107"/>
      <c r="N1447" s="107"/>
      <c r="O1447" s="60"/>
      <c r="P1447" s="60"/>
      <c r="Q1447" s="60"/>
      <c r="R1447" s="60"/>
      <c r="S1447" s="330"/>
      <c r="T1447" s="60"/>
      <c r="U1447" s="128"/>
      <c r="W1447" s="1"/>
      <c r="X1447" s="1"/>
      <c r="Y1447" s="1"/>
    </row>
    <row r="1448" spans="6:25">
      <c r="G1448" s="62" t="str">
        <f xml:space="preserve"> ( 'Facility Detail'!$G$3260 + 2 ) &amp; " Surplus Applied to " &amp; ( 'Facility Detail'!$G$3260 + 3 )</f>
        <v>2013 Surplus Applied to 2014</v>
      </c>
      <c r="I1448" s="114"/>
      <c r="J1448" s="116"/>
      <c r="K1448" s="40"/>
      <c r="L1448" s="117">
        <f>K1448</f>
        <v>0</v>
      </c>
      <c r="M1448" s="107"/>
      <c r="N1448" s="107"/>
      <c r="O1448" s="60"/>
      <c r="P1448" s="60"/>
      <c r="Q1448" s="60"/>
      <c r="R1448" s="60"/>
      <c r="S1448" s="330"/>
      <c r="T1448" s="60"/>
      <c r="U1448" s="128"/>
      <c r="W1448" s="1"/>
      <c r="X1448" s="1"/>
      <c r="Y1448" s="1"/>
    </row>
    <row r="1449" spans="6:25">
      <c r="G1449" s="62" t="str">
        <f xml:space="preserve"> ( 'Facility Detail'!$G$3260 + 3 ) &amp; " Surplus Applied to " &amp; ( 'Facility Detail'!$G$3260 + 2 )</f>
        <v>2014 Surplus Applied to 2013</v>
      </c>
      <c r="I1449" s="114"/>
      <c r="J1449" s="116"/>
      <c r="K1449" s="115">
        <f>L1449</f>
        <v>0</v>
      </c>
      <c r="L1449" s="40"/>
      <c r="M1449" s="107"/>
      <c r="N1449" s="116"/>
      <c r="O1449" s="60" t="s">
        <v>169</v>
      </c>
      <c r="P1449" s="60" t="s">
        <v>169</v>
      </c>
      <c r="Q1449" s="60" t="s">
        <v>169</v>
      </c>
      <c r="R1449" s="60"/>
      <c r="S1449" s="330"/>
      <c r="T1449" s="60"/>
      <c r="U1449" s="128"/>
      <c r="W1449" s="1"/>
      <c r="X1449" s="1"/>
      <c r="Y1449" s="1"/>
    </row>
    <row r="1450" spans="6:25">
      <c r="G1450" s="62" t="str">
        <f xml:space="preserve"> ( 'Facility Detail'!$G$3260 + 3 ) &amp; " Surplus Applied to " &amp; ( 'Facility Detail'!$G$3260 + 4 )</f>
        <v>2014 Surplus Applied to 2015</v>
      </c>
      <c r="I1450" s="48"/>
      <c r="J1450" s="118"/>
      <c r="K1450" s="118"/>
      <c r="L1450" s="10">
        <f>L1430</f>
        <v>0</v>
      </c>
      <c r="M1450" s="119">
        <f>L1450</f>
        <v>0</v>
      </c>
      <c r="N1450" s="118"/>
      <c r="O1450" s="118"/>
      <c r="P1450" s="118"/>
      <c r="Q1450" s="118"/>
      <c r="R1450" s="60"/>
      <c r="S1450" s="330"/>
      <c r="T1450" s="60"/>
      <c r="U1450" s="128"/>
      <c r="W1450" s="1"/>
      <c r="X1450" s="1"/>
      <c r="Y1450" s="1"/>
    </row>
    <row r="1451" spans="6:25">
      <c r="G1451" s="62" t="str">
        <f xml:space="preserve"> ( 'Facility Detail'!$G$3260 + 4 ) &amp; " Surplus Applied to " &amp; ( 'Facility Detail'!$G$3260 + 3 )</f>
        <v>2015 Surplus Applied to 2014</v>
      </c>
      <c r="I1451" s="48"/>
      <c r="J1451" s="118"/>
      <c r="K1451" s="118"/>
      <c r="L1451" s="56">
        <f>M1451</f>
        <v>0</v>
      </c>
      <c r="M1451" s="121"/>
      <c r="N1451" s="118"/>
      <c r="O1451" s="118"/>
      <c r="P1451" s="118"/>
      <c r="Q1451" s="118"/>
      <c r="R1451" s="60"/>
      <c r="S1451" s="330"/>
      <c r="T1451" s="60"/>
      <c r="U1451" s="128"/>
      <c r="W1451" s="1"/>
      <c r="X1451" s="1"/>
      <c r="Y1451" s="1"/>
    </row>
    <row r="1452" spans="6:25">
      <c r="G1452" s="62" t="str">
        <f xml:space="preserve"> ( 'Facility Detail'!$G$3260 + 4 ) &amp; " Surplus Applied to " &amp; ( 'Facility Detail'!$G$3260 + 5 )</f>
        <v>2015 Surplus Applied to 2016</v>
      </c>
      <c r="I1452" s="48"/>
      <c r="J1452" s="118"/>
      <c r="K1452" s="118"/>
      <c r="L1452" s="118"/>
      <c r="M1452" s="121">
        <f>M1430</f>
        <v>8028</v>
      </c>
      <c r="N1452" s="56">
        <f>M1452</f>
        <v>8028</v>
      </c>
      <c r="O1452" s="60"/>
      <c r="P1452" s="60"/>
      <c r="Q1452" s="60"/>
      <c r="R1452" s="60"/>
      <c r="S1452" s="330"/>
      <c r="T1452" s="60"/>
      <c r="U1452" s="128"/>
      <c r="W1452" s="1"/>
      <c r="X1452" s="1"/>
      <c r="Y1452" s="1"/>
    </row>
    <row r="1453" spans="6:25">
      <c r="G1453" s="62" t="str">
        <f xml:space="preserve"> ( 'Facility Detail'!$G$3260 + 5 ) &amp; " Surplus Applied to " &amp; ( 'Facility Detail'!$G$3260 + 4 )</f>
        <v>2016 Surplus Applied to 2015</v>
      </c>
      <c r="H1453" s="57"/>
      <c r="I1453" s="48"/>
      <c r="J1453" s="118"/>
      <c r="K1453" s="118"/>
      <c r="L1453" s="118"/>
      <c r="M1453" s="56">
        <f>N1453</f>
        <v>0</v>
      </c>
      <c r="N1453" s="121"/>
      <c r="O1453" s="60"/>
      <c r="P1453" s="60"/>
      <c r="Q1453" s="60"/>
      <c r="R1453" s="60"/>
      <c r="S1453" s="330"/>
      <c r="T1453" s="60"/>
      <c r="U1453" s="128"/>
      <c r="W1453" s="1"/>
      <c r="X1453" s="1"/>
      <c r="Y1453" s="1"/>
    </row>
    <row r="1454" spans="6:25">
      <c r="G1454" s="62" t="str">
        <f xml:space="preserve"> ( 'Facility Detail'!$G$3260 + 5 ) &amp; " Surplus Applied to " &amp; ( 'Facility Detail'!$G$3260 + 6 )</f>
        <v>2016 Surplus Applied to 2017</v>
      </c>
      <c r="H1454" s="57"/>
      <c r="I1454" s="48"/>
      <c r="J1454" s="118"/>
      <c r="K1454" s="118"/>
      <c r="L1454" s="118"/>
      <c r="M1454" s="118"/>
      <c r="N1454" s="121">
        <f>N1430</f>
        <v>10218</v>
      </c>
      <c r="O1454" s="56">
        <f>N1454</f>
        <v>10218</v>
      </c>
      <c r="P1454" s="60"/>
      <c r="Q1454" s="60"/>
      <c r="R1454" s="60"/>
      <c r="S1454" s="330"/>
      <c r="T1454" s="60"/>
      <c r="U1454" s="128"/>
      <c r="W1454" s="1"/>
      <c r="X1454" s="1"/>
      <c r="Y1454" s="1"/>
    </row>
    <row r="1455" spans="6:25">
      <c r="G1455" s="62" t="s">
        <v>167</v>
      </c>
      <c r="I1455" s="48"/>
      <c r="J1455" s="118"/>
      <c r="K1455" s="118"/>
      <c r="L1455" s="118"/>
      <c r="M1455" s="118"/>
      <c r="N1455" s="120"/>
      <c r="O1455" s="121"/>
      <c r="P1455" s="118"/>
      <c r="Q1455" s="118"/>
      <c r="R1455" s="60"/>
      <c r="S1455" s="330"/>
      <c r="T1455" s="60"/>
      <c r="U1455" s="128"/>
      <c r="W1455" s="1"/>
      <c r="X1455" s="1"/>
      <c r="Y1455" s="1"/>
    </row>
    <row r="1456" spans="6:25">
      <c r="G1456" s="62" t="s">
        <v>168</v>
      </c>
      <c r="I1456" s="48"/>
      <c r="J1456" s="118"/>
      <c r="K1456" s="118"/>
      <c r="L1456" s="118"/>
      <c r="M1456" s="118"/>
      <c r="N1456" s="118"/>
      <c r="O1456" s="121">
        <v>8846</v>
      </c>
      <c r="P1456" s="120">
        <f>O1456</f>
        <v>8846</v>
      </c>
      <c r="Q1456" s="118"/>
      <c r="R1456" s="60"/>
      <c r="S1456" s="330"/>
      <c r="T1456" s="60"/>
      <c r="U1456" s="128"/>
      <c r="W1456" s="1"/>
      <c r="X1456" s="1"/>
      <c r="Y1456" s="1"/>
    </row>
    <row r="1457" spans="2:25">
      <c r="G1457" s="62" t="s">
        <v>185</v>
      </c>
      <c r="I1457" s="48"/>
      <c r="J1457" s="118"/>
      <c r="K1457" s="118"/>
      <c r="L1457" s="118"/>
      <c r="M1457" s="118"/>
      <c r="N1457" s="118"/>
      <c r="O1457" s="120"/>
      <c r="P1457" s="121"/>
      <c r="Q1457" s="118"/>
      <c r="R1457" s="60"/>
      <c r="S1457" s="330"/>
      <c r="T1457" s="60"/>
      <c r="U1457" s="128"/>
      <c r="W1457" s="1"/>
      <c r="X1457" s="1"/>
      <c r="Y1457" s="1"/>
    </row>
    <row r="1458" spans="2:25">
      <c r="G1458" s="62" t="s">
        <v>186</v>
      </c>
      <c r="I1458" s="49"/>
      <c r="J1458" s="108"/>
      <c r="K1458" s="108"/>
      <c r="L1458" s="108"/>
      <c r="M1458" s="108"/>
      <c r="N1458" s="108"/>
      <c r="O1458" s="108"/>
      <c r="P1458" s="123">
        <f>P1430</f>
        <v>1923</v>
      </c>
      <c r="Q1458" s="167">
        <f>P1458</f>
        <v>1923</v>
      </c>
      <c r="R1458" s="194"/>
      <c r="S1458" s="331"/>
      <c r="T1458" s="194"/>
      <c r="U1458" s="195"/>
      <c r="W1458" s="1"/>
      <c r="X1458" s="1"/>
      <c r="Y1458" s="1"/>
    </row>
    <row r="1459" spans="2:25">
      <c r="B1459" s="1" t="s">
        <v>136</v>
      </c>
      <c r="G1459" s="26" t="s">
        <v>17</v>
      </c>
      <c r="I1459" s="7">
        <f xml:space="preserve"> I1445 - I1444</f>
        <v>-7963</v>
      </c>
      <c r="J1459" s="7">
        <f xml:space="preserve"> J1444 + J1447 - J1446 - J1445</f>
        <v>7963</v>
      </c>
      <c r="K1459" s="7">
        <f>K1446 - K1447 -K1448</f>
        <v>0</v>
      </c>
      <c r="L1459" s="7">
        <f>L1448-L1449-L1450</f>
        <v>0</v>
      </c>
      <c r="M1459" s="138">
        <f>M1450-M1451-M1452</f>
        <v>-8028</v>
      </c>
      <c r="N1459" s="7">
        <f>N1452-N1453-N1454</f>
        <v>-2190</v>
      </c>
      <c r="O1459" s="162">
        <f>O1454-O1455-O1456</f>
        <v>1372</v>
      </c>
      <c r="P1459" s="168">
        <f>P1456-P1457-P1458</f>
        <v>6923</v>
      </c>
      <c r="Q1459" s="168">
        <f>Q1458</f>
        <v>1923</v>
      </c>
      <c r="R1459" s="168">
        <f t="shared" ref="R1459:S1459" si="644">R1456-R1457-R1458</f>
        <v>0</v>
      </c>
      <c r="S1459" s="334">
        <f t="shared" si="644"/>
        <v>0</v>
      </c>
      <c r="T1459" s="168">
        <f t="shared" ref="T1459:U1459" si="645">T1456-T1457-T1458</f>
        <v>0</v>
      </c>
      <c r="U1459" s="168">
        <f t="shared" si="645"/>
        <v>0</v>
      </c>
      <c r="W1459" s="1"/>
      <c r="X1459" s="1"/>
      <c r="Y1459" s="1"/>
    </row>
    <row r="1460" spans="2:25">
      <c r="G1460" s="6"/>
      <c r="I1460" s="7"/>
      <c r="J1460" s="7"/>
      <c r="K1460" s="7"/>
      <c r="L1460" s="7"/>
      <c r="M1460" s="144"/>
      <c r="N1460" s="7"/>
      <c r="O1460" s="7"/>
      <c r="P1460" s="7"/>
      <c r="Q1460" s="7"/>
      <c r="R1460" s="7"/>
      <c r="S1460" s="320"/>
      <c r="T1460" s="7"/>
      <c r="U1460" s="7"/>
      <c r="W1460" s="1"/>
      <c r="X1460" s="1"/>
      <c r="Y1460" s="1"/>
    </row>
    <row r="1461" spans="2:25">
      <c r="G1461" s="26" t="s">
        <v>12</v>
      </c>
      <c r="H1461" s="57"/>
      <c r="I1461" s="155"/>
      <c r="J1461" s="156"/>
      <c r="K1461" s="156"/>
      <c r="L1461" s="156"/>
      <c r="M1461" s="156"/>
      <c r="N1461" s="156"/>
      <c r="O1461" s="156"/>
      <c r="P1461" s="156"/>
      <c r="Q1461" s="156"/>
      <c r="R1461" s="156"/>
      <c r="S1461" s="326"/>
      <c r="T1461" s="156"/>
      <c r="U1461" s="267"/>
      <c r="W1461" s="1"/>
      <c r="X1461" s="1"/>
      <c r="Y1461" s="1"/>
    </row>
    <row r="1462" spans="2:25">
      <c r="G1462" s="6"/>
      <c r="I1462" s="154"/>
      <c r="J1462" s="154"/>
      <c r="K1462" s="154"/>
      <c r="L1462" s="154"/>
      <c r="M1462" s="154"/>
      <c r="N1462" s="154"/>
      <c r="O1462" s="154"/>
      <c r="P1462" s="154"/>
      <c r="Q1462" s="154"/>
      <c r="R1462" s="154"/>
      <c r="S1462" s="327"/>
      <c r="T1462" s="154"/>
      <c r="U1462" s="154"/>
      <c r="W1462" s="1"/>
      <c r="X1462" s="1"/>
      <c r="Y1462" s="1"/>
    </row>
    <row r="1463" spans="2:25" ht="18.75">
      <c r="C1463" s="1" t="s">
        <v>136</v>
      </c>
      <c r="D1463" s="1" t="s">
        <v>137</v>
      </c>
      <c r="E1463" s="1" t="s">
        <v>107</v>
      </c>
      <c r="F1463" s="9" t="s">
        <v>26</v>
      </c>
      <c r="H1463" s="57"/>
      <c r="I1463" s="157">
        <f t="shared" ref="I1463:Q1463" si="646" xml:space="preserve"> I1430 + I1435 - I1441 + I1459 + I1461</f>
        <v>0</v>
      </c>
      <c r="J1463" s="158">
        <f t="shared" si="646"/>
        <v>7963</v>
      </c>
      <c r="K1463" s="158">
        <f t="shared" si="646"/>
        <v>0</v>
      </c>
      <c r="L1463" s="158">
        <f t="shared" si="646"/>
        <v>0</v>
      </c>
      <c r="M1463" s="158">
        <f t="shared" si="646"/>
        <v>0</v>
      </c>
      <c r="N1463" s="158">
        <f t="shared" si="646"/>
        <v>8028</v>
      </c>
      <c r="O1463" s="158">
        <f t="shared" si="646"/>
        <v>10218</v>
      </c>
      <c r="P1463" s="158">
        <f t="shared" si="646"/>
        <v>8846</v>
      </c>
      <c r="Q1463" s="158">
        <f t="shared" si="646"/>
        <v>1923</v>
      </c>
      <c r="R1463" s="158">
        <f t="shared" ref="R1463:S1463" si="647" xml:space="preserve"> R1430 + R1435 - R1441 + R1459 + R1461</f>
        <v>0</v>
      </c>
      <c r="S1463" s="328">
        <f t="shared" si="647"/>
        <v>0</v>
      </c>
      <c r="T1463" s="158">
        <f t="shared" ref="T1463:U1463" si="648" xml:space="preserve"> T1430 + T1435 - T1441 + T1459 + T1461</f>
        <v>0</v>
      </c>
      <c r="U1463" s="268">
        <f t="shared" si="648"/>
        <v>0</v>
      </c>
      <c r="W1463" s="1"/>
      <c r="X1463" s="1"/>
      <c r="Y1463" s="1"/>
    </row>
    <row r="1464" spans="2:25">
      <c r="G1464" s="6"/>
      <c r="I1464" s="7"/>
      <c r="J1464" s="7"/>
      <c r="K1464" s="7"/>
      <c r="L1464" s="23"/>
      <c r="M1464" s="23"/>
      <c r="N1464" s="23"/>
      <c r="O1464" s="23"/>
      <c r="P1464" s="23"/>
      <c r="Q1464" s="23"/>
      <c r="R1464" s="23"/>
      <c r="S1464" s="282"/>
      <c r="T1464" s="23"/>
      <c r="U1464" s="23"/>
      <c r="W1464" s="1"/>
      <c r="X1464" s="1"/>
      <c r="Y1464" s="1"/>
    </row>
    <row r="1465" spans="2:25">
      <c r="W1465" s="1"/>
      <c r="X1465" s="1"/>
      <c r="Y1465" s="1"/>
    </row>
    <row r="1466" spans="2:25" ht="15.75" thickBot="1">
      <c r="W1466" s="1"/>
      <c r="X1466" s="1"/>
      <c r="Y1466" s="1"/>
    </row>
    <row r="1467" spans="2:25">
      <c r="F1467" s="8"/>
      <c r="G1467" s="8"/>
      <c r="H1467" s="8"/>
      <c r="I1467" s="8"/>
      <c r="J1467" s="8"/>
      <c r="K1467" s="8"/>
      <c r="L1467" s="8"/>
      <c r="M1467" s="8"/>
      <c r="N1467" s="8"/>
      <c r="O1467" s="8"/>
      <c r="P1467" s="8"/>
      <c r="Q1467" s="8"/>
      <c r="R1467" s="8"/>
      <c r="S1467" s="290"/>
      <c r="T1467" s="8"/>
      <c r="U1467" s="8"/>
      <c r="W1467" s="1"/>
      <c r="X1467" s="1"/>
      <c r="Y1467" s="1"/>
    </row>
    <row r="1468" spans="2:25" ht="15.75" thickBot="1">
      <c r="W1468" s="1"/>
      <c r="X1468" s="1"/>
      <c r="Y1468" s="1"/>
    </row>
    <row r="1469" spans="2:25" ht="21.75" thickBot="1">
      <c r="F1469" s="13" t="s">
        <v>4</v>
      </c>
      <c r="G1469" s="13"/>
      <c r="H1469" s="185" t="s">
        <v>204</v>
      </c>
      <c r="I1469" s="183"/>
      <c r="W1469" s="1"/>
      <c r="X1469" s="1"/>
      <c r="Y1469" s="1"/>
    </row>
    <row r="1470" spans="2:25">
      <c r="W1470" s="1"/>
      <c r="X1470" s="1"/>
      <c r="Y1470" s="1"/>
    </row>
    <row r="1471" spans="2:25" ht="18.75">
      <c r="F1471" s="9" t="s">
        <v>21</v>
      </c>
      <c r="G1471" s="9"/>
      <c r="I1471" s="2">
        <f>'Facility Detail'!$G$3260</f>
        <v>2011</v>
      </c>
      <c r="J1471" s="2">
        <f t="shared" ref="J1471:R1471" si="649">I1471+1</f>
        <v>2012</v>
      </c>
      <c r="K1471" s="2">
        <f t="shared" si="649"/>
        <v>2013</v>
      </c>
      <c r="L1471" s="2">
        <f t="shared" si="649"/>
        <v>2014</v>
      </c>
      <c r="M1471" s="2">
        <f t="shared" si="649"/>
        <v>2015</v>
      </c>
      <c r="N1471" s="2">
        <f t="shared" si="649"/>
        <v>2016</v>
      </c>
      <c r="O1471" s="2">
        <f t="shared" si="649"/>
        <v>2017</v>
      </c>
      <c r="P1471" s="2">
        <f t="shared" si="649"/>
        <v>2018</v>
      </c>
      <c r="Q1471" s="2">
        <f t="shared" si="649"/>
        <v>2019</v>
      </c>
      <c r="R1471" s="2">
        <f t="shared" si="649"/>
        <v>2020</v>
      </c>
      <c r="S1471" s="2">
        <f>R1471+1</f>
        <v>2021</v>
      </c>
      <c r="T1471" s="2">
        <f>S1471+1</f>
        <v>2022</v>
      </c>
      <c r="U1471" s="2">
        <f>T1471+1</f>
        <v>2023</v>
      </c>
      <c r="W1471" s="1"/>
      <c r="X1471" s="1"/>
      <c r="Y1471" s="1"/>
    </row>
    <row r="1472" spans="2:25">
      <c r="G1472" s="62" t="str">
        <f>"Total MWh Produced / Purchased from " &amp; H1469</f>
        <v>Total MWh Produced / Purchased from JC Boyle (Upgrate 2005)</v>
      </c>
      <c r="H1472" s="57"/>
      <c r="I1472" s="3"/>
      <c r="J1472" s="4">
        <v>3462.2784000000001</v>
      </c>
      <c r="K1472" s="4">
        <v>2402.4095999999995</v>
      </c>
      <c r="L1472" s="4">
        <v>2295</v>
      </c>
      <c r="M1472" s="4">
        <v>2130</v>
      </c>
      <c r="N1472" s="4">
        <v>2857</v>
      </c>
      <c r="O1472" s="4">
        <v>4238</v>
      </c>
      <c r="P1472" s="4">
        <v>2580.8517000000006</v>
      </c>
      <c r="Q1472" s="4">
        <v>3044</v>
      </c>
      <c r="R1472" s="4">
        <v>2362</v>
      </c>
      <c r="S1472" s="4">
        <v>2053</v>
      </c>
      <c r="T1472" s="4">
        <v>2089</v>
      </c>
      <c r="U1472" s="5">
        <v>1176</v>
      </c>
      <c r="W1472" s="1"/>
      <c r="X1472" s="1"/>
      <c r="Y1472" s="1"/>
    </row>
    <row r="1473" spans="1:25">
      <c r="G1473" s="62" t="s">
        <v>25</v>
      </c>
      <c r="H1473" s="57"/>
      <c r="I1473" s="269"/>
      <c r="J1473" s="41">
        <v>1</v>
      </c>
      <c r="K1473" s="41">
        <v>1</v>
      </c>
      <c r="L1473" s="41">
        <v>1</v>
      </c>
      <c r="M1473" s="41">
        <v>1</v>
      </c>
      <c r="N1473" s="41">
        <v>1</v>
      </c>
      <c r="O1473" s="41">
        <v>1</v>
      </c>
      <c r="P1473" s="41">
        <v>1</v>
      </c>
      <c r="Q1473" s="41">
        <v>1</v>
      </c>
      <c r="R1473" s="41">
        <v>1</v>
      </c>
      <c r="S1473" s="41">
        <v>1</v>
      </c>
      <c r="T1473" s="41">
        <v>1</v>
      </c>
      <c r="U1473" s="42">
        <v>1</v>
      </c>
      <c r="W1473" s="1"/>
      <c r="X1473" s="1"/>
      <c r="Y1473" s="1"/>
    </row>
    <row r="1474" spans="1:25">
      <c r="G1474" s="62" t="s">
        <v>20</v>
      </c>
      <c r="H1474" s="57"/>
      <c r="I1474" s="270"/>
      <c r="J1474" s="36">
        <v>7.9619999999999996E-2</v>
      </c>
      <c r="K1474" s="36">
        <v>7.8747999999999999E-2</v>
      </c>
      <c r="L1474" s="36">
        <v>8.0235000000000001E-2</v>
      </c>
      <c r="M1474" s="36">
        <v>8.0535999999999996E-2</v>
      </c>
      <c r="N1474" s="36">
        <v>8.1698151927344531E-2</v>
      </c>
      <c r="O1474" s="36">
        <v>8.0833713568703974E-2</v>
      </c>
      <c r="P1474" s="36">
        <v>7.9451999999999995E-2</v>
      </c>
      <c r="Q1474" s="36">
        <v>7.6724662968274293E-2</v>
      </c>
      <c r="R1474" s="36">
        <f>R1189</f>
        <v>8.1268700519883177E-2</v>
      </c>
      <c r="S1474" s="451">
        <f>S2</f>
        <v>7.9696892166366717E-2</v>
      </c>
      <c r="T1474" s="36">
        <f>T2</f>
        <v>7.8737918965874246E-2</v>
      </c>
      <c r="U1474" s="36">
        <f>U2</f>
        <v>7.8407467372863096E-2</v>
      </c>
      <c r="W1474" s="1"/>
      <c r="X1474" s="1"/>
      <c r="Y1474" s="1"/>
    </row>
    <row r="1475" spans="1:25">
      <c r="A1475" s="1" t="s">
        <v>219</v>
      </c>
      <c r="G1475" s="26" t="s">
        <v>22</v>
      </c>
      <c r="H1475" s="6"/>
      <c r="I1475" s="30">
        <f xml:space="preserve"> ROUND(I1472 * I1473 * I1474,0)</f>
        <v>0</v>
      </c>
      <c r="J1475" s="30">
        <v>276</v>
      </c>
      <c r="K1475" s="30">
        <v>189</v>
      </c>
      <c r="L1475" s="30">
        <v>184</v>
      </c>
      <c r="M1475" s="30">
        <v>172</v>
      </c>
      <c r="N1475" s="161">
        <v>235</v>
      </c>
      <c r="O1475" s="161">
        <v>342</v>
      </c>
      <c r="P1475" s="161">
        <v>205</v>
      </c>
      <c r="Q1475" s="161">
        <f xml:space="preserve"> ROUND(Q1472 * Q1473 * Q1474,0)</f>
        <v>234</v>
      </c>
      <c r="R1475" s="161">
        <f xml:space="preserve"> ROUND(R1472 * R1473 * R1474,0)</f>
        <v>192</v>
      </c>
      <c r="S1475" s="161">
        <f xml:space="preserve"> ROUND(S1472 * S1473 * S1474,0)</f>
        <v>164</v>
      </c>
      <c r="T1475" s="161">
        <f xml:space="preserve"> ROUND(T1472 * T1473 * T1474,0)</f>
        <v>164</v>
      </c>
      <c r="U1475" s="161">
        <f xml:space="preserve"> ROUND(U1472 * U1473 * U1474,0)</f>
        <v>92</v>
      </c>
      <c r="W1475" s="1"/>
      <c r="X1475" s="1"/>
      <c r="Y1475" s="1"/>
    </row>
    <row r="1476" spans="1:25">
      <c r="I1476" s="29"/>
      <c r="J1476" s="29"/>
      <c r="K1476" s="29"/>
      <c r="L1476" s="29"/>
      <c r="M1476" s="29"/>
      <c r="N1476" s="20"/>
      <c r="O1476" s="20"/>
      <c r="P1476" s="20"/>
      <c r="Q1476" s="20"/>
      <c r="R1476" s="20"/>
      <c r="S1476" s="292"/>
      <c r="T1476" s="20"/>
      <c r="U1476" s="20"/>
      <c r="W1476" s="1"/>
      <c r="X1476" s="1"/>
      <c r="Y1476" s="1"/>
    </row>
    <row r="1477" spans="1:25" ht="18.75">
      <c r="F1477" s="9" t="s">
        <v>118</v>
      </c>
      <c r="I1477" s="2">
        <f>'Facility Detail'!$G$3260</f>
        <v>2011</v>
      </c>
      <c r="J1477" s="2">
        <f>I1477+1</f>
        <v>2012</v>
      </c>
      <c r="K1477" s="2">
        <f>J1477+1</f>
        <v>2013</v>
      </c>
      <c r="L1477" s="2">
        <f t="shared" ref="L1477:S1477" si="650">L1471</f>
        <v>2014</v>
      </c>
      <c r="M1477" s="2">
        <f t="shared" si="650"/>
        <v>2015</v>
      </c>
      <c r="N1477" s="2">
        <f t="shared" si="650"/>
        <v>2016</v>
      </c>
      <c r="O1477" s="2">
        <f t="shared" si="650"/>
        <v>2017</v>
      </c>
      <c r="P1477" s="2">
        <f t="shared" si="650"/>
        <v>2018</v>
      </c>
      <c r="Q1477" s="2">
        <f t="shared" si="650"/>
        <v>2019</v>
      </c>
      <c r="R1477" s="2">
        <f t="shared" si="650"/>
        <v>2020</v>
      </c>
      <c r="S1477" s="2">
        <f t="shared" si="650"/>
        <v>2021</v>
      </c>
      <c r="T1477" s="2">
        <f t="shared" ref="T1477:U1477" si="651">T1471</f>
        <v>2022</v>
      </c>
      <c r="U1477" s="2">
        <f t="shared" si="651"/>
        <v>2023</v>
      </c>
      <c r="W1477" s="1"/>
      <c r="X1477" s="1"/>
      <c r="Y1477" s="1"/>
    </row>
    <row r="1478" spans="1:25">
      <c r="G1478" s="62" t="s">
        <v>10</v>
      </c>
      <c r="H1478" s="57"/>
      <c r="I1478" s="38">
        <f>IF($J34 = "Eligible", I1475 * 'Facility Detail'!$G$3257, 0 )</f>
        <v>0</v>
      </c>
      <c r="J1478" s="11">
        <f>IF($J34 = "Eligible", J1475 * 'Facility Detail'!$G$3257, 0 )</f>
        <v>0</v>
      </c>
      <c r="K1478" s="11">
        <f>IF($J34 = "Eligible", K1475 * 'Facility Detail'!$G$3257, 0 )</f>
        <v>0</v>
      </c>
      <c r="L1478" s="11">
        <f>IF($J34 = "Eligible", L1475 * 'Facility Detail'!$G$3257, 0 )</f>
        <v>0</v>
      </c>
      <c r="M1478" s="11">
        <f>IF($J34 = "Eligible", M1475 * 'Facility Detail'!$G$3257, 0 )</f>
        <v>0</v>
      </c>
      <c r="N1478" s="11">
        <f>IF($J34 = "Eligible", N1475 * 'Facility Detail'!$G$3257, 0 )</f>
        <v>0</v>
      </c>
      <c r="O1478" s="11">
        <f>IF($J34 = "Eligible", O1475 * 'Facility Detail'!$G$3257, 0 )</f>
        <v>0</v>
      </c>
      <c r="P1478" s="11">
        <f>IF($J34 = "Eligible", P1475 * 'Facility Detail'!$G$3257, 0 )</f>
        <v>0</v>
      </c>
      <c r="Q1478" s="11">
        <f>IF($J34 = "Eligible", Q1475 * 'Facility Detail'!$G$3257, 0 )</f>
        <v>0</v>
      </c>
      <c r="R1478" s="11">
        <f>IF($J34 = "Eligible", R1475 * 'Facility Detail'!$G$3257, 0 )</f>
        <v>0</v>
      </c>
      <c r="S1478" s="11">
        <f>IF($J34 = "Eligible", S1475 * 'Facility Detail'!$G$3257, 0 )</f>
        <v>0</v>
      </c>
      <c r="T1478" s="11">
        <f>IF($J34 = "Eligible", T1475 * 'Facility Detail'!$G$3257, 0 )</f>
        <v>0</v>
      </c>
      <c r="U1478" s="223">
        <f>IF($J34 = "Eligible", U1475 * 'Facility Detail'!$G$3257, 0 )</f>
        <v>0</v>
      </c>
      <c r="W1478" s="1"/>
      <c r="X1478" s="1"/>
      <c r="Y1478" s="1"/>
    </row>
    <row r="1479" spans="1:25">
      <c r="G1479" s="62" t="s">
        <v>6</v>
      </c>
      <c r="H1479" s="57"/>
      <c r="I1479" s="39">
        <f t="shared" ref="I1479:U1479" si="652">IF($K34= "Eligible", I1475, 0 )</f>
        <v>0</v>
      </c>
      <c r="J1479" s="193">
        <f t="shared" si="652"/>
        <v>0</v>
      </c>
      <c r="K1479" s="193">
        <f t="shared" si="652"/>
        <v>0</v>
      </c>
      <c r="L1479" s="193">
        <f t="shared" si="652"/>
        <v>0</v>
      </c>
      <c r="M1479" s="193">
        <f t="shared" si="652"/>
        <v>0</v>
      </c>
      <c r="N1479" s="193">
        <f t="shared" si="652"/>
        <v>0</v>
      </c>
      <c r="O1479" s="193">
        <f t="shared" si="652"/>
        <v>0</v>
      </c>
      <c r="P1479" s="193">
        <f t="shared" si="652"/>
        <v>0</v>
      </c>
      <c r="Q1479" s="193">
        <f t="shared" si="652"/>
        <v>0</v>
      </c>
      <c r="R1479" s="193">
        <f t="shared" si="652"/>
        <v>0</v>
      </c>
      <c r="S1479" s="193">
        <f t="shared" si="652"/>
        <v>0</v>
      </c>
      <c r="T1479" s="193">
        <f t="shared" si="652"/>
        <v>0</v>
      </c>
      <c r="U1479" s="224">
        <f t="shared" si="652"/>
        <v>0</v>
      </c>
      <c r="W1479" s="1"/>
      <c r="X1479" s="1"/>
      <c r="Y1479" s="1"/>
    </row>
    <row r="1480" spans="1:25">
      <c r="G1480" s="26" t="s">
        <v>120</v>
      </c>
      <c r="H1480" s="6"/>
      <c r="I1480" s="32">
        <f>SUM(I1478:I1479)</f>
        <v>0</v>
      </c>
      <c r="J1480" s="33">
        <f t="shared" ref="J1480:S1480" si="653">SUM(J1478:J1479)</f>
        <v>0</v>
      </c>
      <c r="K1480" s="33">
        <f t="shared" si="653"/>
        <v>0</v>
      </c>
      <c r="L1480" s="33">
        <f t="shared" si="653"/>
        <v>0</v>
      </c>
      <c r="M1480" s="33">
        <f t="shared" si="653"/>
        <v>0</v>
      </c>
      <c r="N1480" s="33">
        <f t="shared" si="653"/>
        <v>0</v>
      </c>
      <c r="O1480" s="33">
        <f t="shared" si="653"/>
        <v>0</v>
      </c>
      <c r="P1480" s="33">
        <f t="shared" si="653"/>
        <v>0</v>
      </c>
      <c r="Q1480" s="33">
        <f t="shared" si="653"/>
        <v>0</v>
      </c>
      <c r="R1480" s="33">
        <f t="shared" si="653"/>
        <v>0</v>
      </c>
      <c r="S1480" s="33">
        <f t="shared" si="653"/>
        <v>0</v>
      </c>
      <c r="T1480" s="33">
        <f t="shared" ref="T1480:U1480" si="654">SUM(T1478:T1479)</f>
        <v>0</v>
      </c>
      <c r="U1480" s="33">
        <f t="shared" si="654"/>
        <v>0</v>
      </c>
      <c r="W1480" s="1"/>
      <c r="X1480" s="1"/>
      <c r="Y1480" s="1"/>
    </row>
    <row r="1481" spans="1:25">
      <c r="I1481" s="31"/>
      <c r="J1481" s="24"/>
      <c r="K1481" s="24"/>
      <c r="L1481" s="24"/>
      <c r="M1481" s="24"/>
      <c r="N1481" s="24"/>
      <c r="O1481" s="24"/>
      <c r="P1481" s="24"/>
      <c r="Q1481" s="24"/>
      <c r="R1481" s="24"/>
      <c r="S1481" s="24"/>
      <c r="T1481" s="24"/>
      <c r="U1481" s="24"/>
      <c r="W1481" s="1"/>
      <c r="X1481" s="1"/>
      <c r="Y1481" s="1"/>
    </row>
    <row r="1482" spans="1:25" ht="18.75">
      <c r="F1482" s="9" t="s">
        <v>30</v>
      </c>
      <c r="I1482" s="2">
        <f>'Facility Detail'!$G$3260</f>
        <v>2011</v>
      </c>
      <c r="J1482" s="2">
        <f>I1482+1</f>
        <v>2012</v>
      </c>
      <c r="K1482" s="2">
        <f>J1482+1</f>
        <v>2013</v>
      </c>
      <c r="L1482" s="2">
        <f t="shared" ref="L1482:S1482" si="655">L1471</f>
        <v>2014</v>
      </c>
      <c r="M1482" s="2">
        <f t="shared" si="655"/>
        <v>2015</v>
      </c>
      <c r="N1482" s="2">
        <f t="shared" si="655"/>
        <v>2016</v>
      </c>
      <c r="O1482" s="2">
        <f t="shared" si="655"/>
        <v>2017</v>
      </c>
      <c r="P1482" s="2">
        <f t="shared" si="655"/>
        <v>2018</v>
      </c>
      <c r="Q1482" s="2">
        <f t="shared" si="655"/>
        <v>2019</v>
      </c>
      <c r="R1482" s="2">
        <f t="shared" si="655"/>
        <v>2020</v>
      </c>
      <c r="S1482" s="2">
        <f t="shared" si="655"/>
        <v>2021</v>
      </c>
      <c r="T1482" s="2">
        <f t="shared" ref="T1482:U1482" si="656">T1471</f>
        <v>2022</v>
      </c>
      <c r="U1482" s="2">
        <f t="shared" si="656"/>
        <v>2023</v>
      </c>
      <c r="W1482" s="1"/>
      <c r="X1482" s="1"/>
      <c r="Y1482" s="1"/>
    </row>
    <row r="1483" spans="1:25">
      <c r="G1483" s="62" t="s">
        <v>47</v>
      </c>
      <c r="H1483" s="57"/>
      <c r="I1483" s="71"/>
      <c r="J1483" s="72"/>
      <c r="K1483" s="72"/>
      <c r="L1483" s="72"/>
      <c r="M1483" s="72"/>
      <c r="N1483" s="72"/>
      <c r="O1483" s="72"/>
      <c r="P1483" s="72"/>
      <c r="Q1483" s="72"/>
      <c r="R1483" s="72"/>
      <c r="S1483" s="72"/>
      <c r="T1483" s="72"/>
      <c r="U1483" s="73"/>
      <c r="W1483" s="1"/>
      <c r="X1483" s="1"/>
      <c r="Y1483" s="1"/>
    </row>
    <row r="1484" spans="1:25">
      <c r="G1484" s="63" t="s">
        <v>23</v>
      </c>
      <c r="H1484" s="135"/>
      <c r="I1484" s="74"/>
      <c r="J1484" s="75"/>
      <c r="K1484" s="75"/>
      <c r="L1484" s="75"/>
      <c r="M1484" s="75"/>
      <c r="N1484" s="75"/>
      <c r="O1484" s="75"/>
      <c r="P1484" s="75"/>
      <c r="Q1484" s="75"/>
      <c r="R1484" s="75"/>
      <c r="S1484" s="75"/>
      <c r="T1484" s="75"/>
      <c r="U1484" s="76"/>
      <c r="W1484" s="1"/>
      <c r="X1484" s="1"/>
      <c r="Y1484" s="1"/>
    </row>
    <row r="1485" spans="1:25">
      <c r="G1485" s="63" t="s">
        <v>89</v>
      </c>
      <c r="H1485" s="134"/>
      <c r="I1485" s="43"/>
      <c r="J1485" s="44"/>
      <c r="K1485" s="44"/>
      <c r="L1485" s="44"/>
      <c r="M1485" s="44"/>
      <c r="N1485" s="44"/>
      <c r="O1485" s="44"/>
      <c r="P1485" s="44"/>
      <c r="Q1485" s="44"/>
      <c r="R1485" s="44"/>
      <c r="S1485" s="44"/>
      <c r="T1485" s="44"/>
      <c r="U1485" s="45"/>
      <c r="W1485" s="1"/>
      <c r="X1485" s="1"/>
      <c r="Y1485" s="1"/>
    </row>
    <row r="1486" spans="1:25">
      <c r="G1486" s="26" t="s">
        <v>90</v>
      </c>
      <c r="I1486" s="7">
        <f t="shared" ref="I1486:S1486" si="657">SUM(I1483:I1485)</f>
        <v>0</v>
      </c>
      <c r="J1486" s="7">
        <f t="shared" si="657"/>
        <v>0</v>
      </c>
      <c r="K1486" s="7">
        <f t="shared" si="657"/>
        <v>0</v>
      </c>
      <c r="L1486" s="7">
        <f t="shared" si="657"/>
        <v>0</v>
      </c>
      <c r="M1486" s="7">
        <f t="shared" si="657"/>
        <v>0</v>
      </c>
      <c r="N1486" s="7">
        <f t="shared" si="657"/>
        <v>0</v>
      </c>
      <c r="O1486" s="7">
        <f t="shared" si="657"/>
        <v>0</v>
      </c>
      <c r="P1486" s="7">
        <f t="shared" si="657"/>
        <v>0</v>
      </c>
      <c r="Q1486" s="7">
        <f t="shared" si="657"/>
        <v>0</v>
      </c>
      <c r="R1486" s="7">
        <f t="shared" si="657"/>
        <v>0</v>
      </c>
      <c r="S1486" s="7">
        <f t="shared" si="657"/>
        <v>0</v>
      </c>
      <c r="T1486" s="7">
        <f t="shared" ref="T1486:U1486" si="658">SUM(T1483:T1485)</f>
        <v>0</v>
      </c>
      <c r="U1486" s="7">
        <f t="shared" si="658"/>
        <v>0</v>
      </c>
      <c r="W1486" s="1"/>
      <c r="X1486" s="1"/>
      <c r="Y1486" s="1"/>
    </row>
    <row r="1487" spans="1:25">
      <c r="G1487" s="6"/>
      <c r="I1487" s="7"/>
      <c r="J1487" s="7"/>
      <c r="K1487" s="7"/>
      <c r="L1487" s="23"/>
      <c r="M1487" s="23"/>
      <c r="N1487" s="23"/>
      <c r="O1487" s="23"/>
      <c r="P1487" s="23"/>
      <c r="Q1487" s="23"/>
      <c r="R1487" s="23"/>
      <c r="S1487" s="23"/>
      <c r="T1487" s="23"/>
      <c r="U1487" s="23"/>
      <c r="W1487" s="1"/>
      <c r="X1487" s="1"/>
      <c r="Y1487" s="1"/>
    </row>
    <row r="1488" spans="1:25" ht="18.75">
      <c r="F1488" s="9" t="s">
        <v>100</v>
      </c>
      <c r="I1488" s="2">
        <f>'Facility Detail'!$G$3260</f>
        <v>2011</v>
      </c>
      <c r="J1488" s="2">
        <f t="shared" ref="J1488:R1488" si="659">I1488+1</f>
        <v>2012</v>
      </c>
      <c r="K1488" s="2">
        <f t="shared" si="659"/>
        <v>2013</v>
      </c>
      <c r="L1488" s="2">
        <f t="shared" si="659"/>
        <v>2014</v>
      </c>
      <c r="M1488" s="2">
        <f t="shared" si="659"/>
        <v>2015</v>
      </c>
      <c r="N1488" s="2">
        <f t="shared" si="659"/>
        <v>2016</v>
      </c>
      <c r="O1488" s="2">
        <f t="shared" si="659"/>
        <v>2017</v>
      </c>
      <c r="P1488" s="2">
        <f t="shared" si="659"/>
        <v>2018</v>
      </c>
      <c r="Q1488" s="2">
        <f t="shared" si="659"/>
        <v>2019</v>
      </c>
      <c r="R1488" s="2">
        <f t="shared" si="659"/>
        <v>2020</v>
      </c>
      <c r="S1488" s="2">
        <f>R1488+1</f>
        <v>2021</v>
      </c>
      <c r="T1488" s="2">
        <f>S1488+1</f>
        <v>2022</v>
      </c>
      <c r="U1488" s="2">
        <f>T1488+1</f>
        <v>2023</v>
      </c>
      <c r="W1488" s="1"/>
      <c r="X1488" s="1"/>
      <c r="Y1488" s="1"/>
    </row>
    <row r="1489" spans="7:25">
      <c r="G1489" s="62" t="s">
        <v>68</v>
      </c>
      <c r="I1489" s="3"/>
      <c r="J1489" s="46">
        <f>I1489</f>
        <v>0</v>
      </c>
      <c r="K1489" s="106"/>
      <c r="L1489" s="106"/>
      <c r="M1489" s="106"/>
      <c r="N1489" s="106"/>
      <c r="O1489" s="106"/>
      <c r="P1489" s="106"/>
      <c r="Q1489" s="106"/>
      <c r="R1489" s="106"/>
      <c r="S1489" s="106"/>
      <c r="T1489" s="217"/>
      <c r="U1489" s="47"/>
      <c r="W1489" s="1"/>
      <c r="X1489" s="1"/>
      <c r="Y1489" s="1"/>
    </row>
    <row r="1490" spans="7:25">
      <c r="G1490" s="62" t="s">
        <v>69</v>
      </c>
      <c r="I1490" s="127">
        <f>J1490</f>
        <v>0</v>
      </c>
      <c r="J1490" s="10"/>
      <c r="K1490" s="60"/>
      <c r="L1490" s="60"/>
      <c r="M1490" s="60"/>
      <c r="N1490" s="60"/>
      <c r="O1490" s="60"/>
      <c r="P1490" s="60"/>
      <c r="Q1490" s="60"/>
      <c r="R1490" s="60"/>
      <c r="S1490" s="60"/>
      <c r="T1490" s="218"/>
      <c r="U1490" s="128"/>
      <c r="W1490" s="1"/>
      <c r="X1490" s="1"/>
      <c r="Y1490" s="1"/>
    </row>
    <row r="1491" spans="7:25">
      <c r="G1491" s="62" t="s">
        <v>70</v>
      </c>
      <c r="I1491" s="48"/>
      <c r="J1491" s="10"/>
      <c r="K1491" s="56">
        <f>J1491</f>
        <v>0</v>
      </c>
      <c r="L1491" s="60"/>
      <c r="M1491" s="60"/>
      <c r="N1491" s="60"/>
      <c r="O1491" s="60"/>
      <c r="P1491" s="60"/>
      <c r="Q1491" s="60"/>
      <c r="R1491" s="60"/>
      <c r="S1491" s="60"/>
      <c r="T1491" s="218"/>
      <c r="U1491" s="128"/>
      <c r="W1491" s="1"/>
      <c r="X1491" s="1"/>
      <c r="Y1491" s="1"/>
    </row>
    <row r="1492" spans="7:25">
      <c r="G1492" s="62" t="s">
        <v>71</v>
      </c>
      <c r="I1492" s="48"/>
      <c r="J1492" s="56">
        <f>K1492</f>
        <v>0</v>
      </c>
      <c r="K1492" s="10"/>
      <c r="L1492" s="60"/>
      <c r="M1492" s="60"/>
      <c r="N1492" s="60"/>
      <c r="O1492" s="60"/>
      <c r="P1492" s="60"/>
      <c r="Q1492" s="60"/>
      <c r="R1492" s="60"/>
      <c r="S1492" s="60"/>
      <c r="T1492" s="218"/>
      <c r="U1492" s="128"/>
      <c r="W1492" s="1"/>
      <c r="X1492" s="1"/>
      <c r="Y1492" s="1"/>
    </row>
    <row r="1493" spans="7:25">
      <c r="G1493" s="62" t="s">
        <v>170</v>
      </c>
      <c r="I1493" s="48"/>
      <c r="J1493" s="118"/>
      <c r="K1493" s="10"/>
      <c r="L1493" s="119">
        <f>K1493</f>
        <v>0</v>
      </c>
      <c r="M1493" s="60"/>
      <c r="N1493" s="60"/>
      <c r="O1493" s="60"/>
      <c r="P1493" s="60"/>
      <c r="Q1493" s="60"/>
      <c r="R1493" s="60"/>
      <c r="S1493" s="60"/>
      <c r="T1493" s="146"/>
      <c r="U1493" s="122"/>
      <c r="W1493" s="1"/>
      <c r="X1493" s="1"/>
      <c r="Y1493" s="1"/>
    </row>
    <row r="1494" spans="7:25">
      <c r="G1494" s="62" t="s">
        <v>171</v>
      </c>
      <c r="I1494" s="48"/>
      <c r="J1494" s="118"/>
      <c r="K1494" s="56">
        <f>L1494</f>
        <v>0</v>
      </c>
      <c r="L1494" s="10"/>
      <c r="M1494" s="60"/>
      <c r="N1494" s="60"/>
      <c r="O1494" s="60" t="s">
        <v>169</v>
      </c>
      <c r="P1494" s="60" t="s">
        <v>169</v>
      </c>
      <c r="Q1494" s="60" t="s">
        <v>169</v>
      </c>
      <c r="R1494" s="60" t="s">
        <v>169</v>
      </c>
      <c r="S1494" s="60" t="s">
        <v>169</v>
      </c>
      <c r="T1494" s="146" t="s">
        <v>169</v>
      </c>
      <c r="U1494" s="122" t="s">
        <v>169</v>
      </c>
      <c r="W1494" s="1"/>
      <c r="X1494" s="1"/>
      <c r="Y1494" s="1"/>
    </row>
    <row r="1495" spans="7:25">
      <c r="G1495" s="62" t="s">
        <v>172</v>
      </c>
      <c r="I1495" s="48"/>
      <c r="J1495" s="118"/>
      <c r="K1495" s="118"/>
      <c r="L1495" s="10"/>
      <c r="M1495" s="119">
        <f>L1495</f>
        <v>0</v>
      </c>
      <c r="N1495" s="118"/>
      <c r="O1495" s="60"/>
      <c r="P1495" s="60"/>
      <c r="Q1495" s="60"/>
      <c r="R1495" s="60"/>
      <c r="S1495" s="60"/>
      <c r="T1495" s="146"/>
      <c r="U1495" s="122"/>
      <c r="W1495" s="1"/>
      <c r="X1495" s="1"/>
      <c r="Y1495" s="1"/>
    </row>
    <row r="1496" spans="7:25">
      <c r="G1496" s="62" t="s">
        <v>173</v>
      </c>
      <c r="I1496" s="48"/>
      <c r="J1496" s="118"/>
      <c r="K1496" s="118"/>
      <c r="L1496" s="56">
        <f>M1496</f>
        <v>0</v>
      </c>
      <c r="M1496" s="10"/>
      <c r="N1496" s="118"/>
      <c r="O1496" s="60"/>
      <c r="P1496" s="60"/>
      <c r="Q1496" s="60"/>
      <c r="R1496" s="60"/>
      <c r="S1496" s="60"/>
      <c r="T1496" s="146"/>
      <c r="U1496" s="122"/>
      <c r="W1496" s="1"/>
      <c r="X1496" s="1"/>
      <c r="Y1496" s="1"/>
    </row>
    <row r="1497" spans="7:25">
      <c r="G1497" s="62" t="s">
        <v>174</v>
      </c>
      <c r="I1497" s="48"/>
      <c r="J1497" s="118"/>
      <c r="K1497" s="118"/>
      <c r="L1497" s="118"/>
      <c r="M1497" s="10"/>
      <c r="N1497" s="119">
        <f>M1497</f>
        <v>0</v>
      </c>
      <c r="O1497" s="60"/>
      <c r="P1497" s="60"/>
      <c r="Q1497" s="60"/>
      <c r="R1497" s="60"/>
      <c r="S1497" s="60"/>
      <c r="T1497" s="146"/>
      <c r="U1497" s="122"/>
      <c r="W1497" s="1"/>
      <c r="X1497" s="1"/>
      <c r="Y1497" s="1"/>
    </row>
    <row r="1498" spans="7:25">
      <c r="G1498" s="62" t="s">
        <v>175</v>
      </c>
      <c r="I1498" s="48"/>
      <c r="J1498" s="118"/>
      <c r="K1498" s="118"/>
      <c r="L1498" s="118"/>
      <c r="M1498" s="56">
        <f>N1498</f>
        <v>0</v>
      </c>
      <c r="N1498" s="10"/>
      <c r="O1498" s="60"/>
      <c r="P1498" s="60"/>
      <c r="Q1498" s="60"/>
      <c r="R1498" s="60"/>
      <c r="S1498" s="60"/>
      <c r="T1498" s="146"/>
      <c r="U1498" s="122"/>
      <c r="W1498" s="1"/>
      <c r="X1498" s="1"/>
      <c r="Y1498" s="1"/>
    </row>
    <row r="1499" spans="7:25">
      <c r="G1499" s="62" t="s">
        <v>176</v>
      </c>
      <c r="I1499" s="48"/>
      <c r="J1499" s="118"/>
      <c r="K1499" s="118"/>
      <c r="L1499" s="118"/>
      <c r="M1499" s="118"/>
      <c r="N1499" s="149">
        <v>0</v>
      </c>
      <c r="O1499" s="120"/>
      <c r="P1499" s="60"/>
      <c r="Q1499" s="60"/>
      <c r="R1499" s="60"/>
      <c r="S1499" s="60"/>
      <c r="T1499" s="146"/>
      <c r="U1499" s="122"/>
      <c r="W1499" s="1"/>
      <c r="X1499" s="1"/>
      <c r="Y1499" s="1"/>
    </row>
    <row r="1500" spans="7:25">
      <c r="G1500" s="62" t="s">
        <v>167</v>
      </c>
      <c r="I1500" s="48"/>
      <c r="J1500" s="118"/>
      <c r="K1500" s="118"/>
      <c r="L1500" s="118"/>
      <c r="M1500" s="118"/>
      <c r="N1500" s="150">
        <f>O1499</f>
        <v>0</v>
      </c>
      <c r="O1500" s="121"/>
      <c r="P1500" s="60"/>
      <c r="Q1500" s="60"/>
      <c r="R1500" s="60"/>
      <c r="S1500" s="60"/>
      <c r="T1500" s="146"/>
      <c r="U1500" s="122"/>
      <c r="W1500" s="1"/>
      <c r="X1500" s="1"/>
      <c r="Y1500" s="1"/>
    </row>
    <row r="1501" spans="7:25">
      <c r="G1501" s="62" t="s">
        <v>168</v>
      </c>
      <c r="I1501" s="48"/>
      <c r="J1501" s="118"/>
      <c r="K1501" s="118"/>
      <c r="L1501" s="118"/>
      <c r="M1501" s="118"/>
      <c r="N1501" s="118"/>
      <c r="O1501" s="121">
        <v>0</v>
      </c>
      <c r="P1501" s="120"/>
      <c r="Q1501" s="60"/>
      <c r="R1501" s="60"/>
      <c r="S1501" s="60"/>
      <c r="T1501" s="146"/>
      <c r="U1501" s="122"/>
      <c r="W1501" s="1"/>
      <c r="X1501" s="1"/>
      <c r="Y1501" s="1"/>
    </row>
    <row r="1502" spans="7:25">
      <c r="G1502" s="62" t="s">
        <v>185</v>
      </c>
      <c r="I1502" s="48"/>
      <c r="J1502" s="118"/>
      <c r="K1502" s="118"/>
      <c r="L1502" s="118"/>
      <c r="M1502" s="118"/>
      <c r="N1502" s="118"/>
      <c r="O1502" s="120"/>
      <c r="P1502" s="121"/>
      <c r="Q1502" s="60"/>
      <c r="R1502" s="60"/>
      <c r="S1502" s="60"/>
      <c r="T1502" s="146"/>
      <c r="U1502" s="122"/>
      <c r="W1502" s="1"/>
      <c r="X1502" s="1"/>
      <c r="Y1502" s="1"/>
    </row>
    <row r="1503" spans="7:25">
      <c r="G1503" s="62" t="s">
        <v>186</v>
      </c>
      <c r="I1503" s="48"/>
      <c r="J1503" s="118"/>
      <c r="K1503" s="118"/>
      <c r="L1503" s="118"/>
      <c r="M1503" s="118"/>
      <c r="N1503" s="118"/>
      <c r="O1503" s="118"/>
      <c r="P1503" s="121"/>
      <c r="Q1503" s="56"/>
      <c r="R1503" s="60"/>
      <c r="S1503" s="60"/>
      <c r="T1503" s="146"/>
      <c r="U1503" s="122"/>
      <c r="W1503" s="1"/>
      <c r="X1503" s="1"/>
      <c r="Y1503" s="1"/>
    </row>
    <row r="1504" spans="7:25">
      <c r="G1504" s="62" t="s">
        <v>187</v>
      </c>
      <c r="I1504" s="48"/>
      <c r="J1504" s="118"/>
      <c r="K1504" s="118"/>
      <c r="L1504" s="118"/>
      <c r="M1504" s="118"/>
      <c r="N1504" s="118"/>
      <c r="O1504" s="118"/>
      <c r="P1504" s="120"/>
      <c r="Q1504" s="306"/>
      <c r="R1504" s="60"/>
      <c r="S1504" s="60"/>
      <c r="T1504" s="146"/>
      <c r="U1504" s="122"/>
      <c r="W1504" s="1"/>
      <c r="X1504" s="1"/>
      <c r="Y1504" s="1"/>
    </row>
    <row r="1505" spans="2:25">
      <c r="G1505" s="62" t="s">
        <v>188</v>
      </c>
      <c r="I1505" s="48"/>
      <c r="J1505" s="118"/>
      <c r="K1505" s="118"/>
      <c r="L1505" s="118"/>
      <c r="M1505" s="118"/>
      <c r="N1505" s="118"/>
      <c r="O1505" s="118"/>
      <c r="P1505" s="118"/>
      <c r="Q1505" s="121"/>
      <c r="R1505" s="151"/>
      <c r="S1505" s="60"/>
      <c r="T1505" s="146"/>
      <c r="U1505" s="122"/>
      <c r="W1505" s="1"/>
      <c r="X1505" s="1"/>
      <c r="Y1505" s="1"/>
    </row>
    <row r="1506" spans="2:25">
      <c r="G1506" s="62" t="s">
        <v>189</v>
      </c>
      <c r="I1506" s="48"/>
      <c r="J1506" s="118"/>
      <c r="K1506" s="118"/>
      <c r="L1506" s="118"/>
      <c r="M1506" s="118"/>
      <c r="N1506" s="118"/>
      <c r="O1506" s="118"/>
      <c r="P1506" s="118"/>
      <c r="Q1506" s="151"/>
      <c r="R1506" s="173"/>
      <c r="S1506" s="60"/>
      <c r="T1506" s="146"/>
      <c r="U1506" s="122"/>
      <c r="W1506" s="1"/>
      <c r="X1506" s="1"/>
      <c r="Y1506" s="1"/>
    </row>
    <row r="1507" spans="2:25">
      <c r="G1507" s="62" t="s">
        <v>190</v>
      </c>
      <c r="I1507" s="48"/>
      <c r="J1507" s="118"/>
      <c r="K1507" s="118"/>
      <c r="L1507" s="118"/>
      <c r="M1507" s="118"/>
      <c r="N1507" s="118"/>
      <c r="O1507" s="118"/>
      <c r="P1507" s="118"/>
      <c r="Q1507" s="118"/>
      <c r="R1507" s="173"/>
      <c r="S1507" s="151">
        <f>R1507</f>
        <v>0</v>
      </c>
      <c r="T1507" s="146"/>
      <c r="U1507" s="122"/>
      <c r="W1507" s="1"/>
      <c r="X1507" s="1"/>
      <c r="Y1507" s="1"/>
    </row>
    <row r="1508" spans="2:25">
      <c r="G1508" s="62" t="s">
        <v>199</v>
      </c>
      <c r="I1508" s="48"/>
      <c r="J1508" s="118"/>
      <c r="K1508" s="118"/>
      <c r="L1508" s="118"/>
      <c r="M1508" s="118"/>
      <c r="N1508" s="118"/>
      <c r="O1508" s="118"/>
      <c r="P1508" s="118"/>
      <c r="Q1508" s="118"/>
      <c r="R1508" s="120"/>
      <c r="S1508" s="173">
        <v>0</v>
      </c>
      <c r="T1508" s="146"/>
      <c r="U1508" s="122"/>
      <c r="W1508" s="1"/>
      <c r="X1508" s="1"/>
      <c r="Y1508" s="1"/>
    </row>
    <row r="1509" spans="2:25">
      <c r="G1509" s="62" t="s">
        <v>200</v>
      </c>
      <c r="I1509" s="48"/>
      <c r="J1509" s="118"/>
      <c r="K1509" s="118"/>
      <c r="L1509" s="118"/>
      <c r="M1509" s="118"/>
      <c r="N1509" s="118"/>
      <c r="O1509" s="118"/>
      <c r="P1509" s="118"/>
      <c r="Q1509" s="118"/>
      <c r="R1509" s="118"/>
      <c r="S1509" s="173">
        <v>0</v>
      </c>
      <c r="T1509" s="151">
        <f>S1509</f>
        <v>0</v>
      </c>
      <c r="U1509" s="122"/>
      <c r="W1509" s="1"/>
      <c r="X1509" s="1"/>
      <c r="Y1509" s="1"/>
    </row>
    <row r="1510" spans="2:25">
      <c r="G1510" s="62" t="s">
        <v>308</v>
      </c>
      <c r="I1510" s="48"/>
      <c r="J1510" s="118"/>
      <c r="K1510" s="118"/>
      <c r="L1510" s="118"/>
      <c r="M1510" s="118"/>
      <c r="N1510" s="118"/>
      <c r="O1510" s="118"/>
      <c r="P1510" s="118"/>
      <c r="Q1510" s="118"/>
      <c r="R1510" s="118"/>
      <c r="S1510" s="120">
        <f>T1510</f>
        <v>0</v>
      </c>
      <c r="T1510" s="173">
        <v>0</v>
      </c>
      <c r="U1510" s="122"/>
      <c r="W1510" s="1"/>
      <c r="X1510" s="1"/>
      <c r="Y1510" s="1"/>
    </row>
    <row r="1511" spans="2:25">
      <c r="G1511" s="62" t="s">
        <v>307</v>
      </c>
      <c r="I1511" s="114"/>
      <c r="J1511" s="107"/>
      <c r="K1511" s="107"/>
      <c r="L1511" s="107"/>
      <c r="M1511" s="107"/>
      <c r="N1511" s="107"/>
      <c r="O1511" s="107"/>
      <c r="P1511" s="107"/>
      <c r="Q1511" s="107"/>
      <c r="R1511" s="107"/>
      <c r="S1511" s="107"/>
      <c r="T1511" s="173">
        <v>0</v>
      </c>
      <c r="U1511" s="456">
        <f>T1511</f>
        <v>0</v>
      </c>
      <c r="W1511" s="1"/>
      <c r="X1511" s="1"/>
      <c r="Y1511" s="1"/>
    </row>
    <row r="1512" spans="2:25">
      <c r="G1512" s="62" t="s">
        <v>318</v>
      </c>
      <c r="I1512" s="114"/>
      <c r="J1512" s="107"/>
      <c r="K1512" s="107"/>
      <c r="L1512" s="107"/>
      <c r="M1512" s="107"/>
      <c r="N1512" s="107"/>
      <c r="O1512" s="107"/>
      <c r="P1512" s="107"/>
      <c r="Q1512" s="107"/>
      <c r="R1512" s="107"/>
      <c r="S1512" s="107"/>
      <c r="T1512" s="120">
        <f>U1512</f>
        <v>0</v>
      </c>
      <c r="U1512" s="457">
        <v>0</v>
      </c>
      <c r="W1512" s="1"/>
      <c r="X1512" s="1"/>
      <c r="Y1512" s="1"/>
    </row>
    <row r="1513" spans="2:25">
      <c r="G1513" s="62" t="s">
        <v>319</v>
      </c>
      <c r="I1513" s="49"/>
      <c r="J1513" s="194"/>
      <c r="K1513" s="194"/>
      <c r="L1513" s="194"/>
      <c r="M1513" s="194"/>
      <c r="N1513" s="194"/>
      <c r="O1513" s="194"/>
      <c r="P1513" s="194"/>
      <c r="Q1513" s="194"/>
      <c r="R1513" s="194"/>
      <c r="S1513" s="194"/>
      <c r="T1513" s="194"/>
      <c r="U1513" s="458">
        <v>0</v>
      </c>
      <c r="W1513" s="1"/>
      <c r="X1513" s="1"/>
      <c r="Y1513" s="1"/>
    </row>
    <row r="1514" spans="2:25">
      <c r="B1514" s="1" t="s">
        <v>219</v>
      </c>
      <c r="G1514" s="26" t="s">
        <v>17</v>
      </c>
      <c r="I1514" s="7">
        <f xml:space="preserve"> I1490 - I1489</f>
        <v>0</v>
      </c>
      <c r="J1514" s="7">
        <f xml:space="preserve"> J1489 + J1492 - J1491 - J1490</f>
        <v>0</v>
      </c>
      <c r="K1514" s="7">
        <f>K1491 - K1492 -K1493</f>
        <v>0</v>
      </c>
      <c r="L1514" s="7">
        <f>L1493-L1494-L1495</f>
        <v>0</v>
      </c>
      <c r="M1514" s="7">
        <f>M1495</f>
        <v>0</v>
      </c>
      <c r="N1514" s="7">
        <f>N1497-N1498-N1499</f>
        <v>0</v>
      </c>
      <c r="O1514" s="7">
        <f t="shared" ref="O1514:R1514" si="660">O1499-O1500-O1501</f>
        <v>0</v>
      </c>
      <c r="P1514" s="154">
        <f t="shared" si="660"/>
        <v>0</v>
      </c>
      <c r="Q1514" s="154">
        <f t="shared" si="660"/>
        <v>0</v>
      </c>
      <c r="R1514" s="154">
        <f t="shared" si="660"/>
        <v>0</v>
      </c>
      <c r="S1514" s="7">
        <f>S1507-S1508+S1509-S1510</f>
        <v>0</v>
      </c>
      <c r="T1514" s="7">
        <f>T1509-T1510-T1511+T1512</f>
        <v>0</v>
      </c>
      <c r="U1514" s="7">
        <f>U1511-U1512-U1513</f>
        <v>0</v>
      </c>
      <c r="W1514" s="1"/>
      <c r="X1514" s="1"/>
      <c r="Y1514" s="1"/>
    </row>
    <row r="1515" spans="2:25">
      <c r="G1515" s="6"/>
      <c r="I1515" s="154"/>
      <c r="J1515" s="154"/>
      <c r="K1515" s="154"/>
      <c r="L1515" s="154"/>
      <c r="M1515" s="154"/>
      <c r="N1515" s="154"/>
      <c r="O1515" s="154"/>
      <c r="P1515" s="154"/>
      <c r="Q1515" s="154"/>
      <c r="R1515" s="154"/>
      <c r="S1515" s="154"/>
      <c r="T1515" s="154"/>
      <c r="U1515" s="154"/>
      <c r="W1515" s="1"/>
      <c r="X1515" s="1"/>
      <c r="Y1515" s="1"/>
    </row>
    <row r="1516" spans="2:25">
      <c r="G1516" s="26" t="s">
        <v>12</v>
      </c>
      <c r="H1516" s="57"/>
      <c r="I1516" s="155"/>
      <c r="J1516" s="156"/>
      <c r="K1516" s="156"/>
      <c r="L1516" s="156"/>
      <c r="M1516" s="156"/>
      <c r="N1516" s="156"/>
      <c r="O1516" s="156"/>
      <c r="P1516" s="156"/>
      <c r="Q1516" s="156"/>
      <c r="R1516" s="156"/>
      <c r="S1516" s="156"/>
      <c r="T1516" s="156"/>
      <c r="U1516" s="267"/>
      <c r="W1516" s="1"/>
      <c r="X1516" s="1"/>
      <c r="Y1516" s="1"/>
    </row>
    <row r="1517" spans="2:25">
      <c r="G1517" s="6"/>
      <c r="I1517" s="154"/>
      <c r="J1517" s="154"/>
      <c r="K1517" s="154"/>
      <c r="L1517" s="154"/>
      <c r="M1517" s="154"/>
      <c r="N1517" s="154"/>
      <c r="O1517" s="154"/>
      <c r="P1517" s="154"/>
      <c r="Q1517" s="154"/>
      <c r="R1517" s="154"/>
      <c r="S1517" s="154"/>
      <c r="T1517" s="154"/>
      <c r="U1517" s="154"/>
      <c r="W1517" s="1"/>
      <c r="X1517" s="1"/>
      <c r="Y1517" s="1"/>
    </row>
    <row r="1518" spans="2:25" ht="18.75">
      <c r="C1518" s="1" t="s">
        <v>219</v>
      </c>
      <c r="D1518" s="1" t="s">
        <v>142</v>
      </c>
      <c r="E1518" s="1" t="s">
        <v>114</v>
      </c>
      <c r="F1518" s="9" t="s">
        <v>26</v>
      </c>
      <c r="H1518" s="57"/>
      <c r="I1518" s="157">
        <f xml:space="preserve"> I1475 + I1480 - I1486 + I1514 + I1516</f>
        <v>0</v>
      </c>
      <c r="J1518" s="158">
        <v>276</v>
      </c>
      <c r="K1518" s="158">
        <f t="shared" ref="K1518:S1518" si="661" xml:space="preserve"> K1475 + K1480 - K1486 + K1514 + K1516</f>
        <v>189</v>
      </c>
      <c r="L1518" s="158">
        <f t="shared" si="661"/>
        <v>184</v>
      </c>
      <c r="M1518" s="158">
        <f t="shared" si="661"/>
        <v>172</v>
      </c>
      <c r="N1518" s="158">
        <f t="shared" si="661"/>
        <v>235</v>
      </c>
      <c r="O1518" s="158">
        <f t="shared" si="661"/>
        <v>342</v>
      </c>
      <c r="P1518" s="158">
        <f t="shared" si="661"/>
        <v>205</v>
      </c>
      <c r="Q1518" s="158">
        <f t="shared" si="661"/>
        <v>234</v>
      </c>
      <c r="R1518" s="158">
        <f t="shared" si="661"/>
        <v>192</v>
      </c>
      <c r="S1518" s="298">
        <f t="shared" si="661"/>
        <v>164</v>
      </c>
      <c r="T1518" s="158">
        <f t="shared" ref="T1518:U1518" si="662" xml:space="preserve"> T1475 + T1480 - T1486 + T1514 + T1516</f>
        <v>164</v>
      </c>
      <c r="U1518" s="268">
        <f t="shared" si="662"/>
        <v>92</v>
      </c>
      <c r="W1518" s="1"/>
      <c r="X1518" s="1"/>
      <c r="Y1518" s="1"/>
    </row>
    <row r="1519" spans="2:25">
      <c r="G1519" s="6"/>
      <c r="I1519" s="7"/>
      <c r="J1519" s="7"/>
      <c r="K1519" s="7"/>
      <c r="L1519" s="23"/>
      <c r="M1519" s="23"/>
      <c r="N1519" s="23"/>
      <c r="O1519" s="23"/>
      <c r="P1519" s="23"/>
      <c r="Q1519" s="23"/>
      <c r="R1519" s="23"/>
      <c r="S1519" s="282"/>
      <c r="T1519" s="23"/>
      <c r="U1519" s="23"/>
      <c r="W1519" s="1"/>
      <c r="X1519" s="1"/>
      <c r="Y1519" s="1"/>
    </row>
    <row r="1520" spans="2:25" ht="15.75" thickBot="1">
      <c r="W1520" s="1"/>
      <c r="X1520" s="1"/>
      <c r="Y1520" s="1"/>
    </row>
    <row r="1521" spans="1:25">
      <c r="F1521" s="8"/>
      <c r="G1521" s="8"/>
      <c r="H1521" s="8"/>
      <c r="I1521" s="8"/>
      <c r="J1521" s="8"/>
      <c r="K1521" s="8"/>
      <c r="L1521" s="8"/>
      <c r="M1521" s="8"/>
      <c r="N1521" s="8"/>
      <c r="O1521" s="8"/>
      <c r="P1521" s="8"/>
      <c r="Q1521" s="8"/>
      <c r="R1521" s="8"/>
      <c r="S1521" s="290"/>
      <c r="T1521" s="8"/>
      <c r="U1521" s="8"/>
      <c r="W1521" s="1"/>
      <c r="X1521" s="1"/>
      <c r="Y1521" s="1"/>
    </row>
    <row r="1522" spans="1:25" ht="15.75" thickBot="1">
      <c r="W1522" s="1"/>
      <c r="X1522" s="1"/>
      <c r="Y1522" s="1"/>
    </row>
    <row r="1523" spans="1:25" ht="21.75" thickBot="1">
      <c r="F1523" s="13" t="s">
        <v>4</v>
      </c>
      <c r="G1523" s="13"/>
      <c r="H1523" s="185" t="str">
        <f>G35</f>
        <v>Klondike I - Klondike Wind Power LLC - REC Only</v>
      </c>
      <c r="I1523" s="198"/>
      <c r="J1523" s="199"/>
      <c r="K1523" s="174"/>
      <c r="W1523" s="1"/>
      <c r="X1523" s="1"/>
      <c r="Y1523" s="1"/>
    </row>
    <row r="1524" spans="1:25">
      <c r="S1524" s="333"/>
      <c r="W1524" s="1"/>
      <c r="X1524" s="1"/>
      <c r="Y1524" s="1"/>
    </row>
    <row r="1525" spans="1:25" ht="18.75">
      <c r="F1525" s="9" t="s">
        <v>21</v>
      </c>
      <c r="G1525" s="9"/>
      <c r="I1525" s="2">
        <f>'Facility Detail'!$G$3260</f>
        <v>2011</v>
      </c>
      <c r="J1525" s="2">
        <f>I1525+1</f>
        <v>2012</v>
      </c>
      <c r="K1525" s="2">
        <f>J1525+1</f>
        <v>2013</v>
      </c>
      <c r="L1525" s="2">
        <f t="shared" ref="L1525:R1525" si="663">K1525+1</f>
        <v>2014</v>
      </c>
      <c r="M1525" s="2">
        <f t="shared" si="663"/>
        <v>2015</v>
      </c>
      <c r="N1525" s="2">
        <f t="shared" si="663"/>
        <v>2016</v>
      </c>
      <c r="O1525" s="2">
        <f t="shared" si="663"/>
        <v>2017</v>
      </c>
      <c r="P1525" s="2">
        <f t="shared" si="663"/>
        <v>2018</v>
      </c>
      <c r="Q1525" s="2">
        <f t="shared" si="663"/>
        <v>2019</v>
      </c>
      <c r="R1525" s="2">
        <f t="shared" si="663"/>
        <v>2020</v>
      </c>
      <c r="S1525" s="304">
        <f>R1525+1</f>
        <v>2021</v>
      </c>
      <c r="T1525" s="2">
        <f>S1525+1</f>
        <v>2022</v>
      </c>
      <c r="U1525" s="2">
        <f>T1525+1</f>
        <v>2023</v>
      </c>
      <c r="W1525" s="1"/>
      <c r="X1525" s="1"/>
      <c r="Y1525" s="1"/>
    </row>
    <row r="1526" spans="1:25">
      <c r="G1526" s="62" t="str">
        <f>"Total MWh Produced / Purchased from " &amp; H1523</f>
        <v>Total MWh Produced / Purchased from Klondike I - Klondike Wind Power LLC - REC Only</v>
      </c>
      <c r="H1526" s="57"/>
      <c r="I1526" s="3"/>
      <c r="J1526" s="4"/>
      <c r="K1526" s="4"/>
      <c r="L1526" s="4"/>
      <c r="M1526" s="4"/>
      <c r="N1526" s="4">
        <v>8543</v>
      </c>
      <c r="O1526" s="4"/>
      <c r="P1526" s="4"/>
      <c r="Q1526" s="4"/>
      <c r="R1526" s="4"/>
      <c r="S1526" s="308"/>
      <c r="T1526" s="4"/>
      <c r="U1526" s="5"/>
      <c r="W1526" s="1"/>
      <c r="X1526" s="1"/>
      <c r="Y1526" s="1"/>
    </row>
    <row r="1527" spans="1:25">
      <c r="G1527" s="62" t="s">
        <v>25</v>
      </c>
      <c r="H1527" s="57"/>
      <c r="I1527" s="269"/>
      <c r="J1527" s="41"/>
      <c r="K1527" s="41"/>
      <c r="L1527" s="41"/>
      <c r="M1527" s="41"/>
      <c r="N1527" s="41">
        <v>1</v>
      </c>
      <c r="O1527" s="41"/>
      <c r="P1527" s="41"/>
      <c r="Q1527" s="41"/>
      <c r="R1527" s="41"/>
      <c r="S1527" s="309"/>
      <c r="T1527" s="41"/>
      <c r="U1527" s="42"/>
      <c r="W1527" s="1"/>
      <c r="X1527" s="1"/>
      <c r="Y1527" s="1"/>
    </row>
    <row r="1528" spans="1:25">
      <c r="G1528" s="62" t="s">
        <v>20</v>
      </c>
      <c r="H1528" s="57"/>
      <c r="I1528" s="270"/>
      <c r="J1528" s="36"/>
      <c r="K1528" s="36"/>
      <c r="L1528" s="36"/>
      <c r="M1528" s="36"/>
      <c r="N1528" s="36">
        <v>1</v>
      </c>
      <c r="O1528" s="36"/>
      <c r="P1528" s="36"/>
      <c r="Q1528" s="36"/>
      <c r="R1528" s="36"/>
      <c r="S1528" s="310"/>
      <c r="T1528" s="36"/>
      <c r="U1528" s="37"/>
      <c r="W1528" s="1"/>
      <c r="X1528" s="1"/>
      <c r="Y1528" s="1"/>
    </row>
    <row r="1529" spans="1:25">
      <c r="A1529" s="1" t="s">
        <v>292</v>
      </c>
      <c r="G1529" s="26" t="s">
        <v>22</v>
      </c>
      <c r="H1529" s="6"/>
      <c r="I1529" s="30">
        <f xml:space="preserve"> I1526 * I1527 * I1528</f>
        <v>0</v>
      </c>
      <c r="J1529" s="30">
        <f xml:space="preserve"> J1526 * J1527 * J1528</f>
        <v>0</v>
      </c>
      <c r="K1529" s="30">
        <f xml:space="preserve"> K1526 * K1527 * K1528</f>
        <v>0</v>
      </c>
      <c r="L1529" s="30">
        <f t="shared" ref="L1529:S1529" si="664" xml:space="preserve"> L1526 * L1527 * L1528</f>
        <v>0</v>
      </c>
      <c r="M1529" s="30">
        <f t="shared" si="664"/>
        <v>0</v>
      </c>
      <c r="N1529" s="161">
        <v>8543</v>
      </c>
      <c r="O1529" s="161">
        <f t="shared" si="664"/>
        <v>0</v>
      </c>
      <c r="P1529" s="161">
        <f t="shared" si="664"/>
        <v>0</v>
      </c>
      <c r="Q1529" s="161">
        <f t="shared" si="664"/>
        <v>0</v>
      </c>
      <c r="R1529" s="161">
        <f t="shared" si="664"/>
        <v>0</v>
      </c>
      <c r="S1529" s="311">
        <f t="shared" si="664"/>
        <v>0</v>
      </c>
      <c r="T1529" s="161">
        <f t="shared" ref="T1529:U1529" si="665" xml:space="preserve"> T1526 * T1527 * T1528</f>
        <v>0</v>
      </c>
      <c r="U1529" s="161">
        <f t="shared" si="665"/>
        <v>0</v>
      </c>
      <c r="W1529" s="1"/>
      <c r="X1529" s="1"/>
      <c r="Y1529" s="1"/>
    </row>
    <row r="1530" spans="1:25">
      <c r="I1530" s="29"/>
      <c r="J1530" s="29"/>
      <c r="K1530" s="29"/>
      <c r="L1530" s="29"/>
      <c r="M1530" s="29"/>
      <c r="N1530" s="20"/>
      <c r="O1530" s="20"/>
      <c r="P1530" s="20"/>
      <c r="Q1530" s="20"/>
      <c r="R1530" s="20"/>
      <c r="S1530" s="312"/>
      <c r="T1530" s="20"/>
      <c r="U1530" s="20"/>
      <c r="W1530" s="1"/>
      <c r="X1530" s="1"/>
      <c r="Y1530" s="1"/>
    </row>
    <row r="1531" spans="1:25" ht="18.75">
      <c r="F1531" s="9" t="s">
        <v>118</v>
      </c>
      <c r="I1531" s="2">
        <f>'Facility Detail'!$G$3260</f>
        <v>2011</v>
      </c>
      <c r="J1531" s="2">
        <f>I1531+1</f>
        <v>2012</v>
      </c>
      <c r="K1531" s="2">
        <f>J1531+1</f>
        <v>2013</v>
      </c>
      <c r="L1531" s="2">
        <f t="shared" ref="L1531:R1531" si="666">K1531+1</f>
        <v>2014</v>
      </c>
      <c r="M1531" s="2">
        <f t="shared" si="666"/>
        <v>2015</v>
      </c>
      <c r="N1531" s="2">
        <f t="shared" si="666"/>
        <v>2016</v>
      </c>
      <c r="O1531" s="2">
        <f t="shared" si="666"/>
        <v>2017</v>
      </c>
      <c r="P1531" s="2">
        <f t="shared" si="666"/>
        <v>2018</v>
      </c>
      <c r="Q1531" s="2">
        <f t="shared" si="666"/>
        <v>2019</v>
      </c>
      <c r="R1531" s="2">
        <f t="shared" si="666"/>
        <v>2020</v>
      </c>
      <c r="S1531" s="304">
        <f>R1531+1</f>
        <v>2021</v>
      </c>
      <c r="T1531" s="2">
        <f>S1531+1</f>
        <v>2022</v>
      </c>
      <c r="U1531" s="2">
        <f>T1531+1</f>
        <v>2023</v>
      </c>
      <c r="W1531" s="1"/>
      <c r="X1531" s="1"/>
      <c r="Y1531" s="1"/>
    </row>
    <row r="1532" spans="1:25">
      <c r="G1532" s="62" t="s">
        <v>10</v>
      </c>
      <c r="H1532" s="57"/>
      <c r="I1532" s="38">
        <f>IF($J35 = "Eligible", I1529 * 'Facility Detail'!$G$3257, 0 )</f>
        <v>0</v>
      </c>
      <c r="J1532" s="11">
        <f>IF($J35 = "Eligible", J1529 * 'Facility Detail'!$G$3257, 0 )</f>
        <v>0</v>
      </c>
      <c r="K1532" s="11">
        <f>IF($J35 = "Eligible", K1529 * 'Facility Detail'!$G$3257, 0 )</f>
        <v>0</v>
      </c>
      <c r="L1532" s="11">
        <f>IF($J35 = "Eligible", L1529 * 'Facility Detail'!$G$3257, 0 )</f>
        <v>0</v>
      </c>
      <c r="M1532" s="11">
        <f>IF($J35 = "Eligible", M1529 * 'Facility Detail'!$G$3257, 0 )</f>
        <v>0</v>
      </c>
      <c r="N1532" s="11">
        <f>IF($J35 = "Eligible", N1529 * 'Facility Detail'!$G$3257, 0 )</f>
        <v>0</v>
      </c>
      <c r="O1532" s="11">
        <f>IF($J35 = "Eligible", O1529 * 'Facility Detail'!$G$3257, 0 )</f>
        <v>0</v>
      </c>
      <c r="P1532" s="11">
        <f>IF($J35 = "Eligible", P1529 * 'Facility Detail'!$G$3257, 0 )</f>
        <v>0</v>
      </c>
      <c r="Q1532" s="11">
        <f>IF($J35 = "Eligible", Q1529 * 'Facility Detail'!$G$3257, 0 )</f>
        <v>0</v>
      </c>
      <c r="R1532" s="11">
        <f>IF($J35 = "Eligible", R1529 * 'Facility Detail'!$G$3257, 0 )</f>
        <v>0</v>
      </c>
      <c r="S1532" s="313">
        <f>IF($J35 = "Eligible", S1529 * 'Facility Detail'!$G$3257, 0 )</f>
        <v>0</v>
      </c>
      <c r="T1532" s="11">
        <f>IF($J35 = "Eligible", T1529 * 'Facility Detail'!$G$3257, 0 )</f>
        <v>0</v>
      </c>
      <c r="U1532" s="223">
        <f>IF($J35 = "Eligible", U1529 * 'Facility Detail'!$G$3257, 0 )</f>
        <v>0</v>
      </c>
      <c r="W1532" s="1"/>
      <c r="X1532" s="1"/>
      <c r="Y1532" s="1"/>
    </row>
    <row r="1533" spans="1:25">
      <c r="G1533" s="62" t="s">
        <v>6</v>
      </c>
      <c r="H1533" s="57"/>
      <c r="I1533" s="39">
        <f t="shared" ref="I1533:U1533" si="667">IF($K35= "Eligible", I1529, 0 )</f>
        <v>0</v>
      </c>
      <c r="J1533" s="193">
        <f t="shared" si="667"/>
        <v>0</v>
      </c>
      <c r="K1533" s="193">
        <f t="shared" si="667"/>
        <v>0</v>
      </c>
      <c r="L1533" s="193">
        <f t="shared" si="667"/>
        <v>0</v>
      </c>
      <c r="M1533" s="193">
        <f t="shared" si="667"/>
        <v>0</v>
      </c>
      <c r="N1533" s="193">
        <f t="shared" si="667"/>
        <v>0</v>
      </c>
      <c r="O1533" s="193">
        <f t="shared" si="667"/>
        <v>0</v>
      </c>
      <c r="P1533" s="193">
        <f t="shared" si="667"/>
        <v>0</v>
      </c>
      <c r="Q1533" s="193">
        <f t="shared" si="667"/>
        <v>0</v>
      </c>
      <c r="R1533" s="193">
        <f t="shared" si="667"/>
        <v>0</v>
      </c>
      <c r="S1533" s="314">
        <f t="shared" si="667"/>
        <v>0</v>
      </c>
      <c r="T1533" s="193">
        <f t="shared" si="667"/>
        <v>0</v>
      </c>
      <c r="U1533" s="224">
        <f t="shared" si="667"/>
        <v>0</v>
      </c>
      <c r="W1533" s="1"/>
      <c r="X1533" s="1"/>
      <c r="Y1533" s="1"/>
    </row>
    <row r="1534" spans="1:25">
      <c r="G1534" s="26" t="s">
        <v>120</v>
      </c>
      <c r="H1534" s="6"/>
      <c r="I1534" s="32">
        <f>SUM(I1532:I1533)</f>
        <v>0</v>
      </c>
      <c r="J1534" s="33">
        <f>SUM(J1532:J1533)</f>
        <v>0</v>
      </c>
      <c r="K1534" s="33">
        <f>SUM(K1532:K1533)</f>
        <v>0</v>
      </c>
      <c r="L1534" s="33">
        <f t="shared" ref="L1534:S1534" si="668">SUM(L1532:L1533)</f>
        <v>0</v>
      </c>
      <c r="M1534" s="33">
        <f t="shared" si="668"/>
        <v>0</v>
      </c>
      <c r="N1534" s="33">
        <f t="shared" si="668"/>
        <v>0</v>
      </c>
      <c r="O1534" s="33">
        <f t="shared" si="668"/>
        <v>0</v>
      </c>
      <c r="P1534" s="33">
        <f t="shared" si="668"/>
        <v>0</v>
      </c>
      <c r="Q1534" s="33">
        <f t="shared" si="668"/>
        <v>0</v>
      </c>
      <c r="R1534" s="33">
        <f t="shared" si="668"/>
        <v>0</v>
      </c>
      <c r="S1534" s="315">
        <f t="shared" si="668"/>
        <v>0</v>
      </c>
      <c r="T1534" s="33">
        <f t="shared" ref="T1534:U1534" si="669">SUM(T1532:T1533)</f>
        <v>0</v>
      </c>
      <c r="U1534" s="33">
        <f t="shared" si="669"/>
        <v>0</v>
      </c>
      <c r="W1534" s="1"/>
      <c r="X1534" s="1"/>
      <c r="Y1534" s="1"/>
    </row>
    <row r="1535" spans="1:25">
      <c r="I1535" s="31"/>
      <c r="J1535" s="24"/>
      <c r="K1535" s="24"/>
      <c r="L1535" s="24"/>
      <c r="M1535" s="24"/>
      <c r="N1535" s="24"/>
      <c r="O1535" s="24"/>
      <c r="P1535" s="24"/>
      <c r="Q1535" s="24"/>
      <c r="R1535" s="24"/>
      <c r="S1535" s="316"/>
      <c r="T1535" s="24"/>
      <c r="U1535" s="24"/>
      <c r="W1535" s="1"/>
      <c r="X1535" s="1"/>
      <c r="Y1535" s="1"/>
    </row>
    <row r="1536" spans="1:25" ht="18.75">
      <c r="F1536" s="9" t="s">
        <v>30</v>
      </c>
      <c r="I1536" s="2">
        <f>'Facility Detail'!$G$3260</f>
        <v>2011</v>
      </c>
      <c r="J1536" s="2">
        <f>I1536+1</f>
        <v>2012</v>
      </c>
      <c r="K1536" s="2">
        <f>J1536+1</f>
        <v>2013</v>
      </c>
      <c r="L1536" s="2">
        <f t="shared" ref="L1536:R1536" si="670">K1536+1</f>
        <v>2014</v>
      </c>
      <c r="M1536" s="2">
        <f t="shared" si="670"/>
        <v>2015</v>
      </c>
      <c r="N1536" s="2">
        <f t="shared" si="670"/>
        <v>2016</v>
      </c>
      <c r="O1536" s="2">
        <f t="shared" si="670"/>
        <v>2017</v>
      </c>
      <c r="P1536" s="2">
        <f t="shared" si="670"/>
        <v>2018</v>
      </c>
      <c r="Q1536" s="2">
        <f t="shared" si="670"/>
        <v>2019</v>
      </c>
      <c r="R1536" s="2">
        <f t="shared" si="670"/>
        <v>2020</v>
      </c>
      <c r="S1536" s="304">
        <f>R1536+1</f>
        <v>2021</v>
      </c>
      <c r="T1536" s="2">
        <f>S1536+1</f>
        <v>2022</v>
      </c>
      <c r="U1536" s="2">
        <f>T1536+1</f>
        <v>2023</v>
      </c>
      <c r="W1536" s="1"/>
      <c r="X1536" s="1"/>
      <c r="Y1536" s="1"/>
    </row>
    <row r="1537" spans="6:25">
      <c r="G1537" s="62" t="s">
        <v>47</v>
      </c>
      <c r="H1537" s="57"/>
      <c r="I1537" s="71"/>
      <c r="J1537" s="72"/>
      <c r="K1537" s="72"/>
      <c r="L1537" s="72"/>
      <c r="M1537" s="72"/>
      <c r="N1537" s="72"/>
      <c r="O1537" s="72"/>
      <c r="P1537" s="72"/>
      <c r="Q1537" s="72"/>
      <c r="R1537" s="72"/>
      <c r="S1537" s="317"/>
      <c r="T1537" s="72"/>
      <c r="U1537" s="73"/>
      <c r="W1537" s="1"/>
      <c r="X1537" s="1"/>
      <c r="Y1537" s="1"/>
    </row>
    <row r="1538" spans="6:25">
      <c r="G1538" s="63" t="s">
        <v>23</v>
      </c>
      <c r="H1538" s="135"/>
      <c r="I1538" s="74"/>
      <c r="J1538" s="75"/>
      <c r="K1538" s="75"/>
      <c r="L1538" s="75"/>
      <c r="M1538" s="75"/>
      <c r="N1538" s="75"/>
      <c r="O1538" s="75"/>
      <c r="P1538" s="75"/>
      <c r="Q1538" s="75"/>
      <c r="R1538" s="75"/>
      <c r="S1538" s="318"/>
      <c r="T1538" s="75"/>
      <c r="U1538" s="76"/>
      <c r="W1538" s="1"/>
      <c r="X1538" s="1"/>
      <c r="Y1538" s="1"/>
    </row>
    <row r="1539" spans="6:25">
      <c r="G1539" s="63" t="s">
        <v>89</v>
      </c>
      <c r="H1539" s="134"/>
      <c r="I1539" s="43"/>
      <c r="J1539" s="44"/>
      <c r="K1539" s="44"/>
      <c r="L1539" s="44"/>
      <c r="M1539" s="44"/>
      <c r="N1539" s="44"/>
      <c r="O1539" s="44"/>
      <c r="P1539" s="44"/>
      <c r="Q1539" s="44"/>
      <c r="R1539" s="44"/>
      <c r="S1539" s="319"/>
      <c r="T1539" s="44"/>
      <c r="U1539" s="45"/>
      <c r="W1539" s="1"/>
      <c r="X1539" s="1"/>
      <c r="Y1539" s="1"/>
    </row>
    <row r="1540" spans="6:25">
      <c r="G1540" s="26" t="s">
        <v>90</v>
      </c>
      <c r="I1540" s="7">
        <f>SUM(I1537:I1539)</f>
        <v>0</v>
      </c>
      <c r="J1540" s="7">
        <f>SUM(J1537:J1539)</f>
        <v>0</v>
      </c>
      <c r="K1540" s="7">
        <f>SUM(K1537:K1539)</f>
        <v>0</v>
      </c>
      <c r="L1540" s="7">
        <f t="shared" ref="L1540:S1540" si="671">SUM(L1537:L1539)</f>
        <v>0</v>
      </c>
      <c r="M1540" s="7">
        <f t="shared" si="671"/>
        <v>0</v>
      </c>
      <c r="N1540" s="7">
        <f t="shared" si="671"/>
        <v>0</v>
      </c>
      <c r="O1540" s="7">
        <f t="shared" si="671"/>
        <v>0</v>
      </c>
      <c r="P1540" s="7">
        <f t="shared" si="671"/>
        <v>0</v>
      </c>
      <c r="Q1540" s="7">
        <f t="shared" si="671"/>
        <v>0</v>
      </c>
      <c r="R1540" s="7">
        <f t="shared" si="671"/>
        <v>0</v>
      </c>
      <c r="S1540" s="320">
        <f t="shared" si="671"/>
        <v>0</v>
      </c>
      <c r="T1540" s="7">
        <f t="shared" ref="T1540:U1540" si="672">SUM(T1537:T1539)</f>
        <v>0</v>
      </c>
      <c r="U1540" s="7">
        <f t="shared" si="672"/>
        <v>0</v>
      </c>
      <c r="W1540" s="1"/>
      <c r="X1540" s="1"/>
      <c r="Y1540" s="1"/>
    </row>
    <row r="1541" spans="6:25">
      <c r="G1541" s="6"/>
      <c r="I1541" s="7"/>
      <c r="J1541" s="7"/>
      <c r="K1541" s="7"/>
      <c r="L1541" s="23"/>
      <c r="M1541" s="23"/>
      <c r="N1541" s="23"/>
      <c r="O1541" s="23"/>
      <c r="P1541" s="23"/>
      <c r="Q1541" s="23"/>
      <c r="R1541" s="23"/>
      <c r="S1541" s="321"/>
      <c r="T1541" s="23"/>
      <c r="U1541" s="23"/>
      <c r="W1541" s="1"/>
      <c r="X1541" s="1"/>
      <c r="Y1541" s="1"/>
    </row>
    <row r="1542" spans="6:25" ht="18.75">
      <c r="F1542" s="9" t="s">
        <v>100</v>
      </c>
      <c r="I1542" s="2">
        <f>'Facility Detail'!$G$3260</f>
        <v>2011</v>
      </c>
      <c r="J1542" s="2">
        <f>I1542+1</f>
        <v>2012</v>
      </c>
      <c r="K1542" s="2">
        <f>J1542+1</f>
        <v>2013</v>
      </c>
      <c r="L1542" s="2">
        <f t="shared" ref="L1542:R1542" si="673">K1542+1</f>
        <v>2014</v>
      </c>
      <c r="M1542" s="2">
        <f t="shared" si="673"/>
        <v>2015</v>
      </c>
      <c r="N1542" s="2">
        <f t="shared" si="673"/>
        <v>2016</v>
      </c>
      <c r="O1542" s="2">
        <f t="shared" si="673"/>
        <v>2017</v>
      </c>
      <c r="P1542" s="2">
        <f t="shared" si="673"/>
        <v>2018</v>
      </c>
      <c r="Q1542" s="2">
        <f t="shared" si="673"/>
        <v>2019</v>
      </c>
      <c r="R1542" s="2">
        <f t="shared" si="673"/>
        <v>2020</v>
      </c>
      <c r="S1542" s="304">
        <f>R1542+1</f>
        <v>2021</v>
      </c>
      <c r="T1542" s="2">
        <f>S1542+1</f>
        <v>2022</v>
      </c>
      <c r="U1542" s="2">
        <f>T1542+1</f>
        <v>2023</v>
      </c>
      <c r="W1542" s="1"/>
      <c r="X1542" s="1"/>
      <c r="Y1542" s="1"/>
    </row>
    <row r="1543" spans="6:25">
      <c r="G1543" s="62" t="s">
        <v>68</v>
      </c>
      <c r="H1543" s="57"/>
      <c r="I1543" s="3"/>
      <c r="J1543" s="46">
        <f>I1543</f>
        <v>0</v>
      </c>
      <c r="K1543" s="106"/>
      <c r="L1543" s="106"/>
      <c r="M1543" s="106"/>
      <c r="N1543" s="106"/>
      <c r="O1543" s="106"/>
      <c r="P1543" s="106"/>
      <c r="Q1543" s="106"/>
      <c r="R1543" s="106"/>
      <c r="S1543" s="322"/>
      <c r="T1543" s="106"/>
      <c r="U1543" s="47"/>
      <c r="W1543" s="1"/>
      <c r="X1543" s="1"/>
      <c r="Y1543" s="1"/>
    </row>
    <row r="1544" spans="6:25">
      <c r="G1544" s="62" t="s">
        <v>69</v>
      </c>
      <c r="H1544" s="57"/>
      <c r="I1544" s="127">
        <f>J1544</f>
        <v>0</v>
      </c>
      <c r="J1544" s="10"/>
      <c r="K1544" s="60"/>
      <c r="L1544" s="60"/>
      <c r="M1544" s="60"/>
      <c r="N1544" s="60"/>
      <c r="O1544" s="60"/>
      <c r="P1544" s="60"/>
      <c r="Q1544" s="60"/>
      <c r="R1544" s="60"/>
      <c r="S1544" s="330"/>
      <c r="T1544" s="60"/>
      <c r="U1544" s="128"/>
      <c r="W1544" s="1"/>
      <c r="X1544" s="1"/>
      <c r="Y1544" s="1"/>
    </row>
    <row r="1545" spans="6:25">
      <c r="G1545" s="62" t="s">
        <v>70</v>
      </c>
      <c r="H1545" s="57"/>
      <c r="I1545" s="48"/>
      <c r="J1545" s="10">
        <f>J1529</f>
        <v>0</v>
      </c>
      <c r="K1545" s="56">
        <f>J1545</f>
        <v>0</v>
      </c>
      <c r="L1545" s="60"/>
      <c r="M1545" s="60"/>
      <c r="N1545" s="60"/>
      <c r="O1545" s="60"/>
      <c r="P1545" s="60"/>
      <c r="Q1545" s="60"/>
      <c r="R1545" s="60"/>
      <c r="S1545" s="330"/>
      <c r="T1545" s="60"/>
      <c r="U1545" s="128"/>
      <c r="W1545" s="1"/>
      <c r="X1545" s="1"/>
      <c r="Y1545" s="1"/>
    </row>
    <row r="1546" spans="6:25">
      <c r="G1546" s="62" t="s">
        <v>71</v>
      </c>
      <c r="H1546" s="57"/>
      <c r="I1546" s="48"/>
      <c r="J1546" s="56">
        <f>K1546</f>
        <v>0</v>
      </c>
      <c r="K1546" s="126"/>
      <c r="L1546" s="60"/>
      <c r="M1546" s="60"/>
      <c r="N1546" s="60"/>
      <c r="O1546" s="60"/>
      <c r="P1546" s="60"/>
      <c r="Q1546" s="60"/>
      <c r="R1546" s="60"/>
      <c r="S1546" s="330"/>
      <c r="T1546" s="60"/>
      <c r="U1546" s="128"/>
      <c r="W1546" s="1"/>
      <c r="X1546" s="1"/>
      <c r="Y1546" s="1"/>
    </row>
    <row r="1547" spans="6:25">
      <c r="G1547" s="62" t="s">
        <v>170</v>
      </c>
      <c r="I1547" s="48"/>
      <c r="J1547" s="118"/>
      <c r="K1547" s="10">
        <f>K1529</f>
        <v>0</v>
      </c>
      <c r="L1547" s="119">
        <f>K1547</f>
        <v>0</v>
      </c>
      <c r="M1547" s="60"/>
      <c r="N1547" s="60"/>
      <c r="O1547" s="60"/>
      <c r="P1547" s="60"/>
      <c r="Q1547" s="60"/>
      <c r="R1547" s="60"/>
      <c r="S1547" s="330"/>
      <c r="T1547" s="60"/>
      <c r="U1547" s="128"/>
      <c r="W1547" s="1"/>
      <c r="X1547" s="1"/>
      <c r="Y1547" s="1"/>
    </row>
    <row r="1548" spans="6:25">
      <c r="G1548" s="62" t="s">
        <v>171</v>
      </c>
      <c r="I1548" s="48"/>
      <c r="J1548" s="118"/>
      <c r="K1548" s="56">
        <f>L1548</f>
        <v>0</v>
      </c>
      <c r="L1548" s="10"/>
      <c r="M1548" s="60"/>
      <c r="N1548" s="60"/>
      <c r="O1548" s="60"/>
      <c r="P1548" s="60"/>
      <c r="Q1548" s="60"/>
      <c r="R1548" s="60"/>
      <c r="S1548" s="330"/>
      <c r="T1548" s="60"/>
      <c r="U1548" s="128"/>
      <c r="W1548" s="1"/>
      <c r="X1548" s="1"/>
      <c r="Y1548" s="1"/>
    </row>
    <row r="1549" spans="6:25">
      <c r="G1549" s="62" t="s">
        <v>172</v>
      </c>
      <c r="I1549" s="48"/>
      <c r="J1549" s="118"/>
      <c r="K1549" s="118"/>
      <c r="L1549" s="10">
        <f>L1529</f>
        <v>0</v>
      </c>
      <c r="M1549" s="119">
        <f>L1549</f>
        <v>0</v>
      </c>
      <c r="N1549" s="118">
        <f>M1549</f>
        <v>0</v>
      </c>
      <c r="O1549" s="118"/>
      <c r="P1549" s="118"/>
      <c r="Q1549" s="118"/>
      <c r="R1549" s="118"/>
      <c r="S1549" s="324"/>
      <c r="T1549" s="118"/>
      <c r="U1549" s="122"/>
      <c r="W1549" s="1"/>
      <c r="X1549" s="1"/>
      <c r="Y1549" s="1"/>
    </row>
    <row r="1550" spans="6:25">
      <c r="G1550" s="62" t="s">
        <v>173</v>
      </c>
      <c r="I1550" s="48"/>
      <c r="J1550" s="118"/>
      <c r="K1550" s="118"/>
      <c r="L1550" s="120"/>
      <c r="M1550" s="121"/>
      <c r="N1550" s="118"/>
      <c r="O1550" s="118"/>
      <c r="P1550" s="118"/>
      <c r="Q1550" s="118"/>
      <c r="R1550" s="118"/>
      <c r="S1550" s="324"/>
      <c r="T1550" s="118"/>
      <c r="U1550" s="122"/>
      <c r="W1550" s="1"/>
      <c r="X1550" s="1"/>
      <c r="Y1550" s="1"/>
    </row>
    <row r="1551" spans="6:25">
      <c r="G1551" s="62" t="s">
        <v>174</v>
      </c>
      <c r="I1551" s="48"/>
      <c r="J1551" s="118"/>
      <c r="K1551" s="118"/>
      <c r="L1551" s="118"/>
      <c r="M1551" s="121">
        <v>0</v>
      </c>
      <c r="N1551" s="119">
        <f>M1551</f>
        <v>0</v>
      </c>
      <c r="O1551" s="118"/>
      <c r="P1551" s="60"/>
      <c r="Q1551" s="60"/>
      <c r="R1551" s="60"/>
      <c r="S1551" s="330"/>
      <c r="T1551" s="60"/>
      <c r="U1551" s="128"/>
      <c r="W1551" s="1"/>
      <c r="X1551" s="1"/>
      <c r="Y1551" s="1"/>
    </row>
    <row r="1552" spans="6:25">
      <c r="G1552" s="62" t="s">
        <v>175</v>
      </c>
      <c r="I1552" s="48"/>
      <c r="J1552" s="118"/>
      <c r="K1552" s="118"/>
      <c r="L1552" s="118"/>
      <c r="M1552" s="56"/>
      <c r="N1552" s="121"/>
      <c r="O1552" s="118"/>
      <c r="P1552" s="60"/>
      <c r="Q1552" s="60"/>
      <c r="R1552" s="60"/>
      <c r="S1552" s="330"/>
      <c r="T1552" s="60"/>
      <c r="U1552" s="128"/>
      <c r="W1552" s="1"/>
      <c r="X1552" s="1"/>
      <c r="Y1552" s="1"/>
    </row>
    <row r="1553" spans="2:25">
      <c r="G1553" s="62" t="s">
        <v>176</v>
      </c>
      <c r="I1553" s="48"/>
      <c r="J1553" s="118"/>
      <c r="K1553" s="118"/>
      <c r="L1553" s="118"/>
      <c r="M1553" s="118"/>
      <c r="N1553" s="121">
        <f>N1529</f>
        <v>8543</v>
      </c>
      <c r="O1553" s="119">
        <f>N1553</f>
        <v>8543</v>
      </c>
      <c r="P1553" s="60"/>
      <c r="Q1553" s="60"/>
      <c r="R1553" s="60"/>
      <c r="S1553" s="330"/>
      <c r="T1553" s="60"/>
      <c r="U1553" s="128"/>
      <c r="W1553" s="1"/>
      <c r="X1553" s="1"/>
      <c r="Y1553" s="1"/>
    </row>
    <row r="1554" spans="2:25">
      <c r="G1554" s="62" t="s">
        <v>167</v>
      </c>
      <c r="I1554" s="48"/>
      <c r="J1554" s="118"/>
      <c r="K1554" s="118"/>
      <c r="L1554" s="118"/>
      <c r="M1554" s="118"/>
      <c r="N1554" s="151"/>
      <c r="O1554" s="121"/>
      <c r="P1554" s="60"/>
      <c r="Q1554" s="60"/>
      <c r="R1554" s="60"/>
      <c r="S1554" s="330"/>
      <c r="T1554" s="60"/>
      <c r="U1554" s="128"/>
      <c r="W1554" s="1"/>
      <c r="X1554" s="1"/>
      <c r="Y1554" s="1"/>
    </row>
    <row r="1555" spans="2:25">
      <c r="G1555" s="62" t="s">
        <v>168</v>
      </c>
      <c r="I1555" s="49"/>
      <c r="J1555" s="108"/>
      <c r="K1555" s="108"/>
      <c r="L1555" s="108"/>
      <c r="M1555" s="108"/>
      <c r="N1555" s="108"/>
      <c r="O1555" s="123"/>
      <c r="P1555" s="193"/>
      <c r="Q1555" s="108"/>
      <c r="R1555" s="108"/>
      <c r="S1555" s="325"/>
      <c r="T1555" s="108"/>
      <c r="U1555" s="459"/>
      <c r="W1555" s="1"/>
      <c r="X1555" s="1"/>
      <c r="Y1555" s="1"/>
    </row>
    <row r="1556" spans="2:25">
      <c r="B1556" s="1" t="s">
        <v>292</v>
      </c>
      <c r="G1556" s="26" t="s">
        <v>17</v>
      </c>
      <c r="I1556" s="138">
        <f xml:space="preserve"> I1549 - I1548</f>
        <v>0</v>
      </c>
      <c r="J1556" s="138">
        <f xml:space="preserve"> J1548 + J1551 - J1550 - J1549</f>
        <v>0</v>
      </c>
      <c r="K1556" s="138">
        <f>K1550 - K1551</f>
        <v>0</v>
      </c>
      <c r="L1556" s="138">
        <f t="shared" ref="L1556" si="674">L1550 - L1551</f>
        <v>0</v>
      </c>
      <c r="M1556" s="23">
        <f>M1549-M1550-M1551</f>
        <v>0</v>
      </c>
      <c r="N1556" s="23">
        <f>N1551-N1552-N1553</f>
        <v>-8543</v>
      </c>
      <c r="O1556" s="23">
        <f>O1553-O1554-O1555</f>
        <v>8543</v>
      </c>
      <c r="P1556" s="23">
        <f>P1555</f>
        <v>0</v>
      </c>
      <c r="Q1556" s="23">
        <f t="shared" ref="Q1556:S1556" si="675">Q1555</f>
        <v>0</v>
      </c>
      <c r="R1556" s="23">
        <f t="shared" si="675"/>
        <v>0</v>
      </c>
      <c r="S1556" s="321">
        <f t="shared" si="675"/>
        <v>0</v>
      </c>
      <c r="T1556" s="23">
        <f t="shared" ref="T1556:U1556" si="676">T1555</f>
        <v>0</v>
      </c>
      <c r="U1556" s="23">
        <f t="shared" si="676"/>
        <v>0</v>
      </c>
      <c r="W1556" s="1"/>
      <c r="X1556" s="1"/>
      <c r="Y1556" s="1"/>
    </row>
    <row r="1557" spans="2:25">
      <c r="G1557" s="6"/>
      <c r="I1557" s="7"/>
      <c r="J1557" s="7"/>
      <c r="K1557" s="7"/>
      <c r="L1557" s="7"/>
      <c r="M1557" s="7"/>
      <c r="N1557" s="7"/>
      <c r="O1557" s="7"/>
      <c r="P1557" s="7"/>
      <c r="Q1557" s="7"/>
      <c r="R1557" s="7"/>
      <c r="S1557" s="320"/>
      <c r="T1557" s="7"/>
      <c r="U1557" s="7"/>
      <c r="W1557" s="1"/>
      <c r="X1557" s="1"/>
      <c r="Y1557" s="1"/>
    </row>
    <row r="1558" spans="2:25">
      <c r="G1558" s="26" t="s">
        <v>12</v>
      </c>
      <c r="H1558" s="57"/>
      <c r="I1558" s="155"/>
      <c r="J1558" s="156"/>
      <c r="K1558" s="156"/>
      <c r="L1558" s="156"/>
      <c r="M1558" s="156"/>
      <c r="N1558" s="156"/>
      <c r="O1558" s="156"/>
      <c r="P1558" s="156"/>
      <c r="Q1558" s="156"/>
      <c r="R1558" s="156"/>
      <c r="S1558" s="326"/>
      <c r="T1558" s="156"/>
      <c r="U1558" s="267"/>
      <c r="W1558" s="1"/>
      <c r="X1558" s="1"/>
      <c r="Y1558" s="1"/>
    </row>
    <row r="1559" spans="2:25">
      <c r="G1559" s="6"/>
      <c r="I1559" s="154"/>
      <c r="J1559" s="154"/>
      <c r="K1559" s="154"/>
      <c r="L1559" s="154"/>
      <c r="M1559" s="154"/>
      <c r="N1559" s="154"/>
      <c r="O1559" s="154"/>
      <c r="P1559" s="154"/>
      <c r="Q1559" s="154"/>
      <c r="R1559" s="154"/>
      <c r="S1559" s="327"/>
      <c r="T1559" s="154"/>
      <c r="U1559" s="154"/>
      <c r="W1559" s="1"/>
      <c r="X1559" s="1"/>
      <c r="Y1559" s="1"/>
    </row>
    <row r="1560" spans="2:25" ht="18.75">
      <c r="C1560" s="1" t="s">
        <v>292</v>
      </c>
      <c r="D1560" s="1" t="s">
        <v>293</v>
      </c>
      <c r="E1560" s="1" t="s">
        <v>107</v>
      </c>
      <c r="F1560" s="9" t="s">
        <v>26</v>
      </c>
      <c r="H1560" s="57"/>
      <c r="I1560" s="157">
        <f xml:space="preserve"> I1529 + I1534 - I1540 + I1556 + I1558</f>
        <v>0</v>
      </c>
      <c r="J1560" s="158">
        <f xml:space="preserve"> J1529 + J1534 - J1540 + J1556 + J1558</f>
        <v>0</v>
      </c>
      <c r="K1560" s="158">
        <f xml:space="preserve"> K1529 + K1534 - K1540 + K1556 + K1558</f>
        <v>0</v>
      </c>
      <c r="L1560" s="158">
        <f t="shared" ref="L1560:S1560" si="677" xml:space="preserve"> L1529 + L1534 - L1540 + L1556 + L1558</f>
        <v>0</v>
      </c>
      <c r="M1560" s="158">
        <f t="shared" si="677"/>
        <v>0</v>
      </c>
      <c r="N1560" s="158">
        <f t="shared" si="677"/>
        <v>0</v>
      </c>
      <c r="O1560" s="158">
        <f t="shared" si="677"/>
        <v>8543</v>
      </c>
      <c r="P1560" s="158">
        <f t="shared" si="677"/>
        <v>0</v>
      </c>
      <c r="Q1560" s="158">
        <f t="shared" si="677"/>
        <v>0</v>
      </c>
      <c r="R1560" s="158">
        <f t="shared" si="677"/>
        <v>0</v>
      </c>
      <c r="S1560" s="328">
        <f t="shared" si="677"/>
        <v>0</v>
      </c>
      <c r="T1560" s="158">
        <f t="shared" ref="T1560:U1560" si="678" xml:space="preserve"> T1529 + T1534 - T1540 + T1556 + T1558</f>
        <v>0</v>
      </c>
      <c r="U1560" s="268">
        <f t="shared" si="678"/>
        <v>0</v>
      </c>
      <c r="W1560" s="1"/>
      <c r="X1560" s="1"/>
      <c r="Y1560" s="1"/>
    </row>
    <row r="1561" spans="2:25">
      <c r="G1561" s="6"/>
      <c r="I1561" s="7"/>
      <c r="J1561" s="7"/>
      <c r="K1561" s="7"/>
      <c r="L1561" s="23"/>
      <c r="M1561" s="23"/>
      <c r="N1561" s="23"/>
      <c r="O1561" s="23"/>
      <c r="P1561" s="23"/>
      <c r="Q1561" s="23"/>
      <c r="R1561" s="23"/>
      <c r="S1561" s="321"/>
      <c r="T1561" s="23"/>
      <c r="U1561" s="23"/>
      <c r="W1561" s="1"/>
      <c r="X1561" s="1"/>
      <c r="Y1561" s="1"/>
    </row>
    <row r="1562" spans="2:25" ht="15.75" thickBot="1">
      <c r="W1562" s="1"/>
      <c r="X1562" s="1"/>
      <c r="Y1562" s="1"/>
    </row>
    <row r="1563" spans="2:25" s="341" customFormat="1" thickBot="1">
      <c r="F1563" s="342"/>
      <c r="G1563" s="342"/>
      <c r="H1563" s="342"/>
      <c r="I1563" s="342"/>
      <c r="J1563" s="342"/>
      <c r="K1563" s="342"/>
      <c r="L1563" s="342"/>
      <c r="M1563" s="342"/>
      <c r="N1563" s="342"/>
      <c r="O1563" s="342"/>
      <c r="P1563" s="342"/>
      <c r="Q1563" s="342"/>
      <c r="R1563" s="342"/>
      <c r="S1563" s="343"/>
      <c r="T1563" s="342"/>
      <c r="U1563" s="342"/>
    </row>
    <row r="1564" spans="2:25" s="341" customFormat="1" ht="21" thickBot="1">
      <c r="F1564" s="349" t="s">
        <v>4</v>
      </c>
      <c r="G1564" s="349"/>
      <c r="H1564" s="350" t="s">
        <v>257</v>
      </c>
      <c r="I1564" s="344"/>
      <c r="S1564" s="345"/>
    </row>
    <row r="1565" spans="2:25" s="341" customFormat="1" ht="14.25">
      <c r="F1565" s="351"/>
      <c r="G1565" s="351"/>
      <c r="H1565" s="351"/>
      <c r="S1565" s="345"/>
    </row>
    <row r="1566" spans="2:25" s="341" customFormat="1" ht="18">
      <c r="F1566" s="352" t="s">
        <v>21</v>
      </c>
      <c r="G1566" s="352"/>
      <c r="H1566" s="351"/>
      <c r="I1566" s="360">
        <v>2011</v>
      </c>
      <c r="J1566" s="360">
        <f>I1566+1</f>
        <v>2012</v>
      </c>
      <c r="K1566" s="360">
        <f t="shared" ref="K1566" si="679">J1566+1</f>
        <v>2013</v>
      </c>
      <c r="L1566" s="360">
        <f t="shared" ref="L1566" si="680">K1566+1</f>
        <v>2014</v>
      </c>
      <c r="M1566" s="360">
        <f t="shared" ref="M1566" si="681">L1566+1</f>
        <v>2015</v>
      </c>
      <c r="N1566" s="360">
        <f t="shared" ref="N1566" si="682">M1566+1</f>
        <v>2016</v>
      </c>
      <c r="O1566" s="360">
        <f t="shared" ref="O1566" si="683">N1566+1</f>
        <v>2017</v>
      </c>
      <c r="P1566" s="360">
        <f t="shared" ref="P1566" si="684">O1566+1</f>
        <v>2018</v>
      </c>
      <c r="Q1566" s="360">
        <f t="shared" ref="Q1566" si="685">P1566+1</f>
        <v>2019</v>
      </c>
      <c r="R1566" s="360">
        <f t="shared" ref="R1566" si="686">Q1566+1</f>
        <v>2020</v>
      </c>
      <c r="S1566" s="361">
        <f>R1566+1</f>
        <v>2021</v>
      </c>
      <c r="T1566" s="360">
        <f>S1566+1</f>
        <v>2022</v>
      </c>
      <c r="U1566" s="360">
        <f>T1566+1</f>
        <v>2023</v>
      </c>
    </row>
    <row r="1567" spans="2:25" s="341" customFormat="1" ht="14.25">
      <c r="F1567" s="351"/>
      <c r="G1567" s="353" t="str">
        <f>"Total MWh Produced / Purchased from " &amp; H1564</f>
        <v>Total MWh Produced / Purchased from Latigo</v>
      </c>
      <c r="H1567" s="354"/>
      <c r="I1567" s="362"/>
      <c r="J1567" s="363"/>
      <c r="K1567" s="363"/>
      <c r="L1567" s="363"/>
      <c r="M1567" s="363"/>
      <c r="N1567" s="363"/>
      <c r="O1567" s="363"/>
      <c r="P1567" s="363"/>
      <c r="Q1567" s="363"/>
      <c r="R1567" s="363"/>
      <c r="S1567" s="364">
        <v>161054</v>
      </c>
      <c r="T1567" s="363">
        <v>0</v>
      </c>
      <c r="U1567" s="460">
        <v>0</v>
      </c>
    </row>
    <row r="1568" spans="2:25" s="341" customFormat="1" ht="14.25">
      <c r="F1568" s="351"/>
      <c r="G1568" s="353" t="s">
        <v>25</v>
      </c>
      <c r="H1568" s="354"/>
      <c r="I1568" s="365"/>
      <c r="J1568" s="366"/>
      <c r="K1568" s="366"/>
      <c r="L1568" s="366"/>
      <c r="M1568" s="366"/>
      <c r="N1568" s="366"/>
      <c r="O1568" s="366"/>
      <c r="P1568" s="366"/>
      <c r="Q1568" s="366"/>
      <c r="R1568" s="366"/>
      <c r="S1568" s="367">
        <v>1</v>
      </c>
      <c r="T1568" s="366">
        <v>1</v>
      </c>
      <c r="U1568" s="461">
        <v>1</v>
      </c>
    </row>
    <row r="1569" spans="1:21" s="341" customFormat="1" ht="14.25">
      <c r="F1569" s="351"/>
      <c r="G1569" s="353" t="s">
        <v>20</v>
      </c>
      <c r="H1569" s="354"/>
      <c r="I1569" s="368"/>
      <c r="J1569" s="369"/>
      <c r="K1569" s="369"/>
      <c r="L1569" s="369"/>
      <c r="M1569" s="369"/>
      <c r="N1569" s="369"/>
      <c r="O1569" s="369"/>
      <c r="P1569" s="369"/>
      <c r="Q1569" s="369"/>
      <c r="R1569" s="369"/>
      <c r="S1569" s="370">
        <v>0</v>
      </c>
      <c r="T1569" s="369">
        <v>0</v>
      </c>
      <c r="U1569" s="369">
        <v>0</v>
      </c>
    </row>
    <row r="1570" spans="1:21" s="341" customFormat="1" ht="14.25">
      <c r="A1570" s="489" t="s">
        <v>220</v>
      </c>
      <c r="F1570" s="351"/>
      <c r="G1570" s="355" t="s">
        <v>22</v>
      </c>
      <c r="H1570" s="356"/>
      <c r="I1570" s="371">
        <v>0</v>
      </c>
      <c r="J1570" s="371">
        <v>0</v>
      </c>
      <c r="K1570" s="371">
        <v>0</v>
      </c>
      <c r="L1570" s="371">
        <v>0</v>
      </c>
      <c r="M1570" s="371">
        <v>0</v>
      </c>
      <c r="N1570" s="372">
        <v>0</v>
      </c>
      <c r="O1570" s="372">
        <v>0</v>
      </c>
      <c r="P1570" s="372">
        <v>0</v>
      </c>
      <c r="Q1570" s="372">
        <f>Q1567*Q1569</f>
        <v>0</v>
      </c>
      <c r="R1570" s="372">
        <f>R1567*R1569</f>
        <v>0</v>
      </c>
      <c r="S1570" s="373">
        <f>S1567*S1569</f>
        <v>0</v>
      </c>
      <c r="T1570" s="372">
        <f>T1567*T1569</f>
        <v>0</v>
      </c>
      <c r="U1570" s="372">
        <f>U1567*U1569</f>
        <v>0</v>
      </c>
    </row>
    <row r="1571" spans="1:21" s="341" customFormat="1" ht="14.25">
      <c r="F1571" s="351"/>
      <c r="G1571" s="351"/>
      <c r="H1571" s="351"/>
      <c r="I1571" s="374"/>
      <c r="J1571" s="374"/>
      <c r="K1571" s="374"/>
      <c r="L1571" s="374"/>
      <c r="M1571" s="374"/>
      <c r="N1571" s="375"/>
      <c r="O1571" s="375"/>
      <c r="P1571" s="375"/>
      <c r="Q1571" s="375"/>
      <c r="R1571" s="375"/>
      <c r="S1571" s="376"/>
      <c r="T1571" s="375"/>
      <c r="U1571" s="375"/>
    </row>
    <row r="1572" spans="1:21" s="341" customFormat="1" ht="18">
      <c r="F1572" s="352" t="s">
        <v>118</v>
      </c>
      <c r="G1572" s="351"/>
      <c r="H1572" s="351"/>
      <c r="I1572" s="360">
        <v>2011</v>
      </c>
      <c r="J1572" s="360">
        <f>I1572+1</f>
        <v>2012</v>
      </c>
      <c r="K1572" s="360">
        <f t="shared" ref="K1572" si="687">J1572+1</f>
        <v>2013</v>
      </c>
      <c r="L1572" s="360">
        <f t="shared" ref="L1572" si="688">K1572+1</f>
        <v>2014</v>
      </c>
      <c r="M1572" s="360">
        <f t="shared" ref="M1572" si="689">L1572+1</f>
        <v>2015</v>
      </c>
      <c r="N1572" s="360">
        <f t="shared" ref="N1572" si="690">M1572+1</f>
        <v>2016</v>
      </c>
      <c r="O1572" s="360">
        <f t="shared" ref="O1572" si="691">N1572+1</f>
        <v>2017</v>
      </c>
      <c r="P1572" s="360">
        <f t="shared" ref="P1572" si="692">O1572+1</f>
        <v>2018</v>
      </c>
      <c r="Q1572" s="360">
        <f t="shared" ref="Q1572" si="693">P1572+1</f>
        <v>2019</v>
      </c>
      <c r="R1572" s="360">
        <f t="shared" ref="R1572" si="694">Q1572+1</f>
        <v>2020</v>
      </c>
      <c r="S1572" s="361">
        <f>R1572+1</f>
        <v>2021</v>
      </c>
      <c r="T1572" s="360">
        <f>S1572+1</f>
        <v>2022</v>
      </c>
      <c r="U1572" s="360">
        <f>T1572+1</f>
        <v>2023</v>
      </c>
    </row>
    <row r="1573" spans="1:21" s="341" customFormat="1" ht="14.25">
      <c r="F1573" s="351"/>
      <c r="G1573" s="353" t="s">
        <v>10</v>
      </c>
      <c r="H1573" s="354"/>
      <c r="I1573" s="377">
        <f>IF($J36 = "Eligible", I1570 * 'Facility Detail'!$G$3257, 0 )</f>
        <v>0</v>
      </c>
      <c r="J1573" s="378">
        <f>IF($J36 = "Eligible", J1570 * 'Facility Detail'!$G$3257, 0 )</f>
        <v>0</v>
      </c>
      <c r="K1573" s="378">
        <f>IF($J36 = "Eligible", K1570 * 'Facility Detail'!$G$3257, 0 )</f>
        <v>0</v>
      </c>
      <c r="L1573" s="378">
        <f>IF($J36 = "Eligible", L1570 * 'Facility Detail'!$G$3257, 0 )</f>
        <v>0</v>
      </c>
      <c r="M1573" s="378">
        <f>IF($J36 = "Eligible", M1570 * 'Facility Detail'!$G$3257, 0 )</f>
        <v>0</v>
      </c>
      <c r="N1573" s="378">
        <f>IF($J36 = "Eligible", N1570 * 'Facility Detail'!$G$3257, 0 )</f>
        <v>0</v>
      </c>
      <c r="O1573" s="378">
        <f>IF($J36 = "Eligible", O1570 * 'Facility Detail'!$G$3257, 0 )</f>
        <v>0</v>
      </c>
      <c r="P1573" s="378">
        <f>IF($J36 = "Eligible", P1570 * 'Facility Detail'!$G$3257, 0 )</f>
        <v>0</v>
      </c>
      <c r="Q1573" s="378">
        <f>IF($J36 = "Eligible", Q1570 * 'Facility Detail'!$G$3257, 0 )</f>
        <v>0</v>
      </c>
      <c r="R1573" s="378">
        <f>IF($J36 = "Eligible", R1570 * 'Facility Detail'!$G$3257, 0 )</f>
        <v>0</v>
      </c>
      <c r="S1573" s="379">
        <f>IF($J36 = "Eligible", S1570 * 'Facility Detail'!$G$3257, 0 )</f>
        <v>0</v>
      </c>
      <c r="T1573" s="378">
        <f>IF($J36 = "Eligible", T1570 * 'Facility Detail'!$G$3257, 0 )</f>
        <v>0</v>
      </c>
      <c r="U1573" s="462">
        <f>IF($J36 = "Eligible", U1570 * 'Facility Detail'!$G$3257, 0 )</f>
        <v>0</v>
      </c>
    </row>
    <row r="1574" spans="1:21" s="341" customFormat="1" ht="14.25">
      <c r="F1574" s="351"/>
      <c r="G1574" s="353" t="s">
        <v>6</v>
      </c>
      <c r="H1574" s="354"/>
      <c r="I1574" s="380">
        <f t="shared" ref="I1574:U1574" si="695">IF($K36= "Eligible", I1570, 0 )</f>
        <v>0</v>
      </c>
      <c r="J1574" s="381">
        <f t="shared" si="695"/>
        <v>0</v>
      </c>
      <c r="K1574" s="381">
        <f t="shared" si="695"/>
        <v>0</v>
      </c>
      <c r="L1574" s="381">
        <f t="shared" si="695"/>
        <v>0</v>
      </c>
      <c r="M1574" s="381">
        <f t="shared" si="695"/>
        <v>0</v>
      </c>
      <c r="N1574" s="381">
        <f t="shared" si="695"/>
        <v>0</v>
      </c>
      <c r="O1574" s="381">
        <f t="shared" si="695"/>
        <v>0</v>
      </c>
      <c r="P1574" s="381">
        <f t="shared" si="695"/>
        <v>0</v>
      </c>
      <c r="Q1574" s="381">
        <f t="shared" si="695"/>
        <v>0</v>
      </c>
      <c r="R1574" s="381">
        <f t="shared" si="695"/>
        <v>0</v>
      </c>
      <c r="S1574" s="382">
        <f t="shared" si="695"/>
        <v>0</v>
      </c>
      <c r="T1574" s="381">
        <f t="shared" si="695"/>
        <v>0</v>
      </c>
      <c r="U1574" s="463">
        <f t="shared" si="695"/>
        <v>0</v>
      </c>
    </row>
    <row r="1575" spans="1:21" s="341" customFormat="1" ht="14.25">
      <c r="F1575" s="351"/>
      <c r="G1575" s="355" t="s">
        <v>120</v>
      </c>
      <c r="H1575" s="356"/>
      <c r="I1575" s="383">
        <f>SUM(I1573:I1574)</f>
        <v>0</v>
      </c>
      <c r="J1575" s="384">
        <f t="shared" ref="J1575:S1575" si="696">SUM(J1573:J1574)</f>
        <v>0</v>
      </c>
      <c r="K1575" s="384">
        <f t="shared" si="696"/>
        <v>0</v>
      </c>
      <c r="L1575" s="384">
        <f t="shared" si="696"/>
        <v>0</v>
      </c>
      <c r="M1575" s="384">
        <f t="shared" si="696"/>
        <v>0</v>
      </c>
      <c r="N1575" s="384">
        <f t="shared" si="696"/>
        <v>0</v>
      </c>
      <c r="O1575" s="384">
        <f t="shared" si="696"/>
        <v>0</v>
      </c>
      <c r="P1575" s="384">
        <f t="shared" si="696"/>
        <v>0</v>
      </c>
      <c r="Q1575" s="384">
        <f t="shared" si="696"/>
        <v>0</v>
      </c>
      <c r="R1575" s="384">
        <f t="shared" si="696"/>
        <v>0</v>
      </c>
      <c r="S1575" s="385">
        <f t="shared" si="696"/>
        <v>0</v>
      </c>
      <c r="T1575" s="384">
        <f t="shared" ref="T1575:U1575" si="697">SUM(T1573:T1574)</f>
        <v>0</v>
      </c>
      <c r="U1575" s="384">
        <f t="shared" si="697"/>
        <v>0</v>
      </c>
    </row>
    <row r="1576" spans="1:21" s="341" customFormat="1" ht="14.25">
      <c r="F1576" s="351"/>
      <c r="G1576" s="351"/>
      <c r="H1576" s="351"/>
      <c r="I1576" s="386"/>
      <c r="J1576" s="387"/>
      <c r="K1576" s="387"/>
      <c r="L1576" s="387"/>
      <c r="M1576" s="387"/>
      <c r="N1576" s="387"/>
      <c r="O1576" s="387"/>
      <c r="P1576" s="387"/>
      <c r="Q1576" s="387"/>
      <c r="R1576" s="387"/>
      <c r="S1576" s="388"/>
      <c r="T1576" s="387"/>
      <c r="U1576" s="387"/>
    </row>
    <row r="1577" spans="1:21" s="341" customFormat="1" ht="18">
      <c r="F1577" s="352" t="s">
        <v>30</v>
      </c>
      <c r="G1577" s="351"/>
      <c r="H1577" s="351"/>
      <c r="I1577" s="360">
        <v>2011</v>
      </c>
      <c r="J1577" s="360">
        <f>I1577+1</f>
        <v>2012</v>
      </c>
      <c r="K1577" s="360">
        <f t="shared" ref="K1577" si="698">J1577+1</f>
        <v>2013</v>
      </c>
      <c r="L1577" s="360">
        <f t="shared" ref="L1577" si="699">K1577+1</f>
        <v>2014</v>
      </c>
      <c r="M1577" s="360">
        <f t="shared" ref="M1577" si="700">L1577+1</f>
        <v>2015</v>
      </c>
      <c r="N1577" s="360">
        <f t="shared" ref="N1577" si="701">M1577+1</f>
        <v>2016</v>
      </c>
      <c r="O1577" s="360">
        <f t="shared" ref="O1577" si="702">N1577+1</f>
        <v>2017</v>
      </c>
      <c r="P1577" s="360">
        <f t="shared" ref="P1577" si="703">O1577+1</f>
        <v>2018</v>
      </c>
      <c r="Q1577" s="360">
        <f t="shared" ref="Q1577" si="704">P1577+1</f>
        <v>2019</v>
      </c>
      <c r="R1577" s="360">
        <f t="shared" ref="R1577" si="705">Q1577+1</f>
        <v>2020</v>
      </c>
      <c r="S1577" s="361">
        <f>R1577+1</f>
        <v>2021</v>
      </c>
      <c r="T1577" s="360">
        <f>S1577+1</f>
        <v>2022</v>
      </c>
      <c r="U1577" s="360">
        <f>T1577+1</f>
        <v>2023</v>
      </c>
    </row>
    <row r="1578" spans="1:21" s="341" customFormat="1" ht="14.25">
      <c r="F1578" s="351"/>
      <c r="G1578" s="353" t="s">
        <v>47</v>
      </c>
      <c r="H1578" s="354"/>
      <c r="I1578" s="389"/>
      <c r="J1578" s="390"/>
      <c r="K1578" s="390"/>
      <c r="L1578" s="390"/>
      <c r="M1578" s="390"/>
      <c r="N1578" s="390"/>
      <c r="O1578" s="390"/>
      <c r="P1578" s="390"/>
      <c r="Q1578" s="390"/>
      <c r="R1578" s="390"/>
      <c r="S1578" s="391"/>
      <c r="T1578" s="390"/>
      <c r="U1578" s="464"/>
    </row>
    <row r="1579" spans="1:21" s="341" customFormat="1" ht="14.25">
      <c r="F1579" s="351"/>
      <c r="G1579" s="357" t="s">
        <v>23</v>
      </c>
      <c r="H1579" s="358"/>
      <c r="I1579" s="392"/>
      <c r="J1579" s="393"/>
      <c r="K1579" s="393"/>
      <c r="L1579" s="393"/>
      <c r="M1579" s="393"/>
      <c r="N1579" s="393"/>
      <c r="O1579" s="393"/>
      <c r="P1579" s="393"/>
      <c r="Q1579" s="393"/>
      <c r="R1579" s="393"/>
      <c r="S1579" s="394"/>
      <c r="T1579" s="393"/>
      <c r="U1579" s="465"/>
    </row>
    <row r="1580" spans="1:21" s="341" customFormat="1" ht="14.25">
      <c r="F1580" s="351"/>
      <c r="G1580" s="357" t="s">
        <v>89</v>
      </c>
      <c r="H1580" s="359"/>
      <c r="I1580" s="395"/>
      <c r="J1580" s="396"/>
      <c r="K1580" s="396"/>
      <c r="L1580" s="396"/>
      <c r="M1580" s="396"/>
      <c r="N1580" s="396"/>
      <c r="O1580" s="396"/>
      <c r="P1580" s="396"/>
      <c r="Q1580" s="396"/>
      <c r="R1580" s="396"/>
      <c r="S1580" s="397"/>
      <c r="T1580" s="396"/>
      <c r="U1580" s="466"/>
    </row>
    <row r="1581" spans="1:21" s="341" customFormat="1" ht="14.25">
      <c r="F1581" s="351"/>
      <c r="G1581" s="355" t="s">
        <v>90</v>
      </c>
      <c r="H1581" s="351"/>
      <c r="I1581" s="398">
        <v>0</v>
      </c>
      <c r="J1581" s="398">
        <v>0</v>
      </c>
      <c r="K1581" s="398">
        <v>0</v>
      </c>
      <c r="L1581" s="398">
        <v>0</v>
      </c>
      <c r="M1581" s="398">
        <v>0</v>
      </c>
      <c r="N1581" s="398">
        <v>0</v>
      </c>
      <c r="O1581" s="398">
        <v>0</v>
      </c>
      <c r="P1581" s="398">
        <v>0</v>
      </c>
      <c r="Q1581" s="398">
        <v>0</v>
      </c>
      <c r="R1581" s="398">
        <v>0</v>
      </c>
      <c r="S1581" s="399">
        <v>0</v>
      </c>
      <c r="T1581" s="398">
        <v>0</v>
      </c>
      <c r="U1581" s="398">
        <v>0</v>
      </c>
    </row>
    <row r="1582" spans="1:21" s="341" customFormat="1" ht="14.25">
      <c r="F1582" s="351"/>
      <c r="G1582" s="356"/>
      <c r="H1582" s="351"/>
      <c r="I1582" s="398"/>
      <c r="J1582" s="398"/>
      <c r="K1582" s="398"/>
      <c r="L1582" s="400"/>
      <c r="M1582" s="400"/>
      <c r="N1582" s="400"/>
      <c r="O1582" s="400"/>
      <c r="P1582" s="400"/>
      <c r="Q1582" s="400"/>
      <c r="R1582" s="400"/>
      <c r="S1582" s="401"/>
      <c r="T1582" s="400"/>
      <c r="U1582" s="400"/>
    </row>
    <row r="1583" spans="1:21" s="341" customFormat="1" ht="18">
      <c r="F1583" s="352" t="s">
        <v>100</v>
      </c>
      <c r="G1583" s="351"/>
      <c r="H1583" s="351"/>
      <c r="I1583" s="360">
        <f>'Facility Detail'!$G$3260</f>
        <v>2011</v>
      </c>
      <c r="J1583" s="360">
        <f>I1583+1</f>
        <v>2012</v>
      </c>
      <c r="K1583" s="360">
        <f t="shared" ref="K1583" si="706">J1583+1</f>
        <v>2013</v>
      </c>
      <c r="L1583" s="360">
        <f t="shared" ref="L1583" si="707">K1583+1</f>
        <v>2014</v>
      </c>
      <c r="M1583" s="360">
        <f t="shared" ref="M1583" si="708">L1583+1</f>
        <v>2015</v>
      </c>
      <c r="N1583" s="360">
        <f t="shared" ref="N1583" si="709">M1583+1</f>
        <v>2016</v>
      </c>
      <c r="O1583" s="360">
        <f t="shared" ref="O1583" si="710">N1583+1</f>
        <v>2017</v>
      </c>
      <c r="P1583" s="360">
        <f t="shared" ref="P1583" si="711">O1583+1</f>
        <v>2018</v>
      </c>
      <c r="Q1583" s="360">
        <f t="shared" ref="Q1583" si="712">P1583+1</f>
        <v>2019</v>
      </c>
      <c r="R1583" s="360">
        <f t="shared" ref="R1583" si="713">Q1583+1</f>
        <v>2020</v>
      </c>
      <c r="S1583" s="361">
        <f>R1583+1</f>
        <v>2021</v>
      </c>
      <c r="T1583" s="360">
        <f>S1583+1</f>
        <v>2022</v>
      </c>
      <c r="U1583" s="360">
        <f>T1583+1</f>
        <v>2023</v>
      </c>
    </row>
    <row r="1584" spans="1:21" s="341" customFormat="1" ht="14.25">
      <c r="F1584" s="351"/>
      <c r="G1584" s="353" t="s">
        <v>68</v>
      </c>
      <c r="H1584" s="354"/>
      <c r="I1584" s="362"/>
      <c r="J1584" s="402">
        <f>I1584</f>
        <v>0</v>
      </c>
      <c r="K1584" s="403"/>
      <c r="L1584" s="403"/>
      <c r="M1584" s="403"/>
      <c r="N1584" s="403"/>
      <c r="O1584" s="403"/>
      <c r="P1584" s="403"/>
      <c r="Q1584" s="403"/>
      <c r="R1584" s="403"/>
      <c r="S1584" s="404"/>
      <c r="T1584" s="467"/>
      <c r="U1584" s="468"/>
    </row>
    <row r="1585" spans="6:21" s="341" customFormat="1" ht="14.25">
      <c r="F1585" s="351"/>
      <c r="G1585" s="353" t="s">
        <v>69</v>
      </c>
      <c r="H1585" s="354"/>
      <c r="I1585" s="405">
        <f>J1585</f>
        <v>0</v>
      </c>
      <c r="J1585" s="406"/>
      <c r="K1585" s="407"/>
      <c r="L1585" s="407"/>
      <c r="M1585" s="407"/>
      <c r="N1585" s="407"/>
      <c r="O1585" s="407"/>
      <c r="P1585" s="407"/>
      <c r="Q1585" s="407"/>
      <c r="R1585" s="407"/>
      <c r="S1585" s="408"/>
      <c r="T1585" s="469"/>
      <c r="U1585" s="470"/>
    </row>
    <row r="1586" spans="6:21" s="341" customFormat="1" ht="14.25">
      <c r="F1586" s="351"/>
      <c r="G1586" s="353" t="s">
        <v>70</v>
      </c>
      <c r="H1586" s="354"/>
      <c r="I1586" s="409"/>
      <c r="J1586" s="406">
        <f>J1570</f>
        <v>0</v>
      </c>
      <c r="K1586" s="410">
        <f>J1586</f>
        <v>0</v>
      </c>
      <c r="L1586" s="407"/>
      <c r="M1586" s="407"/>
      <c r="N1586" s="407"/>
      <c r="O1586" s="407"/>
      <c r="P1586" s="407"/>
      <c r="Q1586" s="407"/>
      <c r="R1586" s="407"/>
      <c r="S1586" s="408"/>
      <c r="T1586" s="469"/>
      <c r="U1586" s="470"/>
    </row>
    <row r="1587" spans="6:21" s="341" customFormat="1" ht="14.25">
      <c r="F1587" s="351"/>
      <c r="G1587" s="353" t="s">
        <v>71</v>
      </c>
      <c r="H1587" s="354"/>
      <c r="I1587" s="409"/>
      <c r="J1587" s="410">
        <f>K1587</f>
        <v>0</v>
      </c>
      <c r="K1587" s="406"/>
      <c r="L1587" s="407"/>
      <c r="M1587" s="407"/>
      <c r="N1587" s="407"/>
      <c r="O1587" s="407"/>
      <c r="P1587" s="407"/>
      <c r="Q1587" s="407"/>
      <c r="R1587" s="407"/>
      <c r="S1587" s="408"/>
      <c r="T1587" s="469"/>
      <c r="U1587" s="470"/>
    </row>
    <row r="1588" spans="6:21" s="341" customFormat="1" ht="14.25">
      <c r="F1588" s="351"/>
      <c r="G1588" s="353" t="s">
        <v>170</v>
      </c>
      <c r="H1588" s="351"/>
      <c r="I1588" s="409"/>
      <c r="J1588" s="411"/>
      <c r="K1588" s="406">
        <f>K1570</f>
        <v>0</v>
      </c>
      <c r="L1588" s="412">
        <f>K1588</f>
        <v>0</v>
      </c>
      <c r="M1588" s="407"/>
      <c r="N1588" s="407"/>
      <c r="O1588" s="407"/>
      <c r="P1588" s="407"/>
      <c r="Q1588" s="407"/>
      <c r="R1588" s="407"/>
      <c r="S1588" s="408"/>
      <c r="T1588" s="471"/>
      <c r="U1588" s="472"/>
    </row>
    <row r="1589" spans="6:21" s="341" customFormat="1" ht="14.25">
      <c r="F1589" s="351"/>
      <c r="G1589" s="353" t="s">
        <v>171</v>
      </c>
      <c r="H1589" s="351"/>
      <c r="I1589" s="409"/>
      <c r="J1589" s="411"/>
      <c r="K1589" s="410">
        <f>L1589</f>
        <v>0</v>
      </c>
      <c r="L1589" s="406"/>
      <c r="M1589" s="407"/>
      <c r="N1589" s="407"/>
      <c r="O1589" s="407"/>
      <c r="P1589" s="407"/>
      <c r="Q1589" s="407"/>
      <c r="R1589" s="407"/>
      <c r="S1589" s="408"/>
      <c r="T1589" s="471"/>
      <c r="U1589" s="472"/>
    </row>
    <row r="1590" spans="6:21" s="341" customFormat="1" ht="14.25">
      <c r="F1590" s="351"/>
      <c r="G1590" s="353" t="s">
        <v>172</v>
      </c>
      <c r="H1590" s="351"/>
      <c r="I1590" s="409"/>
      <c r="J1590" s="411"/>
      <c r="K1590" s="411"/>
      <c r="L1590" s="406">
        <f>L1570</f>
        <v>0</v>
      </c>
      <c r="M1590" s="412">
        <f>L1590</f>
        <v>0</v>
      </c>
      <c r="N1590" s="411"/>
      <c r="O1590" s="407"/>
      <c r="P1590" s="407"/>
      <c r="Q1590" s="407"/>
      <c r="R1590" s="407"/>
      <c r="S1590" s="408"/>
      <c r="T1590" s="471"/>
      <c r="U1590" s="472"/>
    </row>
    <row r="1591" spans="6:21" s="341" customFormat="1" ht="14.25">
      <c r="F1591" s="351"/>
      <c r="G1591" s="353" t="s">
        <v>173</v>
      </c>
      <c r="H1591" s="351"/>
      <c r="I1591" s="409"/>
      <c r="J1591" s="411"/>
      <c r="K1591" s="411"/>
      <c r="L1591" s="410"/>
      <c r="M1591" s="406"/>
      <c r="N1591" s="411"/>
      <c r="O1591" s="407"/>
      <c r="P1591" s="407"/>
      <c r="Q1591" s="407"/>
      <c r="R1591" s="407"/>
      <c r="S1591" s="408"/>
      <c r="T1591" s="471"/>
      <c r="U1591" s="472"/>
    </row>
    <row r="1592" spans="6:21" s="341" customFormat="1" ht="14.25">
      <c r="F1592" s="351"/>
      <c r="G1592" s="353" t="s">
        <v>174</v>
      </c>
      <c r="H1592" s="351"/>
      <c r="I1592" s="409"/>
      <c r="J1592" s="411"/>
      <c r="K1592" s="411"/>
      <c r="L1592" s="411"/>
      <c r="M1592" s="406">
        <v>0</v>
      </c>
      <c r="N1592" s="412">
        <f>M1592</f>
        <v>0</v>
      </c>
      <c r="O1592" s="407"/>
      <c r="P1592" s="407"/>
      <c r="Q1592" s="407"/>
      <c r="R1592" s="407"/>
      <c r="S1592" s="408"/>
      <c r="T1592" s="471"/>
      <c r="U1592" s="472"/>
    </row>
    <row r="1593" spans="6:21" s="341" customFormat="1" ht="14.25">
      <c r="F1593" s="351"/>
      <c r="G1593" s="353" t="s">
        <v>175</v>
      </c>
      <c r="H1593" s="351"/>
      <c r="I1593" s="409"/>
      <c r="J1593" s="411"/>
      <c r="K1593" s="411"/>
      <c r="L1593" s="411"/>
      <c r="M1593" s="410"/>
      <c r="N1593" s="406"/>
      <c r="O1593" s="407"/>
      <c r="P1593" s="407"/>
      <c r="Q1593" s="407"/>
      <c r="R1593" s="407"/>
      <c r="S1593" s="408"/>
      <c r="T1593" s="471"/>
      <c r="U1593" s="472"/>
    </row>
    <row r="1594" spans="6:21" s="341" customFormat="1" ht="14.25">
      <c r="F1594" s="351"/>
      <c r="G1594" s="353" t="s">
        <v>176</v>
      </c>
      <c r="H1594" s="351"/>
      <c r="I1594" s="409"/>
      <c r="J1594" s="411"/>
      <c r="K1594" s="411"/>
      <c r="L1594" s="411"/>
      <c r="M1594" s="411"/>
      <c r="N1594" s="413">
        <f>N1570</f>
        <v>0</v>
      </c>
      <c r="O1594" s="414">
        <f>N1594</f>
        <v>0</v>
      </c>
      <c r="P1594" s="407"/>
      <c r="Q1594" s="407"/>
      <c r="R1594" s="407"/>
      <c r="S1594" s="408"/>
      <c r="T1594" s="471"/>
      <c r="U1594" s="472"/>
    </row>
    <row r="1595" spans="6:21" s="341" customFormat="1" ht="14.25">
      <c r="F1595" s="351"/>
      <c r="G1595" s="353" t="s">
        <v>167</v>
      </c>
      <c r="H1595" s="351"/>
      <c r="I1595" s="409"/>
      <c r="J1595" s="411"/>
      <c r="K1595" s="411"/>
      <c r="L1595" s="411"/>
      <c r="M1595" s="411"/>
      <c r="N1595" s="415"/>
      <c r="O1595" s="416"/>
      <c r="P1595" s="407"/>
      <c r="Q1595" s="407"/>
      <c r="R1595" s="407"/>
      <c r="S1595" s="408"/>
      <c r="T1595" s="471"/>
      <c r="U1595" s="472"/>
    </row>
    <row r="1596" spans="6:21" s="341" customFormat="1" ht="14.25">
      <c r="F1596" s="351"/>
      <c r="G1596" s="353" t="s">
        <v>168</v>
      </c>
      <c r="H1596" s="351"/>
      <c r="I1596" s="409"/>
      <c r="J1596" s="411"/>
      <c r="K1596" s="411"/>
      <c r="L1596" s="411"/>
      <c r="M1596" s="411"/>
      <c r="N1596" s="411"/>
      <c r="O1596" s="416">
        <f>O1570</f>
        <v>0</v>
      </c>
      <c r="P1596" s="414">
        <f>O1596</f>
        <v>0</v>
      </c>
      <c r="Q1596" s="407"/>
      <c r="R1596" s="407"/>
      <c r="S1596" s="408"/>
      <c r="T1596" s="471"/>
      <c r="U1596" s="472"/>
    </row>
    <row r="1597" spans="6:21" s="341" customFormat="1" ht="14.25">
      <c r="F1597" s="351"/>
      <c r="G1597" s="353" t="s">
        <v>185</v>
      </c>
      <c r="H1597" s="351"/>
      <c r="I1597" s="409"/>
      <c r="J1597" s="411"/>
      <c r="K1597" s="411"/>
      <c r="L1597" s="411"/>
      <c r="M1597" s="411"/>
      <c r="N1597" s="411"/>
      <c r="O1597" s="414"/>
      <c r="P1597" s="416"/>
      <c r="Q1597" s="407"/>
      <c r="R1597" s="407"/>
      <c r="S1597" s="408"/>
      <c r="T1597" s="471"/>
      <c r="U1597" s="472"/>
    </row>
    <row r="1598" spans="6:21" s="341" customFormat="1" ht="14.25">
      <c r="F1598" s="351"/>
      <c r="G1598" s="353" t="s">
        <v>186</v>
      </c>
      <c r="H1598" s="351"/>
      <c r="I1598" s="409"/>
      <c r="J1598" s="411"/>
      <c r="K1598" s="411"/>
      <c r="L1598" s="411"/>
      <c r="M1598" s="411"/>
      <c r="N1598" s="411"/>
      <c r="O1598" s="411"/>
      <c r="P1598" s="416"/>
      <c r="Q1598" s="410">
        <f>P1598</f>
        <v>0</v>
      </c>
      <c r="R1598" s="407"/>
      <c r="S1598" s="408"/>
      <c r="T1598" s="471"/>
      <c r="U1598" s="472"/>
    </row>
    <row r="1599" spans="6:21" s="341" customFormat="1" ht="14.25">
      <c r="F1599" s="351"/>
      <c r="G1599" s="353" t="s">
        <v>187</v>
      </c>
      <c r="H1599" s="351"/>
      <c r="I1599" s="409"/>
      <c r="J1599" s="411"/>
      <c r="K1599" s="411"/>
      <c r="L1599" s="411"/>
      <c r="M1599" s="411"/>
      <c r="N1599" s="411"/>
      <c r="O1599" s="411"/>
      <c r="P1599" s="414"/>
      <c r="Q1599" s="417"/>
      <c r="R1599" s="407"/>
      <c r="S1599" s="408"/>
      <c r="T1599" s="471"/>
      <c r="U1599" s="472"/>
    </row>
    <row r="1600" spans="6:21" s="341" customFormat="1" ht="14.25">
      <c r="F1600" s="351"/>
      <c r="G1600" s="353" t="s">
        <v>188</v>
      </c>
      <c r="H1600" s="351"/>
      <c r="I1600" s="409"/>
      <c r="J1600" s="411"/>
      <c r="K1600" s="411"/>
      <c r="L1600" s="411"/>
      <c r="M1600" s="411"/>
      <c r="N1600" s="411"/>
      <c r="O1600" s="411"/>
      <c r="P1600" s="411"/>
      <c r="Q1600" s="416"/>
      <c r="R1600" s="418">
        <f>Q1600</f>
        <v>0</v>
      </c>
      <c r="S1600" s="408"/>
      <c r="T1600" s="471"/>
      <c r="U1600" s="472"/>
    </row>
    <row r="1601" spans="2:25" s="341" customFormat="1" ht="14.25">
      <c r="F1601" s="351"/>
      <c r="G1601" s="353" t="s">
        <v>189</v>
      </c>
      <c r="H1601" s="351"/>
      <c r="I1601" s="409"/>
      <c r="J1601" s="411"/>
      <c r="K1601" s="411"/>
      <c r="L1601" s="411"/>
      <c r="M1601" s="411"/>
      <c r="N1601" s="411"/>
      <c r="O1601" s="411"/>
      <c r="P1601" s="411"/>
      <c r="Q1601" s="418">
        <f>R1570</f>
        <v>0</v>
      </c>
      <c r="R1601" s="419">
        <f>Q1601</f>
        <v>0</v>
      </c>
      <c r="S1601" s="408"/>
      <c r="T1601" s="471"/>
      <c r="U1601" s="472"/>
    </row>
    <row r="1602" spans="2:25" s="341" customFormat="1" ht="14.25">
      <c r="F1602" s="351"/>
      <c r="G1602" s="353" t="s">
        <v>190</v>
      </c>
      <c r="H1602" s="351"/>
      <c r="I1602" s="409"/>
      <c r="J1602" s="411"/>
      <c r="K1602" s="411"/>
      <c r="L1602" s="411"/>
      <c r="M1602" s="411"/>
      <c r="N1602" s="411"/>
      <c r="O1602" s="411"/>
      <c r="P1602" s="411"/>
      <c r="Q1602" s="411"/>
      <c r="R1602" s="419"/>
      <c r="S1602" s="420">
        <f>R1602</f>
        <v>0</v>
      </c>
      <c r="T1602" s="471"/>
      <c r="U1602" s="472"/>
    </row>
    <row r="1603" spans="2:25" s="341" customFormat="1" ht="14.25">
      <c r="F1603" s="351"/>
      <c r="G1603" s="353" t="s">
        <v>199</v>
      </c>
      <c r="H1603" s="351"/>
      <c r="I1603" s="409"/>
      <c r="J1603" s="411"/>
      <c r="K1603" s="411"/>
      <c r="L1603" s="411"/>
      <c r="M1603" s="411"/>
      <c r="N1603" s="411"/>
      <c r="O1603" s="411"/>
      <c r="P1603" s="411"/>
      <c r="Q1603" s="411"/>
      <c r="R1603" s="414"/>
      <c r="S1603" s="421">
        <v>0</v>
      </c>
      <c r="T1603" s="471"/>
      <c r="U1603" s="472"/>
    </row>
    <row r="1604" spans="2:25" s="341" customFormat="1" ht="14.25">
      <c r="F1604" s="351"/>
      <c r="G1604" s="353" t="s">
        <v>200</v>
      </c>
      <c r="H1604" s="351"/>
      <c r="I1604" s="409"/>
      <c r="J1604" s="411"/>
      <c r="K1604" s="411"/>
      <c r="L1604" s="411"/>
      <c r="M1604" s="411"/>
      <c r="N1604" s="411"/>
      <c r="O1604" s="411"/>
      <c r="P1604" s="411"/>
      <c r="Q1604" s="411"/>
      <c r="R1604" s="411"/>
      <c r="S1604" s="421">
        <v>0</v>
      </c>
      <c r="T1604" s="418">
        <f>S1604</f>
        <v>0</v>
      </c>
      <c r="U1604" s="472"/>
    </row>
    <row r="1605" spans="2:25" s="341" customFormat="1" ht="18" customHeight="1">
      <c r="F1605" s="351"/>
      <c r="G1605" s="353" t="s">
        <v>308</v>
      </c>
      <c r="H1605" s="351"/>
      <c r="I1605" s="409"/>
      <c r="J1605" s="411"/>
      <c r="K1605" s="411"/>
      <c r="L1605" s="411"/>
      <c r="M1605" s="411"/>
      <c r="N1605" s="411"/>
      <c r="O1605" s="411"/>
      <c r="P1605" s="411"/>
      <c r="Q1605" s="411"/>
      <c r="R1605" s="411"/>
      <c r="S1605" s="422">
        <f>T1605</f>
        <v>0</v>
      </c>
      <c r="T1605" s="419">
        <v>0</v>
      </c>
      <c r="U1605" s="472"/>
    </row>
    <row r="1606" spans="2:25" s="341" customFormat="1" ht="14.25">
      <c r="F1606" s="351"/>
      <c r="G1606" s="353" t="s">
        <v>307</v>
      </c>
      <c r="H1606" s="351"/>
      <c r="I1606" s="423"/>
      <c r="J1606" s="424"/>
      <c r="K1606" s="424"/>
      <c r="L1606" s="424"/>
      <c r="M1606" s="424"/>
      <c r="N1606" s="424"/>
      <c r="O1606" s="424"/>
      <c r="P1606" s="424"/>
      <c r="Q1606" s="424"/>
      <c r="R1606" s="424"/>
      <c r="S1606" s="425"/>
      <c r="T1606" s="419">
        <v>0</v>
      </c>
      <c r="U1606" s="473">
        <f>T1606</f>
        <v>0</v>
      </c>
    </row>
    <row r="1607" spans="2:25" s="341" customFormat="1" ht="14.25">
      <c r="F1607" s="351"/>
      <c r="G1607" s="353" t="s">
        <v>318</v>
      </c>
      <c r="H1607" s="351"/>
      <c r="I1607" s="423"/>
      <c r="J1607" s="424"/>
      <c r="K1607" s="424"/>
      <c r="L1607" s="424"/>
      <c r="M1607" s="424"/>
      <c r="N1607" s="424"/>
      <c r="O1607" s="424"/>
      <c r="P1607" s="424"/>
      <c r="Q1607" s="424"/>
      <c r="R1607" s="424"/>
      <c r="S1607" s="425"/>
      <c r="T1607" s="414">
        <f>U1607</f>
        <v>0</v>
      </c>
      <c r="U1607" s="474">
        <v>0</v>
      </c>
    </row>
    <row r="1608" spans="2:25" s="341" customFormat="1" ht="14.25">
      <c r="F1608" s="351"/>
      <c r="G1608" s="353" t="s">
        <v>319</v>
      </c>
      <c r="H1608" s="351"/>
      <c r="I1608" s="426"/>
      <c r="J1608" s="427"/>
      <c r="K1608" s="427"/>
      <c r="L1608" s="427"/>
      <c r="M1608" s="427"/>
      <c r="N1608" s="427"/>
      <c r="O1608" s="427"/>
      <c r="P1608" s="427"/>
      <c r="Q1608" s="427"/>
      <c r="R1608" s="427"/>
      <c r="S1608" s="428"/>
      <c r="T1608" s="427"/>
      <c r="U1608" s="475">
        <v>0</v>
      </c>
    </row>
    <row r="1609" spans="2:25" s="341" customFormat="1" ht="14.25">
      <c r="B1609" s="489" t="s">
        <v>220</v>
      </c>
      <c r="F1609" s="351"/>
      <c r="G1609" s="355" t="s">
        <v>17</v>
      </c>
      <c r="H1609" s="351"/>
      <c r="I1609" s="398">
        <f xml:space="preserve"> I1590 - I1589</f>
        <v>0</v>
      </c>
      <c r="J1609" s="398">
        <f xml:space="preserve"> J1589 + J1592 - J1591 - J1590</f>
        <v>0</v>
      </c>
      <c r="K1609" s="398">
        <f>K1591 - K1592</f>
        <v>0</v>
      </c>
      <c r="L1609" s="398">
        <f>L1591 - L1592</f>
        <v>0</v>
      </c>
      <c r="M1609" s="398">
        <f>M1590-M1591-M1592</f>
        <v>0</v>
      </c>
      <c r="N1609" s="398">
        <f>N1592-N1593-N1594</f>
        <v>0</v>
      </c>
      <c r="O1609" s="398">
        <f>O1594-O1595-O1596</f>
        <v>0</v>
      </c>
      <c r="P1609" s="429">
        <f>P1596-P1597-P1598</f>
        <v>0</v>
      </c>
      <c r="Q1609" s="429">
        <f>Q1598+Q1601-Q1600-Q1599</f>
        <v>0</v>
      </c>
      <c r="R1609" s="429">
        <f>R1600-R1601+R1603</f>
        <v>0</v>
      </c>
      <c r="S1609" s="399">
        <f>S1602-S1603+S1604-S1605</f>
        <v>0</v>
      </c>
      <c r="T1609" s="398">
        <f>T1604-T1605-T1606+T1607</f>
        <v>0</v>
      </c>
      <c r="U1609" s="398">
        <f>U1606-U1607-U1608</f>
        <v>0</v>
      </c>
    </row>
    <row r="1610" spans="2:25" s="341" customFormat="1" ht="14.25">
      <c r="F1610" s="351"/>
      <c r="G1610" s="356"/>
      <c r="H1610" s="351"/>
      <c r="I1610" s="429"/>
      <c r="J1610" s="429"/>
      <c r="K1610" s="429"/>
      <c r="L1610" s="429"/>
      <c r="M1610" s="429"/>
      <c r="N1610" s="429"/>
      <c r="O1610" s="429"/>
      <c r="P1610" s="429"/>
      <c r="Q1610" s="429"/>
      <c r="R1610" s="429"/>
      <c r="S1610" s="430"/>
      <c r="T1610" s="429"/>
      <c r="U1610" s="429"/>
    </row>
    <row r="1611" spans="2:25" s="341" customFormat="1" ht="14.25">
      <c r="F1611" s="351"/>
      <c r="G1611" s="355" t="s">
        <v>12</v>
      </c>
      <c r="H1611" s="354"/>
      <c r="I1611" s="431"/>
      <c r="J1611" s="432"/>
      <c r="K1611" s="432"/>
      <c r="L1611" s="432"/>
      <c r="M1611" s="432"/>
      <c r="N1611" s="432"/>
      <c r="O1611" s="432"/>
      <c r="P1611" s="432"/>
      <c r="Q1611" s="432"/>
      <c r="R1611" s="432"/>
      <c r="S1611" s="432"/>
      <c r="T1611" s="432"/>
      <c r="U1611" s="476"/>
    </row>
    <row r="1612" spans="2:25" s="341" customFormat="1" ht="14.25">
      <c r="F1612" s="351"/>
      <c r="G1612" s="356"/>
      <c r="H1612" s="351"/>
      <c r="I1612" s="429"/>
      <c r="J1612" s="429"/>
      <c r="K1612" s="429"/>
      <c r="L1612" s="429"/>
      <c r="M1612" s="429"/>
      <c r="N1612" s="429"/>
      <c r="O1612" s="429"/>
      <c r="P1612" s="429"/>
      <c r="Q1612" s="429"/>
      <c r="R1612" s="429"/>
      <c r="S1612" s="429"/>
      <c r="T1612" s="429"/>
      <c r="U1612" s="429"/>
    </row>
    <row r="1613" spans="2:25" s="341" customFormat="1" ht="18">
      <c r="C1613" s="489" t="s">
        <v>220</v>
      </c>
      <c r="D1613" s="489" t="s">
        <v>306</v>
      </c>
      <c r="E1613" s="489" t="s">
        <v>107</v>
      </c>
      <c r="F1613" s="352" t="s">
        <v>26</v>
      </c>
      <c r="G1613" s="351"/>
      <c r="H1613" s="354"/>
      <c r="I1613" s="433">
        <f t="shared" ref="I1613:S1613" si="714" xml:space="preserve"> I1570 + I1575 - I1581 + I1609 + I1611</f>
        <v>0</v>
      </c>
      <c r="J1613" s="434">
        <f t="shared" si="714"/>
        <v>0</v>
      </c>
      <c r="K1613" s="434">
        <f t="shared" si="714"/>
        <v>0</v>
      </c>
      <c r="L1613" s="434">
        <f t="shared" si="714"/>
        <v>0</v>
      </c>
      <c r="M1613" s="434">
        <f t="shared" si="714"/>
        <v>0</v>
      </c>
      <c r="N1613" s="434">
        <f t="shared" si="714"/>
        <v>0</v>
      </c>
      <c r="O1613" s="434">
        <f t="shared" si="714"/>
        <v>0</v>
      </c>
      <c r="P1613" s="434">
        <f t="shared" si="714"/>
        <v>0</v>
      </c>
      <c r="Q1613" s="434">
        <f t="shared" si="714"/>
        <v>0</v>
      </c>
      <c r="R1613" s="434">
        <f t="shared" si="714"/>
        <v>0</v>
      </c>
      <c r="S1613" s="435">
        <f t="shared" si="714"/>
        <v>0</v>
      </c>
      <c r="T1613" s="434">
        <f t="shared" ref="T1613:U1613" si="715" xml:space="preserve"> T1570 + T1575 - T1581 + T1609 + T1611</f>
        <v>0</v>
      </c>
      <c r="U1613" s="477">
        <f t="shared" si="715"/>
        <v>0</v>
      </c>
    </row>
    <row r="1614" spans="2:25" s="341" customFormat="1" thickBot="1">
      <c r="I1614" s="351"/>
      <c r="J1614" s="351"/>
      <c r="K1614" s="351"/>
      <c r="L1614" s="351"/>
      <c r="M1614" s="351"/>
      <c r="N1614" s="351"/>
      <c r="O1614" s="351"/>
      <c r="P1614" s="351"/>
      <c r="Q1614" s="351"/>
      <c r="R1614" s="351"/>
      <c r="S1614" s="436"/>
      <c r="T1614" s="351"/>
      <c r="U1614" s="351"/>
    </row>
    <row r="1615" spans="2:25">
      <c r="F1615" s="8"/>
      <c r="G1615" s="8"/>
      <c r="H1615" s="8"/>
      <c r="I1615" s="8"/>
      <c r="J1615" s="8"/>
      <c r="K1615" s="8"/>
      <c r="L1615" s="8"/>
      <c r="M1615" s="8"/>
      <c r="N1615" s="8"/>
      <c r="O1615" s="8"/>
      <c r="P1615" s="8"/>
      <c r="Q1615" s="8"/>
      <c r="R1615" s="8"/>
      <c r="S1615" s="290"/>
      <c r="T1615" s="8"/>
      <c r="U1615" s="8"/>
      <c r="W1615" s="1"/>
      <c r="X1615" s="1"/>
      <c r="Y1615" s="1"/>
    </row>
    <row r="1616" spans="2:25" ht="15.75" thickBot="1">
      <c r="W1616" s="1"/>
      <c r="X1616" s="1"/>
      <c r="Y1616" s="1"/>
    </row>
    <row r="1617" spans="1:25" ht="21.75" thickBot="1">
      <c r="F1617" s="13" t="s">
        <v>4</v>
      </c>
      <c r="G1617" s="13"/>
      <c r="H1617" s="175" t="s">
        <v>129</v>
      </c>
      <c r="I1617" s="184"/>
      <c r="W1617" s="1"/>
      <c r="X1617" s="1"/>
      <c r="Y1617" s="1"/>
    </row>
    <row r="1618" spans="1:25">
      <c r="S1618" s="1"/>
      <c r="W1618" s="1"/>
      <c r="X1618" s="1"/>
      <c r="Y1618" s="1"/>
    </row>
    <row r="1619" spans="1:25" ht="18.75">
      <c r="F1619" s="9" t="s">
        <v>21</v>
      </c>
      <c r="G1619" s="9"/>
      <c r="I1619" s="2">
        <f>'Facility Detail'!$G$3260</f>
        <v>2011</v>
      </c>
      <c r="J1619" s="2">
        <f t="shared" ref="J1619:P1619" si="716">I1619+1</f>
        <v>2012</v>
      </c>
      <c r="K1619" s="2">
        <f t="shared" si="716"/>
        <v>2013</v>
      </c>
      <c r="L1619" s="2">
        <f t="shared" si="716"/>
        <v>2014</v>
      </c>
      <c r="M1619" s="2">
        <f t="shared" si="716"/>
        <v>2015</v>
      </c>
      <c r="N1619" s="2">
        <f t="shared" si="716"/>
        <v>2016</v>
      </c>
      <c r="O1619" s="2">
        <f t="shared" si="716"/>
        <v>2017</v>
      </c>
      <c r="P1619" s="2">
        <f t="shared" si="716"/>
        <v>2018</v>
      </c>
      <c r="Q1619" s="2">
        <f t="shared" ref="Q1619" si="717">P1619+1</f>
        <v>2019</v>
      </c>
      <c r="R1619" s="2">
        <f t="shared" ref="R1619" si="718">Q1619+1</f>
        <v>2020</v>
      </c>
      <c r="S1619" s="2">
        <f>R1619+1</f>
        <v>2021</v>
      </c>
      <c r="T1619" s="2">
        <f>S1619+1</f>
        <v>2022</v>
      </c>
      <c r="U1619" s="2">
        <f>T1619+1</f>
        <v>2023</v>
      </c>
      <c r="W1619" s="1"/>
      <c r="X1619" s="1"/>
      <c r="Y1619" s="1"/>
    </row>
    <row r="1620" spans="1:25">
      <c r="G1620" s="62" t="str">
        <f>"Total MWh Produced / Purchased from " &amp; H1617</f>
        <v>Total MWh Produced / Purchased from Leaning Juniper</v>
      </c>
      <c r="H1620" s="57"/>
      <c r="I1620" s="3">
        <v>234789</v>
      </c>
      <c r="J1620" s="4">
        <v>190905</v>
      </c>
      <c r="K1620" s="4">
        <v>206164</v>
      </c>
      <c r="L1620" s="4">
        <v>215245</v>
      </c>
      <c r="M1620" s="4">
        <v>188567</v>
      </c>
      <c r="N1620" s="4">
        <v>202605</v>
      </c>
      <c r="O1620" s="4">
        <v>155685</v>
      </c>
      <c r="P1620" s="4">
        <v>201665</v>
      </c>
      <c r="Q1620" s="4">
        <v>167178</v>
      </c>
      <c r="R1620" s="4">
        <v>316351</v>
      </c>
      <c r="S1620" s="4">
        <v>293641</v>
      </c>
      <c r="T1620" s="4">
        <v>253408</v>
      </c>
      <c r="U1620" s="5">
        <v>278136</v>
      </c>
      <c r="W1620" s="1"/>
      <c r="X1620" s="1"/>
      <c r="Y1620" s="1"/>
    </row>
    <row r="1621" spans="1:25">
      <c r="G1621" s="62" t="s">
        <v>25</v>
      </c>
      <c r="H1621" s="57"/>
      <c r="I1621" s="269">
        <v>1</v>
      </c>
      <c r="J1621" s="41">
        <v>1</v>
      </c>
      <c r="K1621" s="41">
        <v>1</v>
      </c>
      <c r="L1621" s="41">
        <v>1</v>
      </c>
      <c r="M1621" s="41">
        <v>1</v>
      </c>
      <c r="N1621" s="41">
        <v>1</v>
      </c>
      <c r="O1621" s="41">
        <v>1</v>
      </c>
      <c r="P1621" s="41">
        <v>1</v>
      </c>
      <c r="Q1621" s="41">
        <v>1</v>
      </c>
      <c r="R1621" s="41">
        <v>1</v>
      </c>
      <c r="S1621" s="41">
        <v>1</v>
      </c>
      <c r="T1621" s="41">
        <v>1</v>
      </c>
      <c r="U1621" s="41">
        <v>1</v>
      </c>
      <c r="W1621" s="1"/>
      <c r="X1621" s="1"/>
      <c r="Y1621" s="1"/>
    </row>
    <row r="1622" spans="1:25">
      <c r="G1622" s="62" t="s">
        <v>20</v>
      </c>
      <c r="H1622" s="57"/>
      <c r="I1622" s="270">
        <v>7.8921000000000005E-2</v>
      </c>
      <c r="J1622" s="36">
        <v>7.9619999999999996E-2</v>
      </c>
      <c r="K1622" s="36">
        <v>7.8747999999999999E-2</v>
      </c>
      <c r="L1622" s="36">
        <v>8.0235000000000001E-2</v>
      </c>
      <c r="M1622" s="36">
        <v>8.0535999999999996E-2</v>
      </c>
      <c r="N1622" s="36">
        <v>8.1698151927344531E-2</v>
      </c>
      <c r="O1622" s="36">
        <v>8.0833713568703974E-2</v>
      </c>
      <c r="P1622" s="36">
        <v>7.9451999999999995E-2</v>
      </c>
      <c r="Q1622" s="36">
        <v>7.6724662968274293E-2</v>
      </c>
      <c r="R1622" s="36">
        <f>R1474</f>
        <v>8.1268700519883177E-2</v>
      </c>
      <c r="S1622" s="36">
        <f>S2</f>
        <v>7.9696892166366717E-2</v>
      </c>
      <c r="T1622" s="36">
        <f>T2</f>
        <v>7.8737918965874246E-2</v>
      </c>
      <c r="U1622" s="36">
        <f>U2</f>
        <v>7.8407467372863096E-2</v>
      </c>
      <c r="W1622" s="1"/>
      <c r="X1622" s="1"/>
      <c r="Y1622" s="1"/>
    </row>
    <row r="1623" spans="1:25">
      <c r="A1623" s="1" t="s">
        <v>129</v>
      </c>
      <c r="G1623" s="26" t="s">
        <v>22</v>
      </c>
      <c r="H1623" s="6"/>
      <c r="I1623" s="30">
        <v>18530</v>
      </c>
      <c r="J1623" s="30">
        <v>15200</v>
      </c>
      <c r="K1623" s="30">
        <v>16235</v>
      </c>
      <c r="L1623" s="30">
        <v>17270</v>
      </c>
      <c r="M1623" s="30">
        <v>15187</v>
      </c>
      <c r="N1623" s="161">
        <v>16552</v>
      </c>
      <c r="O1623" s="161">
        <v>12585</v>
      </c>
      <c r="P1623" s="161">
        <v>16022</v>
      </c>
      <c r="Q1623" s="161">
        <f>ROUND(Q1620*Q1622,0)</f>
        <v>12827</v>
      </c>
      <c r="R1623" s="161">
        <f xml:space="preserve"> R1620 * R1622</f>
        <v>25709.434678165562</v>
      </c>
      <c r="S1623" s="161">
        <f xml:space="preserve"> S1620 * S1622</f>
        <v>23402.275112624091</v>
      </c>
      <c r="T1623" s="161">
        <f xml:space="preserve"> T1620 * T1622</f>
        <v>19952.818569304261</v>
      </c>
      <c r="U1623" s="161">
        <f xml:space="preserve"> U1620 * U1622</f>
        <v>21807.939345218649</v>
      </c>
      <c r="W1623" s="1"/>
      <c r="X1623" s="1"/>
      <c r="Y1623" s="1"/>
    </row>
    <row r="1624" spans="1:25">
      <c r="I1624" s="29"/>
      <c r="J1624" s="29"/>
      <c r="K1624" s="29"/>
      <c r="L1624" s="29"/>
      <c r="M1624" s="29"/>
      <c r="N1624" s="20"/>
      <c r="O1624" s="20"/>
      <c r="P1624" s="20"/>
      <c r="Q1624" s="20"/>
      <c r="R1624" s="20"/>
      <c r="S1624" s="292"/>
      <c r="T1624" s="20"/>
      <c r="U1624" s="20"/>
      <c r="W1624" s="1"/>
      <c r="X1624" s="1"/>
      <c r="Y1624" s="1"/>
    </row>
    <row r="1625" spans="1:25" ht="18.75">
      <c r="F1625" s="9" t="s">
        <v>118</v>
      </c>
      <c r="I1625" s="2">
        <f>'Facility Detail'!$G$3260</f>
        <v>2011</v>
      </c>
      <c r="J1625" s="2">
        <f>I1625+1</f>
        <v>2012</v>
      </c>
      <c r="K1625" s="2">
        <f>J1625+1</f>
        <v>2013</v>
      </c>
      <c r="L1625" s="2">
        <f>L1619</f>
        <v>2014</v>
      </c>
      <c r="M1625" s="2">
        <f>M1619</f>
        <v>2015</v>
      </c>
      <c r="N1625" s="2">
        <f>N1619</f>
        <v>2016</v>
      </c>
      <c r="O1625" s="2">
        <f>O1619</f>
        <v>2017</v>
      </c>
      <c r="P1625" s="2">
        <f t="shared" ref="P1625:S1625" si="719">P1619</f>
        <v>2018</v>
      </c>
      <c r="Q1625" s="2">
        <f t="shared" si="719"/>
        <v>2019</v>
      </c>
      <c r="R1625" s="2">
        <f t="shared" si="719"/>
        <v>2020</v>
      </c>
      <c r="S1625" s="2">
        <f t="shared" si="719"/>
        <v>2021</v>
      </c>
      <c r="T1625" s="2">
        <f t="shared" ref="T1625:U1625" si="720">T1619</f>
        <v>2022</v>
      </c>
      <c r="U1625" s="2">
        <f t="shared" si="720"/>
        <v>2023</v>
      </c>
      <c r="W1625" s="1"/>
      <c r="X1625" s="1"/>
      <c r="Y1625" s="1"/>
    </row>
    <row r="1626" spans="1:25">
      <c r="G1626" s="62" t="s">
        <v>10</v>
      </c>
      <c r="H1626" s="57"/>
      <c r="I1626" s="38">
        <f>IF($J37 = "Eligible", I1623 * 'Facility Detail'!$G$3257, 0 )</f>
        <v>0</v>
      </c>
      <c r="J1626" s="11">
        <f>IF($J37 = "Eligible", J1623 * 'Facility Detail'!$G$3257, 0 )</f>
        <v>0</v>
      </c>
      <c r="K1626" s="11">
        <f>IF($J37 = "Eligible", K1623 * 'Facility Detail'!$G$3257, 0 )</f>
        <v>0</v>
      </c>
      <c r="L1626" s="11">
        <f>IF($J37 = "Eligible", L1623 * 'Facility Detail'!$G$3257, 0 )</f>
        <v>0</v>
      </c>
      <c r="M1626" s="11">
        <f>IF($J37 = "Eligible", M1623 * 'Facility Detail'!$G$3257, 0 )</f>
        <v>0</v>
      </c>
      <c r="N1626" s="11">
        <f>IF($J37 = "Eligible", N1623 * 'Facility Detail'!$G$3257, 0 )</f>
        <v>0</v>
      </c>
      <c r="O1626" s="11">
        <f>IF($J37 = "Eligible", O1623 * 'Facility Detail'!$G$3257, 0 )</f>
        <v>0</v>
      </c>
      <c r="P1626" s="11">
        <f>IF($J37 = "Eligible", P1623 * 'Facility Detail'!$G$3257, 0 )</f>
        <v>0</v>
      </c>
      <c r="Q1626" s="11">
        <f>IF($J37 = "Eligible", Q1623 * 'Facility Detail'!$G$3257, 0 )</f>
        <v>0</v>
      </c>
      <c r="R1626" s="11">
        <f>IF($J37 = "Eligible", R1623 * 'Facility Detail'!$G$3257, 0 )</f>
        <v>0</v>
      </c>
      <c r="S1626" s="11">
        <f>IF($J37 = "Eligible", S1623 * 'Facility Detail'!$G$3257, 0 )</f>
        <v>0</v>
      </c>
      <c r="T1626" s="11">
        <f>IF($J37 = "Eligible", T1623 * 'Facility Detail'!$G$3257, 0 )</f>
        <v>0</v>
      </c>
      <c r="U1626" s="223">
        <f>IF($J37 = "Eligible", U1623 * 'Facility Detail'!$G$3257, 0 )</f>
        <v>0</v>
      </c>
      <c r="W1626" s="1"/>
      <c r="X1626" s="1"/>
      <c r="Y1626" s="1"/>
    </row>
    <row r="1627" spans="1:25">
      <c r="G1627" s="62" t="s">
        <v>6</v>
      </c>
      <c r="H1627" s="57"/>
      <c r="I1627" s="39">
        <f t="shared" ref="I1627:U1627" si="721">IF($K37= "Eligible", I1623, 0 )</f>
        <v>0</v>
      </c>
      <c r="J1627" s="193">
        <f t="shared" si="721"/>
        <v>0</v>
      </c>
      <c r="K1627" s="193">
        <f t="shared" si="721"/>
        <v>0</v>
      </c>
      <c r="L1627" s="193">
        <f t="shared" si="721"/>
        <v>0</v>
      </c>
      <c r="M1627" s="193">
        <f t="shared" si="721"/>
        <v>0</v>
      </c>
      <c r="N1627" s="193">
        <f t="shared" si="721"/>
        <v>0</v>
      </c>
      <c r="O1627" s="193">
        <f t="shared" si="721"/>
        <v>0</v>
      </c>
      <c r="P1627" s="193">
        <f t="shared" si="721"/>
        <v>0</v>
      </c>
      <c r="Q1627" s="193">
        <f t="shared" si="721"/>
        <v>0</v>
      </c>
      <c r="R1627" s="193">
        <f t="shared" si="721"/>
        <v>0</v>
      </c>
      <c r="S1627" s="193">
        <f t="shared" si="721"/>
        <v>0</v>
      </c>
      <c r="T1627" s="193">
        <f t="shared" si="721"/>
        <v>0</v>
      </c>
      <c r="U1627" s="224">
        <f t="shared" si="721"/>
        <v>0</v>
      </c>
      <c r="W1627" s="1"/>
      <c r="X1627" s="1"/>
      <c r="Y1627" s="1"/>
    </row>
    <row r="1628" spans="1:25">
      <c r="G1628" s="26" t="s">
        <v>120</v>
      </c>
      <c r="H1628" s="6"/>
      <c r="I1628" s="32">
        <f>SUM(I1626:I1627)</f>
        <v>0</v>
      </c>
      <c r="J1628" s="33">
        <f t="shared" ref="J1628:S1628" si="722">SUM(J1626:J1627)</f>
        <v>0</v>
      </c>
      <c r="K1628" s="33">
        <f t="shared" si="722"/>
        <v>0</v>
      </c>
      <c r="L1628" s="33">
        <f t="shared" si="722"/>
        <v>0</v>
      </c>
      <c r="M1628" s="33">
        <f t="shared" si="722"/>
        <v>0</v>
      </c>
      <c r="N1628" s="33">
        <f t="shared" si="722"/>
        <v>0</v>
      </c>
      <c r="O1628" s="33">
        <f t="shared" si="722"/>
        <v>0</v>
      </c>
      <c r="P1628" s="33">
        <f t="shared" si="722"/>
        <v>0</v>
      </c>
      <c r="Q1628" s="33">
        <f t="shared" si="722"/>
        <v>0</v>
      </c>
      <c r="R1628" s="33">
        <f t="shared" si="722"/>
        <v>0</v>
      </c>
      <c r="S1628" s="33">
        <f t="shared" si="722"/>
        <v>0</v>
      </c>
      <c r="T1628" s="33">
        <f t="shared" ref="T1628:U1628" si="723">SUM(T1626:T1627)</f>
        <v>0</v>
      </c>
      <c r="U1628" s="33">
        <f t="shared" si="723"/>
        <v>0</v>
      </c>
      <c r="W1628" s="1"/>
      <c r="X1628" s="1"/>
      <c r="Y1628" s="1"/>
    </row>
    <row r="1629" spans="1:25">
      <c r="I1629" s="31"/>
      <c r="J1629" s="24"/>
      <c r="K1629" s="24"/>
      <c r="L1629" s="24"/>
      <c r="M1629" s="24"/>
      <c r="N1629" s="24"/>
      <c r="O1629" s="24"/>
      <c r="P1629" s="24"/>
      <c r="Q1629" s="24"/>
      <c r="R1629" s="24"/>
      <c r="S1629" s="24"/>
      <c r="T1629" s="24"/>
      <c r="U1629" s="24"/>
      <c r="W1629" s="1"/>
      <c r="X1629" s="1"/>
      <c r="Y1629" s="1"/>
    </row>
    <row r="1630" spans="1:25" ht="18.75">
      <c r="F1630" s="9" t="s">
        <v>30</v>
      </c>
      <c r="I1630" s="2">
        <f>'Facility Detail'!$G$3260</f>
        <v>2011</v>
      </c>
      <c r="J1630" s="2">
        <f>I1630+1</f>
        <v>2012</v>
      </c>
      <c r="K1630" s="2">
        <f>J1630+1</f>
        <v>2013</v>
      </c>
      <c r="L1630" s="2">
        <f>L1619</f>
        <v>2014</v>
      </c>
      <c r="M1630" s="2">
        <f>M1619</f>
        <v>2015</v>
      </c>
      <c r="N1630" s="2">
        <f>N1619</f>
        <v>2016</v>
      </c>
      <c r="O1630" s="2">
        <f>O1619</f>
        <v>2017</v>
      </c>
      <c r="P1630" s="2">
        <f t="shared" ref="P1630:S1630" si="724">P1619</f>
        <v>2018</v>
      </c>
      <c r="Q1630" s="2">
        <f t="shared" si="724"/>
        <v>2019</v>
      </c>
      <c r="R1630" s="2">
        <f t="shared" si="724"/>
        <v>2020</v>
      </c>
      <c r="S1630" s="2">
        <f t="shared" si="724"/>
        <v>2021</v>
      </c>
      <c r="T1630" s="2">
        <f t="shared" ref="T1630:U1630" si="725">T1619</f>
        <v>2022</v>
      </c>
      <c r="U1630" s="2">
        <f t="shared" si="725"/>
        <v>2023</v>
      </c>
      <c r="W1630" s="1"/>
      <c r="X1630" s="1"/>
      <c r="Y1630" s="1"/>
    </row>
    <row r="1631" spans="1:25">
      <c r="G1631" s="62" t="s">
        <v>47</v>
      </c>
      <c r="H1631" s="57"/>
      <c r="I1631" s="71"/>
      <c r="J1631" s="72"/>
      <c r="K1631" s="72"/>
      <c r="L1631" s="72"/>
      <c r="M1631" s="72"/>
      <c r="N1631" s="72"/>
      <c r="O1631" s="72"/>
      <c r="P1631" s="72"/>
      <c r="Q1631" s="72"/>
      <c r="R1631" s="72"/>
      <c r="S1631" s="72"/>
      <c r="T1631" s="72"/>
      <c r="U1631" s="73"/>
      <c r="W1631" s="1"/>
      <c r="X1631" s="1"/>
      <c r="Y1631" s="1"/>
    </row>
    <row r="1632" spans="1:25">
      <c r="G1632" s="63" t="s">
        <v>23</v>
      </c>
      <c r="H1632" s="135"/>
      <c r="I1632" s="74"/>
      <c r="J1632" s="75"/>
      <c r="K1632" s="75"/>
      <c r="L1632" s="75"/>
      <c r="M1632" s="75"/>
      <c r="N1632" s="75"/>
      <c r="O1632" s="75"/>
      <c r="P1632" s="75"/>
      <c r="Q1632" s="75"/>
      <c r="R1632" s="75"/>
      <c r="S1632" s="75"/>
      <c r="T1632" s="75"/>
      <c r="U1632" s="76"/>
      <c r="W1632" s="1"/>
      <c r="X1632" s="1"/>
      <c r="Y1632" s="1"/>
    </row>
    <row r="1633" spans="6:25">
      <c r="G1633" s="63" t="s">
        <v>89</v>
      </c>
      <c r="H1633" s="134"/>
      <c r="I1633" s="43"/>
      <c r="J1633" s="44"/>
      <c r="K1633" s="44"/>
      <c r="L1633" s="44"/>
      <c r="M1633" s="44"/>
      <c r="N1633" s="44"/>
      <c r="O1633" s="44"/>
      <c r="P1633" s="44"/>
      <c r="Q1633" s="44"/>
      <c r="R1633" s="44"/>
      <c r="S1633" s="44"/>
      <c r="T1633" s="44"/>
      <c r="U1633" s="45"/>
      <c r="W1633" s="1"/>
      <c r="X1633" s="1"/>
      <c r="Y1633" s="1"/>
    </row>
    <row r="1634" spans="6:25">
      <c r="G1634" s="26" t="s">
        <v>90</v>
      </c>
      <c r="I1634" s="7">
        <f t="shared" ref="I1634:O1634" si="726">SUM(I1631:I1633)</f>
        <v>0</v>
      </c>
      <c r="J1634" s="7">
        <f t="shared" si="726"/>
        <v>0</v>
      </c>
      <c r="K1634" s="7">
        <f t="shared" si="726"/>
        <v>0</v>
      </c>
      <c r="L1634" s="7">
        <f t="shared" si="726"/>
        <v>0</v>
      </c>
      <c r="M1634" s="7">
        <f t="shared" si="726"/>
        <v>0</v>
      </c>
      <c r="N1634" s="7">
        <f t="shared" si="726"/>
        <v>0</v>
      </c>
      <c r="O1634" s="7">
        <f t="shared" si="726"/>
        <v>0</v>
      </c>
      <c r="P1634" s="7">
        <f t="shared" ref="P1634:Q1634" si="727">SUM(P1631:P1633)</f>
        <v>0</v>
      </c>
      <c r="Q1634" s="7">
        <f t="shared" si="727"/>
        <v>0</v>
      </c>
      <c r="R1634" s="7">
        <f t="shared" ref="R1634:S1634" si="728">SUM(R1631:R1633)</f>
        <v>0</v>
      </c>
      <c r="S1634" s="7">
        <f t="shared" si="728"/>
        <v>0</v>
      </c>
      <c r="T1634" s="7">
        <f t="shared" ref="T1634:U1634" si="729">SUM(T1631:T1633)</f>
        <v>0</v>
      </c>
      <c r="U1634" s="7">
        <f t="shared" si="729"/>
        <v>0</v>
      </c>
      <c r="W1634" s="1"/>
      <c r="X1634" s="1"/>
      <c r="Y1634" s="1"/>
    </row>
    <row r="1635" spans="6:25">
      <c r="G1635" s="6"/>
      <c r="I1635" s="7"/>
      <c r="J1635" s="7"/>
      <c r="K1635" s="7"/>
      <c r="L1635" s="23"/>
      <c r="M1635" s="23"/>
      <c r="N1635" s="23"/>
      <c r="O1635" s="23"/>
      <c r="P1635" s="23"/>
      <c r="Q1635" s="23"/>
      <c r="R1635" s="23"/>
      <c r="S1635" s="23"/>
      <c r="T1635" s="23"/>
      <c r="U1635" s="23"/>
      <c r="W1635" s="1"/>
      <c r="X1635" s="1"/>
      <c r="Y1635" s="1"/>
    </row>
    <row r="1636" spans="6:25" ht="18.75">
      <c r="F1636" s="9" t="s">
        <v>100</v>
      </c>
      <c r="I1636" s="2">
        <f>'Facility Detail'!$G$3260</f>
        <v>2011</v>
      </c>
      <c r="J1636" s="2">
        <f t="shared" ref="J1636:P1636" si="730">I1636+1</f>
        <v>2012</v>
      </c>
      <c r="K1636" s="2">
        <f t="shared" si="730"/>
        <v>2013</v>
      </c>
      <c r="L1636" s="2">
        <f t="shared" si="730"/>
        <v>2014</v>
      </c>
      <c r="M1636" s="2">
        <f t="shared" si="730"/>
        <v>2015</v>
      </c>
      <c r="N1636" s="2">
        <f t="shared" si="730"/>
        <v>2016</v>
      </c>
      <c r="O1636" s="2">
        <f t="shared" si="730"/>
        <v>2017</v>
      </c>
      <c r="P1636" s="2">
        <f t="shared" si="730"/>
        <v>2018</v>
      </c>
      <c r="Q1636" s="2">
        <f t="shared" ref="Q1636" si="731">P1636+1</f>
        <v>2019</v>
      </c>
      <c r="R1636" s="2">
        <f t="shared" ref="R1636" si="732">Q1636+1</f>
        <v>2020</v>
      </c>
      <c r="S1636" s="2">
        <f>R1636+1</f>
        <v>2021</v>
      </c>
      <c r="T1636" s="2">
        <f>S1636+1</f>
        <v>2022</v>
      </c>
      <c r="U1636" s="2">
        <f>T1636+1</f>
        <v>2023</v>
      </c>
      <c r="W1636" s="1"/>
      <c r="X1636" s="1"/>
      <c r="Y1636" s="1"/>
    </row>
    <row r="1637" spans="6:25">
      <c r="G1637" s="62" t="str">
        <f xml:space="preserve"> 'Facility Detail'!$G$3260 &amp; " Surplus Applied to " &amp; ( 'Facility Detail'!$G$3260 + 1 )</f>
        <v>2011 Surplus Applied to 2012</v>
      </c>
      <c r="I1637" s="3">
        <v>18530</v>
      </c>
      <c r="J1637" s="46">
        <f>I1637</f>
        <v>18530</v>
      </c>
      <c r="K1637" s="106"/>
      <c r="L1637" s="106"/>
      <c r="M1637" s="106"/>
      <c r="N1637" s="106"/>
      <c r="O1637" s="106"/>
      <c r="P1637" s="106"/>
      <c r="Q1637" s="106"/>
      <c r="R1637" s="106"/>
      <c r="S1637" s="106"/>
      <c r="T1637" s="217"/>
      <c r="U1637" s="47"/>
      <c r="W1637" s="1"/>
      <c r="X1637" s="1"/>
      <c r="Y1637" s="1"/>
    </row>
    <row r="1638" spans="6:25">
      <c r="G1638" s="62" t="str">
        <f xml:space="preserve"> ( 'Facility Detail'!$G$3260 + 1 ) &amp; " Surplus Applied to " &amp; ( 'Facility Detail'!$G$3260 )</f>
        <v>2012 Surplus Applied to 2011</v>
      </c>
      <c r="I1638" s="127">
        <f>J1638</f>
        <v>0</v>
      </c>
      <c r="J1638" s="10"/>
      <c r="K1638" s="60"/>
      <c r="L1638" s="60"/>
      <c r="M1638" s="60"/>
      <c r="N1638" s="60"/>
      <c r="O1638" s="60"/>
      <c r="P1638" s="60"/>
      <c r="Q1638" s="60"/>
      <c r="R1638" s="60"/>
      <c r="S1638" s="60"/>
      <c r="T1638" s="218"/>
      <c r="U1638" s="128"/>
      <c r="W1638" s="1"/>
      <c r="X1638" s="1"/>
      <c r="Y1638" s="1"/>
    </row>
    <row r="1639" spans="6:25">
      <c r="G1639" s="62" t="str">
        <f xml:space="preserve"> ( 'Facility Detail'!$G$3260 + 1 ) &amp; " Surplus Applied to " &amp; ( 'Facility Detail'!$G$3260 + 2 )</f>
        <v>2012 Surplus Applied to 2013</v>
      </c>
      <c r="I1639" s="48"/>
      <c r="J1639" s="10">
        <f>J1623</f>
        <v>15200</v>
      </c>
      <c r="K1639" s="56">
        <f>J1639</f>
        <v>15200</v>
      </c>
      <c r="L1639" s="60"/>
      <c r="M1639" s="60"/>
      <c r="N1639" s="60"/>
      <c r="O1639" s="60"/>
      <c r="P1639" s="60"/>
      <c r="Q1639" s="60"/>
      <c r="R1639" s="60"/>
      <c r="S1639" s="60"/>
      <c r="T1639" s="218"/>
      <c r="U1639" s="128"/>
      <c r="W1639" s="1"/>
      <c r="X1639" s="1"/>
      <c r="Y1639" s="1"/>
    </row>
    <row r="1640" spans="6:25">
      <c r="G1640" s="62" t="str">
        <f xml:space="preserve"> ( 'Facility Detail'!$G$3260 + 2 ) &amp; " Surplus Applied to " &amp; ( 'Facility Detail'!$G$3260 + 1 )</f>
        <v>2013 Surplus Applied to 2012</v>
      </c>
      <c r="I1640" s="48"/>
      <c r="J1640" s="56">
        <f>K1640</f>
        <v>0</v>
      </c>
      <c r="K1640" s="10"/>
      <c r="L1640" s="60"/>
      <c r="M1640" s="60"/>
      <c r="N1640" s="60"/>
      <c r="O1640" s="60"/>
      <c r="P1640" s="60"/>
      <c r="Q1640" s="60"/>
      <c r="R1640" s="60"/>
      <c r="S1640" s="60"/>
      <c r="T1640" s="218"/>
      <c r="U1640" s="128"/>
      <c r="W1640" s="1"/>
      <c r="X1640" s="1"/>
      <c r="Y1640" s="1"/>
    </row>
    <row r="1641" spans="6:25">
      <c r="G1641" s="62" t="str">
        <f xml:space="preserve"> ( 'Facility Detail'!$G$3260 + 2 ) &amp; " Surplus Applied to " &amp; ( 'Facility Detail'!$G$3260 + 3 )</f>
        <v>2013 Surplus Applied to 2014</v>
      </c>
      <c r="I1641" s="48"/>
      <c r="J1641" s="118"/>
      <c r="K1641" s="10">
        <f>K1623</f>
        <v>16235</v>
      </c>
      <c r="L1641" s="119">
        <f>K1641</f>
        <v>16235</v>
      </c>
      <c r="M1641" s="60"/>
      <c r="N1641" s="60"/>
      <c r="O1641" s="60"/>
      <c r="P1641" s="60"/>
      <c r="Q1641" s="60"/>
      <c r="R1641" s="60"/>
      <c r="S1641" s="60"/>
      <c r="T1641" s="146"/>
      <c r="U1641" s="122"/>
      <c r="W1641" s="1"/>
      <c r="X1641" s="1"/>
      <c r="Y1641" s="1"/>
    </row>
    <row r="1642" spans="6:25">
      <c r="G1642" s="62" t="str">
        <f xml:space="preserve"> ( 'Facility Detail'!$G$3260 + 3 ) &amp; " Surplus Applied to " &amp; ( 'Facility Detail'!$G$3260 + 2 )</f>
        <v>2014 Surplus Applied to 2013</v>
      </c>
      <c r="I1642" s="48"/>
      <c r="J1642" s="118"/>
      <c r="K1642" s="56">
        <f>L1642</f>
        <v>0</v>
      </c>
      <c r="L1642" s="10"/>
      <c r="M1642" s="60"/>
      <c r="N1642" s="60"/>
      <c r="O1642" s="60"/>
      <c r="P1642" s="60"/>
      <c r="Q1642" s="60"/>
      <c r="R1642" s="60"/>
      <c r="S1642" s="60"/>
      <c r="T1642" s="146"/>
      <c r="U1642" s="122"/>
      <c r="W1642" s="1"/>
      <c r="X1642" s="1"/>
      <c r="Y1642" s="1"/>
    </row>
    <row r="1643" spans="6:25">
      <c r="G1643" s="62" t="str">
        <f xml:space="preserve"> ( 'Facility Detail'!$G$3260 + 3 ) &amp; " Surplus Applied to " &amp; ( 'Facility Detail'!$G$3260 + 4 )</f>
        <v>2014 Surplus Applied to 2015</v>
      </c>
      <c r="I1643" s="48"/>
      <c r="J1643" s="118"/>
      <c r="K1643" s="118"/>
      <c r="L1643" s="10">
        <f>L1623</f>
        <v>17270</v>
      </c>
      <c r="M1643" s="119">
        <f>L1643</f>
        <v>17270</v>
      </c>
      <c r="N1643" s="118"/>
      <c r="O1643" s="60"/>
      <c r="P1643" s="60"/>
      <c r="Q1643" s="60"/>
      <c r="R1643" s="60"/>
      <c r="S1643" s="60"/>
      <c r="T1643" s="146"/>
      <c r="U1643" s="122"/>
      <c r="W1643" s="1"/>
      <c r="X1643" s="1"/>
      <c r="Y1643" s="1"/>
    </row>
    <row r="1644" spans="6:25">
      <c r="G1644" s="62" t="str">
        <f xml:space="preserve"> ( 'Facility Detail'!$G$3260 + 4 ) &amp; " Surplus Applied to " &amp; ( 'Facility Detail'!$G$3260 + 3 )</f>
        <v>2015 Surplus Applied to 2014</v>
      </c>
      <c r="I1644" s="48"/>
      <c r="J1644" s="118"/>
      <c r="K1644" s="118"/>
      <c r="L1644" s="56"/>
      <c r="M1644" s="10"/>
      <c r="N1644" s="118"/>
      <c r="O1644" s="60"/>
      <c r="P1644" s="60"/>
      <c r="Q1644" s="60"/>
      <c r="R1644" s="60"/>
      <c r="S1644" s="60"/>
      <c r="T1644" s="146"/>
      <c r="U1644" s="122"/>
      <c r="W1644" s="1"/>
      <c r="X1644" s="1"/>
      <c r="Y1644" s="1"/>
    </row>
    <row r="1645" spans="6:25">
      <c r="G1645" s="62" t="str">
        <f xml:space="preserve"> ( 'Facility Detail'!$G$3260 + 4 ) &amp; " Surplus Applied to " &amp; ( 'Facility Detail'!$G$3260 + 5 )</f>
        <v>2015 Surplus Applied to 2016</v>
      </c>
      <c r="I1645" s="48"/>
      <c r="J1645" s="118"/>
      <c r="K1645" s="118"/>
      <c r="L1645" s="118"/>
      <c r="M1645" s="10">
        <f>M1623</f>
        <v>15187</v>
      </c>
      <c r="N1645" s="119">
        <f>M1645</f>
        <v>15187</v>
      </c>
      <c r="O1645" s="60"/>
      <c r="P1645" s="60"/>
      <c r="Q1645" s="60"/>
      <c r="R1645" s="60"/>
      <c r="S1645" s="60"/>
      <c r="T1645" s="146"/>
      <c r="U1645" s="122"/>
      <c r="W1645" s="1"/>
      <c r="X1645" s="1"/>
      <c r="Y1645" s="1"/>
    </row>
    <row r="1646" spans="6:25">
      <c r="G1646" s="62" t="str">
        <f xml:space="preserve"> ( 'Facility Detail'!$G$3260 + 5 ) &amp; " Surplus Applied to " &amp; ( 'Facility Detail'!$G$3260 + 4 )</f>
        <v>2016 Surplus Applied to 2015</v>
      </c>
      <c r="I1646" s="48"/>
      <c r="J1646" s="118"/>
      <c r="K1646" s="118"/>
      <c r="L1646" s="118"/>
      <c r="M1646" s="56"/>
      <c r="N1646" s="10"/>
      <c r="O1646" s="60"/>
      <c r="P1646" s="60"/>
      <c r="Q1646" s="60"/>
      <c r="R1646" s="60"/>
      <c r="S1646" s="60"/>
      <c r="T1646" s="146"/>
      <c r="U1646" s="122"/>
      <c r="W1646" s="1"/>
      <c r="X1646" s="1"/>
      <c r="Y1646" s="1"/>
    </row>
    <row r="1647" spans="6:25">
      <c r="G1647" s="62" t="str">
        <f xml:space="preserve"> ( 'Facility Detail'!$G$3260 + 5 ) &amp; " Surplus Applied to " &amp; ( 'Facility Detail'!$G$3260 + 6 )</f>
        <v>2016 Surplus Applied to 2017</v>
      </c>
      <c r="I1647" s="48"/>
      <c r="J1647" s="118"/>
      <c r="K1647" s="118"/>
      <c r="L1647" s="118"/>
      <c r="M1647" s="118"/>
      <c r="N1647" s="149">
        <v>0</v>
      </c>
      <c r="O1647" s="120">
        <f>N1647</f>
        <v>0</v>
      </c>
      <c r="P1647" s="60"/>
      <c r="Q1647" s="60"/>
      <c r="R1647" s="60"/>
      <c r="S1647" s="60"/>
      <c r="T1647" s="146"/>
      <c r="U1647" s="122"/>
      <c r="W1647" s="1"/>
      <c r="X1647" s="1"/>
      <c r="Y1647" s="1"/>
    </row>
    <row r="1648" spans="6:25">
      <c r="G1648" s="62" t="s">
        <v>167</v>
      </c>
      <c r="I1648" s="48"/>
      <c r="J1648" s="118"/>
      <c r="K1648" s="118"/>
      <c r="L1648" s="118"/>
      <c r="M1648" s="118"/>
      <c r="N1648" s="150">
        <f>O1648</f>
        <v>0</v>
      </c>
      <c r="O1648" s="121"/>
      <c r="P1648" s="60"/>
      <c r="Q1648" s="60"/>
      <c r="R1648" s="60"/>
      <c r="S1648" s="60"/>
      <c r="T1648" s="146"/>
      <c r="U1648" s="122"/>
      <c r="W1648" s="1"/>
      <c r="X1648" s="1"/>
      <c r="Y1648" s="1"/>
    </row>
    <row r="1649" spans="2:25">
      <c r="G1649" s="62" t="s">
        <v>168</v>
      </c>
      <c r="I1649" s="48"/>
      <c r="J1649" s="118"/>
      <c r="K1649" s="118"/>
      <c r="L1649" s="118"/>
      <c r="M1649" s="118"/>
      <c r="N1649" s="118"/>
      <c r="O1649" s="121"/>
      <c r="P1649" s="120">
        <f>O1649</f>
        <v>0</v>
      </c>
      <c r="Q1649" s="60"/>
      <c r="R1649" s="60"/>
      <c r="S1649" s="60"/>
      <c r="T1649" s="146"/>
      <c r="U1649" s="122"/>
      <c r="W1649" s="1"/>
      <c r="X1649" s="1"/>
      <c r="Y1649" s="1"/>
    </row>
    <row r="1650" spans="2:25">
      <c r="G1650" s="62" t="s">
        <v>185</v>
      </c>
      <c r="I1650" s="48"/>
      <c r="J1650" s="118"/>
      <c r="K1650" s="118"/>
      <c r="L1650" s="118"/>
      <c r="M1650" s="118"/>
      <c r="N1650" s="118"/>
      <c r="O1650" s="120">
        <f>P1650</f>
        <v>0</v>
      </c>
      <c r="P1650" s="121"/>
      <c r="Q1650" s="60"/>
      <c r="R1650" s="60"/>
      <c r="S1650" s="60"/>
      <c r="T1650" s="146"/>
      <c r="U1650" s="122"/>
      <c r="W1650" s="1"/>
      <c r="X1650" s="1"/>
      <c r="Y1650" s="1"/>
    </row>
    <row r="1651" spans="2:25">
      <c r="G1651" s="62" t="s">
        <v>186</v>
      </c>
      <c r="I1651" s="48"/>
      <c r="J1651" s="118"/>
      <c r="K1651" s="118"/>
      <c r="L1651" s="118"/>
      <c r="M1651" s="118"/>
      <c r="N1651" s="118"/>
      <c r="O1651" s="118"/>
      <c r="P1651" s="121"/>
      <c r="Q1651" s="56">
        <f>P1651</f>
        <v>0</v>
      </c>
      <c r="R1651" s="60"/>
      <c r="S1651" s="60"/>
      <c r="T1651" s="146"/>
      <c r="U1651" s="122"/>
      <c r="W1651" s="1"/>
      <c r="X1651" s="1"/>
      <c r="Y1651" s="1"/>
    </row>
    <row r="1652" spans="2:25">
      <c r="G1652" s="62" t="s">
        <v>187</v>
      </c>
      <c r="I1652" s="48"/>
      <c r="J1652" s="118"/>
      <c r="K1652" s="118"/>
      <c r="L1652" s="118"/>
      <c r="M1652" s="118"/>
      <c r="N1652" s="118"/>
      <c r="O1652" s="118"/>
      <c r="P1652" s="120">
        <f>Q1652</f>
        <v>0</v>
      </c>
      <c r="Q1652" s="306"/>
      <c r="R1652" s="60"/>
      <c r="S1652" s="60"/>
      <c r="T1652" s="146"/>
      <c r="U1652" s="122"/>
      <c r="W1652" s="1"/>
      <c r="X1652" s="1"/>
      <c r="Y1652" s="1"/>
    </row>
    <row r="1653" spans="2:25">
      <c r="G1653" s="62" t="s">
        <v>188</v>
      </c>
      <c r="I1653" s="48"/>
      <c r="J1653" s="118"/>
      <c r="K1653" s="118"/>
      <c r="L1653" s="118"/>
      <c r="M1653" s="118"/>
      <c r="N1653" s="118"/>
      <c r="O1653" s="118"/>
      <c r="P1653" s="118"/>
      <c r="Q1653" s="121"/>
      <c r="R1653" s="151">
        <f>Q1653</f>
        <v>0</v>
      </c>
      <c r="S1653" s="60"/>
      <c r="T1653" s="146"/>
      <c r="U1653" s="122"/>
      <c r="W1653" s="1"/>
      <c r="X1653" s="1"/>
      <c r="Y1653" s="1"/>
    </row>
    <row r="1654" spans="2:25">
      <c r="G1654" s="62" t="s">
        <v>189</v>
      </c>
      <c r="I1654" s="48"/>
      <c r="J1654" s="118"/>
      <c r="K1654" s="118"/>
      <c r="L1654" s="118"/>
      <c r="M1654" s="118"/>
      <c r="N1654" s="118"/>
      <c r="O1654" s="118"/>
      <c r="P1654" s="118"/>
      <c r="Q1654" s="151">
        <f>R1654</f>
        <v>0</v>
      </c>
      <c r="R1654" s="173"/>
      <c r="S1654" s="60"/>
      <c r="T1654" s="146"/>
      <c r="U1654" s="122"/>
      <c r="W1654" s="1"/>
      <c r="X1654" s="1"/>
      <c r="Y1654" s="1"/>
    </row>
    <row r="1655" spans="2:25">
      <c r="G1655" s="62" t="s">
        <v>190</v>
      </c>
      <c r="I1655" s="48"/>
      <c r="J1655" s="118"/>
      <c r="K1655" s="118"/>
      <c r="L1655" s="118"/>
      <c r="M1655" s="118"/>
      <c r="N1655" s="118"/>
      <c r="O1655" s="118"/>
      <c r="P1655" s="118"/>
      <c r="Q1655" s="118"/>
      <c r="R1655" s="173"/>
      <c r="S1655" s="151">
        <f>R1655</f>
        <v>0</v>
      </c>
      <c r="T1655" s="146"/>
      <c r="U1655" s="122"/>
      <c r="W1655" s="1"/>
      <c r="X1655" s="1"/>
      <c r="Y1655" s="1"/>
    </row>
    <row r="1656" spans="2:25">
      <c r="G1656" s="62" t="s">
        <v>199</v>
      </c>
      <c r="I1656" s="48"/>
      <c r="J1656" s="118"/>
      <c r="K1656" s="118"/>
      <c r="L1656" s="118"/>
      <c r="M1656" s="118"/>
      <c r="N1656" s="118"/>
      <c r="O1656" s="118"/>
      <c r="P1656" s="118"/>
      <c r="Q1656" s="118"/>
      <c r="R1656" s="120">
        <v>10000</v>
      </c>
      <c r="S1656" s="173">
        <v>10000</v>
      </c>
      <c r="T1656" s="146"/>
      <c r="U1656" s="122"/>
      <c r="W1656" s="1"/>
      <c r="X1656" s="1"/>
      <c r="Y1656" s="1"/>
    </row>
    <row r="1657" spans="2:25">
      <c r="G1657" s="62" t="s">
        <v>200</v>
      </c>
      <c r="I1657" s="48"/>
      <c r="J1657" s="118"/>
      <c r="K1657" s="118"/>
      <c r="L1657" s="118"/>
      <c r="M1657" s="118"/>
      <c r="N1657" s="118"/>
      <c r="O1657" s="118"/>
      <c r="P1657" s="118"/>
      <c r="Q1657" s="118"/>
      <c r="R1657" s="118"/>
      <c r="S1657" s="173"/>
      <c r="T1657" s="151">
        <f>S1657</f>
        <v>0</v>
      </c>
      <c r="U1657" s="122"/>
      <c r="W1657" s="1"/>
      <c r="X1657" s="1"/>
      <c r="Y1657" s="1"/>
    </row>
    <row r="1658" spans="2:25" ht="18" customHeight="1">
      <c r="G1658" s="62" t="s">
        <v>308</v>
      </c>
      <c r="I1658" s="48"/>
      <c r="J1658" s="118"/>
      <c r="K1658" s="118"/>
      <c r="L1658" s="118"/>
      <c r="M1658" s="118"/>
      <c r="N1658" s="118"/>
      <c r="O1658" s="118"/>
      <c r="P1658" s="118"/>
      <c r="Q1658" s="118"/>
      <c r="R1658" s="118"/>
      <c r="S1658" s="120">
        <f>T1658</f>
        <v>0</v>
      </c>
      <c r="T1658" s="173"/>
      <c r="U1658" s="122"/>
      <c r="W1658" s="1"/>
      <c r="X1658" s="1"/>
      <c r="Y1658" s="1"/>
    </row>
    <row r="1659" spans="2:25">
      <c r="G1659" s="62" t="s">
        <v>307</v>
      </c>
      <c r="I1659" s="114"/>
      <c r="J1659" s="107"/>
      <c r="K1659" s="107"/>
      <c r="L1659" s="107"/>
      <c r="M1659" s="107"/>
      <c r="N1659" s="107"/>
      <c r="O1659" s="107"/>
      <c r="P1659" s="107"/>
      <c r="Q1659" s="107"/>
      <c r="R1659" s="107"/>
      <c r="S1659" s="107"/>
      <c r="T1659" s="173"/>
      <c r="U1659" s="456">
        <f>T1659</f>
        <v>0</v>
      </c>
      <c r="W1659" s="1"/>
      <c r="X1659" s="1"/>
      <c r="Y1659" s="1"/>
    </row>
    <row r="1660" spans="2:25">
      <c r="G1660" s="62" t="s">
        <v>318</v>
      </c>
      <c r="I1660" s="114"/>
      <c r="J1660" s="107"/>
      <c r="K1660" s="107"/>
      <c r="L1660" s="107"/>
      <c r="M1660" s="107"/>
      <c r="N1660" s="107"/>
      <c r="O1660" s="107"/>
      <c r="P1660" s="107"/>
      <c r="Q1660" s="107"/>
      <c r="R1660" s="107"/>
      <c r="S1660" s="107"/>
      <c r="T1660" s="120">
        <f>U1660</f>
        <v>0</v>
      </c>
      <c r="U1660" s="457"/>
      <c r="W1660" s="1"/>
      <c r="X1660" s="1"/>
      <c r="Y1660" s="1"/>
    </row>
    <row r="1661" spans="2:25">
      <c r="G1661" s="62" t="s">
        <v>319</v>
      </c>
      <c r="I1661" s="49"/>
      <c r="J1661" s="194"/>
      <c r="K1661" s="194"/>
      <c r="L1661" s="194"/>
      <c r="M1661" s="194"/>
      <c r="N1661" s="194"/>
      <c r="O1661" s="194"/>
      <c r="P1661" s="194"/>
      <c r="Q1661" s="194"/>
      <c r="R1661" s="194"/>
      <c r="S1661" s="194"/>
      <c r="T1661" s="194"/>
      <c r="U1661" s="458"/>
      <c r="W1661" s="1"/>
      <c r="X1661" s="1"/>
      <c r="Y1661" s="1"/>
    </row>
    <row r="1662" spans="2:25">
      <c r="B1662" s="1" t="s">
        <v>129</v>
      </c>
      <c r="G1662" s="26" t="s">
        <v>17</v>
      </c>
      <c r="I1662" s="7">
        <f xml:space="preserve"> I1638 - I1637</f>
        <v>-18530</v>
      </c>
      <c r="J1662" s="7">
        <f xml:space="preserve"> J1637 + J1640 - J1639 - J1638</f>
        <v>3330</v>
      </c>
      <c r="K1662" s="7">
        <f>K1639 - K1640 - K1641</f>
        <v>-1035</v>
      </c>
      <c r="L1662" s="7">
        <f>L1641-L1642-L1643</f>
        <v>-1035</v>
      </c>
      <c r="M1662" s="7">
        <f>M1643-M1644-M1645</f>
        <v>2083</v>
      </c>
      <c r="N1662" s="7">
        <f>N1645-N1646-N1647</f>
        <v>15187</v>
      </c>
      <c r="O1662" s="7">
        <f>O1647-O1648-O1649</f>
        <v>0</v>
      </c>
      <c r="P1662" s="154">
        <f>P1649-P1650-P1651</f>
        <v>0</v>
      </c>
      <c r="Q1662" s="154">
        <f>Q1651-Q1652-Q1653</f>
        <v>0</v>
      </c>
      <c r="R1662" s="154">
        <f>R1656</f>
        <v>10000</v>
      </c>
      <c r="S1662" s="7">
        <f>S1655-S1656-S1657</f>
        <v>-10000</v>
      </c>
      <c r="T1662" s="7">
        <f>T1657-T1658-T1659</f>
        <v>0</v>
      </c>
      <c r="U1662" s="7">
        <f>U1657-U1658-U1659</f>
        <v>0</v>
      </c>
      <c r="W1662" s="1"/>
      <c r="X1662" s="1"/>
      <c r="Y1662" s="1"/>
    </row>
    <row r="1663" spans="2:25">
      <c r="G1663" s="6"/>
      <c r="I1663" s="154"/>
      <c r="J1663" s="154"/>
      <c r="K1663" s="154"/>
      <c r="L1663" s="154"/>
      <c r="M1663" s="154"/>
      <c r="N1663" s="154"/>
      <c r="O1663" s="154"/>
      <c r="P1663" s="154"/>
      <c r="Q1663" s="154"/>
      <c r="R1663" s="154"/>
      <c r="S1663" s="154"/>
      <c r="T1663" s="154"/>
      <c r="U1663" s="154"/>
      <c r="W1663" s="1"/>
      <c r="X1663" s="1"/>
      <c r="Y1663" s="1"/>
    </row>
    <row r="1664" spans="2:25">
      <c r="G1664" s="26" t="s">
        <v>12</v>
      </c>
      <c r="H1664" s="57"/>
      <c r="I1664" s="155"/>
      <c r="J1664" s="156"/>
      <c r="K1664" s="156"/>
      <c r="L1664" s="156"/>
      <c r="M1664" s="156"/>
      <c r="N1664" s="156"/>
      <c r="O1664" s="156"/>
      <c r="P1664" s="156"/>
      <c r="Q1664" s="156"/>
      <c r="R1664" s="156"/>
      <c r="S1664" s="156"/>
      <c r="T1664" s="156"/>
      <c r="U1664" s="267"/>
      <c r="W1664" s="1"/>
      <c r="X1664" s="1"/>
      <c r="Y1664" s="1"/>
    </row>
    <row r="1665" spans="1:25">
      <c r="G1665" s="6"/>
      <c r="I1665" s="154"/>
      <c r="J1665" s="154"/>
      <c r="K1665" s="154"/>
      <c r="L1665" s="154"/>
      <c r="M1665" s="154"/>
      <c r="N1665" s="154"/>
      <c r="O1665" s="154"/>
      <c r="P1665" s="154"/>
      <c r="Q1665" s="154"/>
      <c r="R1665" s="154"/>
      <c r="S1665" s="154"/>
      <c r="T1665" s="154"/>
      <c r="U1665" s="154"/>
      <c r="W1665" s="1"/>
      <c r="X1665" s="1"/>
      <c r="Y1665" s="1"/>
    </row>
    <row r="1666" spans="1:25" ht="18.75">
      <c r="C1666" s="1" t="s">
        <v>129</v>
      </c>
      <c r="D1666" s="1" t="s">
        <v>256</v>
      </c>
      <c r="E1666" s="1" t="s">
        <v>107</v>
      </c>
      <c r="F1666" s="9" t="s">
        <v>26</v>
      </c>
      <c r="H1666" s="57"/>
      <c r="I1666" s="157">
        <f t="shared" ref="I1666:S1666" si="733" xml:space="preserve"> I1623 + I1628 - I1634 + I1662 + I1664</f>
        <v>0</v>
      </c>
      <c r="J1666" s="158">
        <f t="shared" si="733"/>
        <v>18530</v>
      </c>
      <c r="K1666" s="158">
        <f t="shared" si="733"/>
        <v>15200</v>
      </c>
      <c r="L1666" s="158">
        <f t="shared" si="733"/>
        <v>16235</v>
      </c>
      <c r="M1666" s="158">
        <f t="shared" si="733"/>
        <v>17270</v>
      </c>
      <c r="N1666" s="158">
        <f t="shared" si="733"/>
        <v>31739</v>
      </c>
      <c r="O1666" s="158">
        <f t="shared" si="733"/>
        <v>12585</v>
      </c>
      <c r="P1666" s="158">
        <f t="shared" si="733"/>
        <v>16022</v>
      </c>
      <c r="Q1666" s="158">
        <f t="shared" si="733"/>
        <v>12827</v>
      </c>
      <c r="R1666" s="158">
        <f t="shared" si="733"/>
        <v>35709.434678165562</v>
      </c>
      <c r="S1666" s="298">
        <f t="shared" si="733"/>
        <v>13402.275112624091</v>
      </c>
      <c r="T1666" s="158">
        <f t="shared" ref="T1666:U1666" si="734" xml:space="preserve"> T1623 + T1628 - T1634 + T1662 + T1664</f>
        <v>19952.818569304261</v>
      </c>
      <c r="U1666" s="268">
        <f t="shared" si="734"/>
        <v>21807.939345218649</v>
      </c>
      <c r="W1666" s="1"/>
      <c r="X1666" s="1"/>
      <c r="Y1666" s="1"/>
    </row>
    <row r="1667" spans="1:25">
      <c r="G1667" s="6"/>
      <c r="I1667" s="7"/>
      <c r="J1667" s="7"/>
      <c r="K1667" s="7"/>
      <c r="L1667" s="23"/>
      <c r="M1667" s="23"/>
      <c r="N1667" s="23"/>
      <c r="O1667" s="23"/>
      <c r="P1667" s="23"/>
      <c r="Q1667" s="23"/>
      <c r="R1667" s="23"/>
      <c r="S1667" s="282"/>
      <c r="T1667" s="23"/>
      <c r="U1667" s="23"/>
      <c r="W1667" s="1"/>
      <c r="X1667" s="1"/>
      <c r="Y1667" s="1"/>
    </row>
    <row r="1668" spans="1:25" ht="15.75" thickBot="1">
      <c r="W1668" s="1"/>
      <c r="X1668" s="1"/>
      <c r="Y1668" s="1"/>
    </row>
    <row r="1669" spans="1:25">
      <c r="F1669" s="8"/>
      <c r="G1669" s="8"/>
      <c r="H1669" s="8"/>
      <c r="I1669" s="8"/>
      <c r="J1669" s="8"/>
      <c r="K1669" s="8"/>
      <c r="L1669" s="8"/>
      <c r="M1669" s="8"/>
      <c r="N1669" s="8"/>
      <c r="O1669" s="8"/>
      <c r="P1669" s="8"/>
      <c r="Q1669" s="8"/>
      <c r="R1669" s="8"/>
      <c r="S1669" s="290"/>
      <c r="T1669" s="8"/>
      <c r="U1669" s="8"/>
      <c r="W1669" s="1"/>
      <c r="X1669" s="1"/>
      <c r="Y1669" s="1"/>
    </row>
    <row r="1670" spans="1:25" ht="15.75" thickBot="1">
      <c r="W1670" s="1"/>
      <c r="X1670" s="1"/>
      <c r="Y1670" s="1"/>
    </row>
    <row r="1671" spans="1:25" ht="21.75" thickBot="1">
      <c r="F1671" s="13" t="s">
        <v>4</v>
      </c>
      <c r="G1671" s="13"/>
      <c r="H1671" s="185" t="s">
        <v>140</v>
      </c>
      <c r="I1671" s="186"/>
      <c r="J1671" s="174"/>
      <c r="W1671" s="1"/>
      <c r="X1671" s="1"/>
      <c r="Y1671" s="1"/>
    </row>
    <row r="1672" spans="1:25">
      <c r="W1672" s="1"/>
      <c r="X1672" s="1"/>
      <c r="Y1672" s="1"/>
    </row>
    <row r="1673" spans="1:25" ht="18.75">
      <c r="F1673" s="9" t="s">
        <v>21</v>
      </c>
      <c r="G1673" s="9"/>
      <c r="I1673" s="2">
        <f>'Facility Detail'!$G$3260</f>
        <v>2011</v>
      </c>
      <c r="J1673" s="2">
        <f t="shared" ref="J1673:O1673" si="735">I1673+1</f>
        <v>2012</v>
      </c>
      <c r="K1673" s="2">
        <f t="shared" si="735"/>
        <v>2013</v>
      </c>
      <c r="L1673" s="2">
        <f t="shared" si="735"/>
        <v>2014</v>
      </c>
      <c r="M1673" s="2">
        <f t="shared" si="735"/>
        <v>2015</v>
      </c>
      <c r="N1673" s="2">
        <f t="shared" si="735"/>
        <v>2016</v>
      </c>
      <c r="O1673" s="2">
        <f t="shared" si="735"/>
        <v>2017</v>
      </c>
      <c r="P1673" s="2">
        <f t="shared" ref="P1673" si="736">O1673+1</f>
        <v>2018</v>
      </c>
      <c r="Q1673" s="2">
        <f t="shared" ref="Q1673" si="737">P1673+1</f>
        <v>2019</v>
      </c>
      <c r="R1673" s="2">
        <f t="shared" ref="R1673" si="738">Q1673+1</f>
        <v>2020</v>
      </c>
      <c r="S1673" s="2">
        <f>R1673+1</f>
        <v>2021</v>
      </c>
      <c r="T1673" s="2">
        <f>S1673+1</f>
        <v>2022</v>
      </c>
      <c r="U1673" s="2">
        <f>T1673+1</f>
        <v>2023</v>
      </c>
      <c r="W1673" s="1"/>
      <c r="X1673" s="1"/>
      <c r="Y1673" s="1"/>
    </row>
    <row r="1674" spans="1:25">
      <c r="G1674" s="62" t="str">
        <f>"Total MWh Produced / Purchased from " &amp; H1671</f>
        <v>Total MWh Produced / Purchased from Lemolo 1 (Upgrade 2003)</v>
      </c>
      <c r="H1674" s="57"/>
      <c r="I1674" s="3"/>
      <c r="J1674" s="4">
        <v>17021.001199999999</v>
      </c>
      <c r="K1674" s="4">
        <v>12661.3536</v>
      </c>
      <c r="L1674" s="4">
        <v>14311</v>
      </c>
      <c r="M1674" s="4">
        <v>12553</v>
      </c>
      <c r="N1674" s="4">
        <v>13621</v>
      </c>
      <c r="O1674" s="4">
        <v>17773</v>
      </c>
      <c r="P1674" s="4">
        <v>12686.182399999998</v>
      </c>
      <c r="Q1674" s="4">
        <v>11639</v>
      </c>
      <c r="R1674" s="4">
        <v>8423</v>
      </c>
      <c r="S1674" s="4">
        <v>8459</v>
      </c>
      <c r="T1674" s="4">
        <v>10573</v>
      </c>
      <c r="U1674" s="5">
        <v>11949</v>
      </c>
      <c r="W1674" s="1"/>
      <c r="X1674" s="1"/>
      <c r="Y1674" s="1"/>
    </row>
    <row r="1675" spans="1:25">
      <c r="G1675" s="62" t="s">
        <v>25</v>
      </c>
      <c r="H1675" s="57"/>
      <c r="I1675" s="269"/>
      <c r="J1675" s="41">
        <v>1</v>
      </c>
      <c r="K1675" s="41">
        <v>1</v>
      </c>
      <c r="L1675" s="41">
        <v>1</v>
      </c>
      <c r="M1675" s="41">
        <v>1</v>
      </c>
      <c r="N1675" s="41">
        <v>1</v>
      </c>
      <c r="O1675" s="41">
        <v>1</v>
      </c>
      <c r="P1675" s="41">
        <v>1</v>
      </c>
      <c r="Q1675" s="41">
        <v>1</v>
      </c>
      <c r="R1675" s="41">
        <v>1</v>
      </c>
      <c r="S1675" s="41">
        <v>1</v>
      </c>
      <c r="T1675" s="41">
        <v>1</v>
      </c>
      <c r="U1675" s="41">
        <v>1</v>
      </c>
      <c r="W1675" s="1"/>
      <c r="X1675" s="1"/>
      <c r="Y1675" s="1"/>
    </row>
    <row r="1676" spans="1:25">
      <c r="G1676" s="62" t="s">
        <v>20</v>
      </c>
      <c r="H1676" s="57"/>
      <c r="I1676" s="270">
        <v>7.8921000000000005E-2</v>
      </c>
      <c r="J1676" s="36">
        <v>7.9619999999999996E-2</v>
      </c>
      <c r="K1676" s="36">
        <v>7.8747999999999999E-2</v>
      </c>
      <c r="L1676" s="36">
        <v>8.0235000000000001E-2</v>
      </c>
      <c r="M1676" s="36">
        <v>8.0535999999999996E-2</v>
      </c>
      <c r="N1676" s="36">
        <v>8.1698151927344531E-2</v>
      </c>
      <c r="O1676" s="36">
        <v>8.0833713568703974E-2</v>
      </c>
      <c r="P1676" s="36">
        <v>7.9451999999999995E-2</v>
      </c>
      <c r="Q1676" s="36">
        <v>7.6724662968274293E-2</v>
      </c>
      <c r="R1676" s="36">
        <f>R1622</f>
        <v>8.1268700519883177E-2</v>
      </c>
      <c r="S1676" s="36">
        <f>S2</f>
        <v>7.9696892166366717E-2</v>
      </c>
      <c r="T1676" s="36">
        <f>T2</f>
        <v>7.8737918965874246E-2</v>
      </c>
      <c r="U1676" s="36">
        <f>U2</f>
        <v>7.8407467372863096E-2</v>
      </c>
      <c r="W1676" s="1"/>
      <c r="X1676" s="1"/>
      <c r="Y1676" s="1"/>
    </row>
    <row r="1677" spans="1:25">
      <c r="A1677" s="1" t="s">
        <v>221</v>
      </c>
      <c r="G1677" s="26" t="s">
        <v>22</v>
      </c>
      <c r="H1677" s="6"/>
      <c r="I1677" s="30">
        <f xml:space="preserve"> ROUND(I1674 * I1675 * I1676,0)</f>
        <v>0</v>
      </c>
      <c r="J1677" s="30">
        <v>1355</v>
      </c>
      <c r="K1677" s="30">
        <v>997</v>
      </c>
      <c r="L1677" s="30">
        <v>1148</v>
      </c>
      <c r="M1677" s="30">
        <v>1011</v>
      </c>
      <c r="N1677" s="161">
        <v>1113</v>
      </c>
      <c r="O1677" s="161">
        <v>1438</v>
      </c>
      <c r="P1677" s="161">
        <v>1007</v>
      </c>
      <c r="Q1677" s="161">
        <f>Q1674*Q1676</f>
        <v>892.99835228774452</v>
      </c>
      <c r="R1677" s="161">
        <f>R1674*R1676</f>
        <v>684.52626447897603</v>
      </c>
      <c r="S1677" s="161">
        <f>ROUNDUP(S1674*S1676,0)</f>
        <v>675</v>
      </c>
      <c r="T1677" s="161">
        <f>T1674*T1676</f>
        <v>832.49601722618843</v>
      </c>
      <c r="U1677" s="161">
        <f>U1674*U1676</f>
        <v>936.89082763834108</v>
      </c>
      <c r="W1677" s="1"/>
      <c r="X1677" s="1"/>
      <c r="Y1677" s="1"/>
    </row>
    <row r="1678" spans="1:25">
      <c r="I1678" s="29"/>
      <c r="J1678" s="29"/>
      <c r="K1678" s="29"/>
      <c r="L1678" s="29"/>
      <c r="M1678" s="29"/>
      <c r="N1678" s="20"/>
      <c r="O1678" s="20"/>
      <c r="P1678" s="20"/>
      <c r="Q1678" s="20"/>
      <c r="R1678" s="20"/>
      <c r="S1678" s="20"/>
      <c r="T1678" s="20"/>
      <c r="U1678" s="20"/>
      <c r="W1678" s="1"/>
      <c r="X1678" s="1"/>
      <c r="Y1678" s="1"/>
    </row>
    <row r="1679" spans="1:25" ht="18.75">
      <c r="F1679" s="9" t="s">
        <v>118</v>
      </c>
      <c r="I1679" s="2">
        <f>'Facility Detail'!$G$3260</f>
        <v>2011</v>
      </c>
      <c r="J1679" s="2">
        <f>I1679+1</f>
        <v>2012</v>
      </c>
      <c r="K1679" s="2">
        <f>J1679+1</f>
        <v>2013</v>
      </c>
      <c r="L1679" s="2">
        <f>L1673</f>
        <v>2014</v>
      </c>
      <c r="M1679" s="2">
        <f>M1673</f>
        <v>2015</v>
      </c>
      <c r="N1679" s="2">
        <f>N1673</f>
        <v>2016</v>
      </c>
      <c r="O1679" s="2">
        <f>O1673</f>
        <v>2017</v>
      </c>
      <c r="P1679" s="2">
        <f t="shared" ref="P1679:Q1679" si="739">P1673</f>
        <v>2018</v>
      </c>
      <c r="Q1679" s="2">
        <f t="shared" si="739"/>
        <v>2019</v>
      </c>
      <c r="R1679" s="2">
        <f t="shared" ref="R1679:S1679" si="740">R1673</f>
        <v>2020</v>
      </c>
      <c r="S1679" s="2">
        <f t="shared" si="740"/>
        <v>2021</v>
      </c>
      <c r="T1679" s="2">
        <f t="shared" ref="T1679:U1679" si="741">T1673</f>
        <v>2022</v>
      </c>
      <c r="U1679" s="2">
        <f t="shared" si="741"/>
        <v>2023</v>
      </c>
      <c r="W1679" s="1"/>
      <c r="X1679" s="1"/>
      <c r="Y1679" s="1"/>
    </row>
    <row r="1680" spans="1:25">
      <c r="G1680" s="62" t="s">
        <v>10</v>
      </c>
      <c r="H1680" s="57"/>
      <c r="I1680" s="38">
        <f>IF($J38 = "Eligible", I1677 * 'Facility Detail'!$G$3257, 0 )</f>
        <v>0</v>
      </c>
      <c r="J1680" s="11">
        <f>IF($J38 = "Eligible", J1677 * 'Facility Detail'!$G$3257, 0 )</f>
        <v>0</v>
      </c>
      <c r="K1680" s="11">
        <f>IF($J38 = "Eligible", K1677 * 'Facility Detail'!$G$3257, 0 )</f>
        <v>0</v>
      </c>
      <c r="L1680" s="11">
        <f>IF($J38 = "Eligible", L1677 * 'Facility Detail'!$G$3257, 0 )</f>
        <v>0</v>
      </c>
      <c r="M1680" s="11">
        <f>IF($J38 = "Eligible", M1677 * 'Facility Detail'!$G$3257, 0 )</f>
        <v>0</v>
      </c>
      <c r="N1680" s="11">
        <f>IF($J38 = "Eligible", N1677 * 'Facility Detail'!$G$3257, 0 )</f>
        <v>0</v>
      </c>
      <c r="O1680" s="11">
        <f>IF($J38 = "Eligible", O1677 * 'Facility Detail'!$G$3257, 0 )</f>
        <v>0</v>
      </c>
      <c r="P1680" s="11">
        <f>IF($J38 = "Eligible", P1677 * 'Facility Detail'!$G$3257, 0 )</f>
        <v>0</v>
      </c>
      <c r="Q1680" s="11">
        <f>IF($J38 = "Eligible", Q1677 * 'Facility Detail'!$G$3257, 0 )</f>
        <v>0</v>
      </c>
      <c r="R1680" s="11">
        <f>IF($J38 = "Eligible", R1677 * 'Facility Detail'!$G$3257, 0 )</f>
        <v>0</v>
      </c>
      <c r="S1680" s="11">
        <f>IF($J38 = "Eligible", S1677 * 'Facility Detail'!$G$3257, 0 )</f>
        <v>0</v>
      </c>
      <c r="T1680" s="11">
        <f>IF($J38 = "Eligible", T1677 * 'Facility Detail'!$G$3257, 0 )</f>
        <v>0</v>
      </c>
      <c r="U1680" s="223">
        <f>IF($J38 = "Eligible", U1677 * 'Facility Detail'!$G$3257, 0 )</f>
        <v>0</v>
      </c>
      <c r="W1680" s="1"/>
      <c r="X1680" s="1"/>
      <c r="Y1680" s="1"/>
    </row>
    <row r="1681" spans="6:25">
      <c r="G1681" s="62" t="s">
        <v>6</v>
      </c>
      <c r="H1681" s="57"/>
      <c r="I1681" s="39">
        <f t="shared" ref="I1681:U1681" si="742">IF($K38= "Eligible", I1677, 0 )</f>
        <v>0</v>
      </c>
      <c r="J1681" s="193">
        <f t="shared" si="742"/>
        <v>0</v>
      </c>
      <c r="K1681" s="193">
        <f t="shared" si="742"/>
        <v>0</v>
      </c>
      <c r="L1681" s="193">
        <f t="shared" si="742"/>
        <v>0</v>
      </c>
      <c r="M1681" s="193">
        <f t="shared" si="742"/>
        <v>0</v>
      </c>
      <c r="N1681" s="193">
        <f t="shared" si="742"/>
        <v>0</v>
      </c>
      <c r="O1681" s="193">
        <f t="shared" si="742"/>
        <v>0</v>
      </c>
      <c r="P1681" s="193">
        <f t="shared" si="742"/>
        <v>0</v>
      </c>
      <c r="Q1681" s="193">
        <f t="shared" si="742"/>
        <v>0</v>
      </c>
      <c r="R1681" s="193">
        <f t="shared" si="742"/>
        <v>0</v>
      </c>
      <c r="S1681" s="193">
        <f t="shared" si="742"/>
        <v>0</v>
      </c>
      <c r="T1681" s="193">
        <f t="shared" si="742"/>
        <v>0</v>
      </c>
      <c r="U1681" s="224">
        <f t="shared" si="742"/>
        <v>0</v>
      </c>
      <c r="W1681" s="1"/>
      <c r="X1681" s="1"/>
      <c r="Y1681" s="1"/>
    </row>
    <row r="1682" spans="6:25">
      <c r="G1682" s="26" t="s">
        <v>120</v>
      </c>
      <c r="H1682" s="6"/>
      <c r="I1682" s="32">
        <f>SUM(I1680:I1681)</f>
        <v>0</v>
      </c>
      <c r="J1682" s="33">
        <f t="shared" ref="J1682:S1682" si="743">SUM(J1680:J1681)</f>
        <v>0</v>
      </c>
      <c r="K1682" s="33">
        <f t="shared" si="743"/>
        <v>0</v>
      </c>
      <c r="L1682" s="33">
        <f t="shared" si="743"/>
        <v>0</v>
      </c>
      <c r="M1682" s="33">
        <f t="shared" si="743"/>
        <v>0</v>
      </c>
      <c r="N1682" s="33">
        <f t="shared" si="743"/>
        <v>0</v>
      </c>
      <c r="O1682" s="33">
        <f t="shared" si="743"/>
        <v>0</v>
      </c>
      <c r="P1682" s="33">
        <f t="shared" si="743"/>
        <v>0</v>
      </c>
      <c r="Q1682" s="33">
        <f t="shared" si="743"/>
        <v>0</v>
      </c>
      <c r="R1682" s="33">
        <f t="shared" si="743"/>
        <v>0</v>
      </c>
      <c r="S1682" s="33">
        <f t="shared" si="743"/>
        <v>0</v>
      </c>
      <c r="T1682" s="33">
        <f t="shared" ref="T1682:U1682" si="744">SUM(T1680:T1681)</f>
        <v>0</v>
      </c>
      <c r="U1682" s="33">
        <f t="shared" si="744"/>
        <v>0</v>
      </c>
      <c r="W1682" s="1"/>
      <c r="X1682" s="1"/>
      <c r="Y1682" s="1"/>
    </row>
    <row r="1683" spans="6:25">
      <c r="I1683" s="31"/>
      <c r="J1683" s="24"/>
      <c r="K1683" s="24"/>
      <c r="L1683" s="24"/>
      <c r="M1683" s="24"/>
      <c r="N1683" s="24"/>
      <c r="O1683" s="24"/>
      <c r="P1683" s="24"/>
      <c r="Q1683" s="24"/>
      <c r="R1683" s="24"/>
      <c r="S1683" s="24"/>
      <c r="T1683" s="24"/>
      <c r="U1683" s="24"/>
      <c r="W1683" s="1"/>
      <c r="X1683" s="1"/>
      <c r="Y1683" s="1"/>
    </row>
    <row r="1684" spans="6:25" ht="18.75">
      <c r="F1684" s="9" t="s">
        <v>30</v>
      </c>
      <c r="I1684" s="2">
        <f>'Facility Detail'!$G$3260</f>
        <v>2011</v>
      </c>
      <c r="J1684" s="2">
        <f>I1684+1</f>
        <v>2012</v>
      </c>
      <c r="K1684" s="2">
        <f>J1684+1</f>
        <v>2013</v>
      </c>
      <c r="L1684" s="2">
        <f>L1673</f>
        <v>2014</v>
      </c>
      <c r="M1684" s="2">
        <f>M1673</f>
        <v>2015</v>
      </c>
      <c r="N1684" s="2">
        <f>N1673</f>
        <v>2016</v>
      </c>
      <c r="O1684" s="2">
        <f>O1673</f>
        <v>2017</v>
      </c>
      <c r="P1684" s="2">
        <f t="shared" ref="P1684:Q1684" si="745">P1673</f>
        <v>2018</v>
      </c>
      <c r="Q1684" s="2">
        <f t="shared" si="745"/>
        <v>2019</v>
      </c>
      <c r="R1684" s="2">
        <f t="shared" ref="R1684:S1684" si="746">R1673</f>
        <v>2020</v>
      </c>
      <c r="S1684" s="2">
        <f t="shared" si="746"/>
        <v>2021</v>
      </c>
      <c r="T1684" s="2">
        <f t="shared" ref="T1684:U1684" si="747">T1673</f>
        <v>2022</v>
      </c>
      <c r="U1684" s="2">
        <f t="shared" si="747"/>
        <v>2023</v>
      </c>
      <c r="W1684" s="1"/>
      <c r="X1684" s="1"/>
      <c r="Y1684" s="1"/>
    </row>
    <row r="1685" spans="6:25">
      <c r="G1685" s="62" t="s">
        <v>47</v>
      </c>
      <c r="H1685" s="57"/>
      <c r="I1685" s="71"/>
      <c r="J1685" s="72"/>
      <c r="K1685" s="72"/>
      <c r="L1685" s="72"/>
      <c r="M1685" s="72"/>
      <c r="N1685" s="72"/>
      <c r="O1685" s="72"/>
      <c r="P1685" s="72"/>
      <c r="Q1685" s="72"/>
      <c r="R1685" s="72"/>
      <c r="S1685" s="72"/>
      <c r="T1685" s="72"/>
      <c r="U1685" s="73"/>
      <c r="W1685" s="1"/>
      <c r="X1685" s="1"/>
      <c r="Y1685" s="1"/>
    </row>
    <row r="1686" spans="6:25">
      <c r="G1686" s="63" t="s">
        <v>23</v>
      </c>
      <c r="H1686" s="135"/>
      <c r="I1686" s="74"/>
      <c r="J1686" s="75"/>
      <c r="K1686" s="75"/>
      <c r="L1686" s="75"/>
      <c r="M1686" s="75"/>
      <c r="N1686" s="75"/>
      <c r="O1686" s="75"/>
      <c r="P1686" s="75"/>
      <c r="Q1686" s="75"/>
      <c r="R1686" s="75"/>
      <c r="S1686" s="75"/>
      <c r="T1686" s="75"/>
      <c r="U1686" s="76"/>
      <c r="W1686" s="1"/>
      <c r="X1686" s="1"/>
      <c r="Y1686" s="1"/>
    </row>
    <row r="1687" spans="6:25">
      <c r="G1687" s="63" t="s">
        <v>89</v>
      </c>
      <c r="H1687" s="134"/>
      <c r="I1687" s="43"/>
      <c r="J1687" s="44"/>
      <c r="K1687" s="44"/>
      <c r="L1687" s="44"/>
      <c r="M1687" s="44"/>
      <c r="N1687" s="44"/>
      <c r="O1687" s="44"/>
      <c r="P1687" s="44"/>
      <c r="Q1687" s="44"/>
      <c r="R1687" s="44"/>
      <c r="S1687" s="44"/>
      <c r="T1687" s="44"/>
      <c r="U1687" s="45"/>
      <c r="W1687" s="1"/>
      <c r="X1687" s="1"/>
      <c r="Y1687" s="1"/>
    </row>
    <row r="1688" spans="6:25">
      <c r="G1688" s="26" t="s">
        <v>90</v>
      </c>
      <c r="I1688" s="7">
        <f t="shared" ref="I1688:N1688" si="748">SUM(I1685:I1687)</f>
        <v>0</v>
      </c>
      <c r="J1688" s="7">
        <f t="shared" si="748"/>
        <v>0</v>
      </c>
      <c r="K1688" s="7">
        <f t="shared" si="748"/>
        <v>0</v>
      </c>
      <c r="L1688" s="7">
        <f t="shared" si="748"/>
        <v>0</v>
      </c>
      <c r="M1688" s="7">
        <f t="shared" si="748"/>
        <v>0</v>
      </c>
      <c r="N1688" s="7">
        <f t="shared" si="748"/>
        <v>0</v>
      </c>
      <c r="O1688" s="7">
        <f t="shared" ref="O1688:Q1688" si="749">SUM(O1685:O1687)</f>
        <v>0</v>
      </c>
      <c r="P1688" s="7">
        <f t="shared" si="749"/>
        <v>0</v>
      </c>
      <c r="Q1688" s="7">
        <f t="shared" si="749"/>
        <v>0</v>
      </c>
      <c r="R1688" s="7">
        <f t="shared" ref="R1688:S1688" si="750">SUM(R1685:R1687)</f>
        <v>0</v>
      </c>
      <c r="S1688" s="7">
        <f t="shared" si="750"/>
        <v>0</v>
      </c>
      <c r="T1688" s="7">
        <f t="shared" ref="T1688:U1688" si="751">SUM(T1685:T1687)</f>
        <v>0</v>
      </c>
      <c r="U1688" s="7">
        <f t="shared" si="751"/>
        <v>0</v>
      </c>
      <c r="W1688" s="1"/>
      <c r="X1688" s="1"/>
      <c r="Y1688" s="1"/>
    </row>
    <row r="1689" spans="6:25">
      <c r="G1689" s="6"/>
      <c r="I1689" s="7"/>
      <c r="J1689" s="7"/>
      <c r="K1689" s="7"/>
      <c r="L1689" s="23"/>
      <c r="M1689" s="23"/>
      <c r="N1689" s="23"/>
      <c r="O1689" s="23"/>
      <c r="P1689" s="23"/>
      <c r="Q1689" s="23"/>
      <c r="R1689" s="23"/>
      <c r="S1689" s="23"/>
      <c r="T1689" s="23"/>
      <c r="U1689" s="23"/>
      <c r="W1689" s="1"/>
      <c r="X1689" s="1"/>
      <c r="Y1689" s="1"/>
    </row>
    <row r="1690" spans="6:25" ht="18.75">
      <c r="F1690" s="9" t="s">
        <v>100</v>
      </c>
      <c r="I1690" s="2">
        <f>'Facility Detail'!$G$3260</f>
        <v>2011</v>
      </c>
      <c r="J1690" s="2">
        <f t="shared" ref="J1690:O1690" si="752">I1690+1</f>
        <v>2012</v>
      </c>
      <c r="K1690" s="2">
        <f t="shared" si="752"/>
        <v>2013</v>
      </c>
      <c r="L1690" s="2">
        <f t="shared" si="752"/>
        <v>2014</v>
      </c>
      <c r="M1690" s="2">
        <f t="shared" si="752"/>
        <v>2015</v>
      </c>
      <c r="N1690" s="2">
        <f t="shared" si="752"/>
        <v>2016</v>
      </c>
      <c r="O1690" s="2">
        <f t="shared" si="752"/>
        <v>2017</v>
      </c>
      <c r="P1690" s="2">
        <f t="shared" ref="P1690" si="753">O1690+1</f>
        <v>2018</v>
      </c>
      <c r="Q1690" s="2">
        <f t="shared" ref="Q1690" si="754">P1690+1</f>
        <v>2019</v>
      </c>
      <c r="R1690" s="2">
        <f t="shared" ref="R1690" si="755">Q1690+1</f>
        <v>2020</v>
      </c>
      <c r="S1690" s="2">
        <f>R1690+1</f>
        <v>2021</v>
      </c>
      <c r="T1690" s="2">
        <f>S1690+1</f>
        <v>2022</v>
      </c>
      <c r="U1690" s="2">
        <f>T1690+1</f>
        <v>2023</v>
      </c>
      <c r="W1690" s="1"/>
      <c r="X1690" s="1"/>
      <c r="Y1690" s="1"/>
    </row>
    <row r="1691" spans="6:25">
      <c r="G1691" s="62" t="s">
        <v>68</v>
      </c>
      <c r="I1691" s="3"/>
      <c r="J1691" s="46">
        <f>I1691</f>
        <v>0</v>
      </c>
      <c r="K1691" s="106"/>
      <c r="L1691" s="106"/>
      <c r="M1691" s="106"/>
      <c r="N1691" s="106"/>
      <c r="O1691" s="106"/>
      <c r="P1691" s="106"/>
      <c r="Q1691" s="106"/>
      <c r="R1691" s="106"/>
      <c r="S1691" s="106"/>
      <c r="T1691" s="217"/>
      <c r="U1691" s="47"/>
      <c r="W1691" s="1"/>
      <c r="X1691" s="1"/>
      <c r="Y1691" s="1"/>
    </row>
    <row r="1692" spans="6:25">
      <c r="G1692" s="62" t="s">
        <v>69</v>
      </c>
      <c r="I1692" s="127">
        <f>J1692</f>
        <v>0</v>
      </c>
      <c r="J1692" s="10"/>
      <c r="K1692" s="60"/>
      <c r="L1692" s="60"/>
      <c r="M1692" s="60"/>
      <c r="N1692" s="60"/>
      <c r="O1692" s="60"/>
      <c r="P1692" s="60"/>
      <c r="Q1692" s="60"/>
      <c r="R1692" s="60"/>
      <c r="S1692" s="60"/>
      <c r="T1692" s="218"/>
      <c r="U1692" s="128"/>
      <c r="W1692" s="1"/>
      <c r="X1692" s="1"/>
      <c r="Y1692" s="1"/>
    </row>
    <row r="1693" spans="6:25">
      <c r="G1693" s="62" t="s">
        <v>70</v>
      </c>
      <c r="I1693" s="48"/>
      <c r="J1693" s="10"/>
      <c r="K1693" s="56">
        <f>J1693</f>
        <v>0</v>
      </c>
      <c r="L1693" s="60"/>
      <c r="M1693" s="60"/>
      <c r="N1693" s="60"/>
      <c r="O1693" s="60"/>
      <c r="P1693" s="60"/>
      <c r="Q1693" s="60"/>
      <c r="R1693" s="60"/>
      <c r="S1693" s="60"/>
      <c r="T1693" s="218"/>
      <c r="U1693" s="128"/>
      <c r="W1693" s="1"/>
      <c r="X1693" s="1"/>
      <c r="Y1693" s="1"/>
    </row>
    <row r="1694" spans="6:25">
      <c r="G1694" s="62" t="s">
        <v>71</v>
      </c>
      <c r="I1694" s="48"/>
      <c r="J1694" s="56">
        <f>K1694</f>
        <v>0</v>
      </c>
      <c r="K1694" s="10"/>
      <c r="L1694" s="60"/>
      <c r="M1694" s="60"/>
      <c r="N1694" s="60"/>
      <c r="O1694" s="60"/>
      <c r="P1694" s="60"/>
      <c r="Q1694" s="60"/>
      <c r="R1694" s="60"/>
      <c r="S1694" s="60"/>
      <c r="T1694" s="218"/>
      <c r="U1694" s="128"/>
      <c r="W1694" s="1"/>
      <c r="X1694" s="1"/>
      <c r="Y1694" s="1"/>
    </row>
    <row r="1695" spans="6:25">
      <c r="G1695" s="62" t="s">
        <v>170</v>
      </c>
      <c r="I1695" s="48"/>
      <c r="J1695" s="118"/>
      <c r="K1695" s="10"/>
      <c r="L1695" s="119">
        <f>K1695</f>
        <v>0</v>
      </c>
      <c r="M1695" s="60"/>
      <c r="N1695" s="60"/>
      <c r="O1695" s="60"/>
      <c r="P1695" s="60"/>
      <c r="Q1695" s="60"/>
      <c r="R1695" s="60"/>
      <c r="S1695" s="60"/>
      <c r="T1695" s="146"/>
      <c r="U1695" s="122"/>
      <c r="W1695" s="1"/>
      <c r="X1695" s="1"/>
      <c r="Y1695" s="1"/>
    </row>
    <row r="1696" spans="6:25">
      <c r="G1696" s="62" t="s">
        <v>171</v>
      </c>
      <c r="I1696" s="48"/>
      <c r="J1696" s="118"/>
      <c r="K1696" s="56">
        <f>L1696</f>
        <v>0</v>
      </c>
      <c r="L1696" s="10"/>
      <c r="M1696" s="60"/>
      <c r="N1696" s="60"/>
      <c r="O1696" s="60" t="s">
        <v>169</v>
      </c>
      <c r="P1696" s="60" t="s">
        <v>169</v>
      </c>
      <c r="Q1696" s="60" t="s">
        <v>169</v>
      </c>
      <c r="R1696" s="60" t="s">
        <v>169</v>
      </c>
      <c r="S1696" s="60" t="s">
        <v>169</v>
      </c>
      <c r="T1696" s="146" t="s">
        <v>169</v>
      </c>
      <c r="U1696" s="122" t="s">
        <v>169</v>
      </c>
      <c r="W1696" s="1"/>
      <c r="X1696" s="1"/>
      <c r="Y1696" s="1"/>
    </row>
    <row r="1697" spans="7:25">
      <c r="G1697" s="62" t="s">
        <v>172</v>
      </c>
      <c r="I1697" s="48"/>
      <c r="J1697" s="118"/>
      <c r="K1697" s="118"/>
      <c r="L1697" s="10"/>
      <c r="M1697" s="119">
        <f>L1697</f>
        <v>0</v>
      </c>
      <c r="N1697" s="118">
        <f>M1697</f>
        <v>0</v>
      </c>
      <c r="O1697" s="60"/>
      <c r="P1697" s="60"/>
      <c r="Q1697" s="60"/>
      <c r="R1697" s="60"/>
      <c r="S1697" s="60"/>
      <c r="T1697" s="146"/>
      <c r="U1697" s="122"/>
      <c r="W1697" s="1"/>
      <c r="X1697" s="1"/>
      <c r="Y1697" s="1"/>
    </row>
    <row r="1698" spans="7:25">
      <c r="G1698" s="62" t="s">
        <v>173</v>
      </c>
      <c r="I1698" s="48"/>
      <c r="J1698" s="118"/>
      <c r="K1698" s="118"/>
      <c r="L1698" s="56">
        <f>M1698</f>
        <v>0</v>
      </c>
      <c r="M1698" s="10"/>
      <c r="N1698" s="118"/>
      <c r="O1698" s="60"/>
      <c r="P1698" s="60"/>
      <c r="Q1698" s="60"/>
      <c r="R1698" s="60"/>
      <c r="S1698" s="60"/>
      <c r="T1698" s="146"/>
      <c r="U1698" s="122"/>
      <c r="W1698" s="1"/>
      <c r="X1698" s="1"/>
      <c r="Y1698" s="1"/>
    </row>
    <row r="1699" spans="7:25">
      <c r="G1699" s="62" t="s">
        <v>174</v>
      </c>
      <c r="I1699" s="48"/>
      <c r="J1699" s="118"/>
      <c r="K1699" s="118"/>
      <c r="L1699" s="118"/>
      <c r="M1699" s="10">
        <v>0</v>
      </c>
      <c r="N1699" s="119">
        <f>M1699</f>
        <v>0</v>
      </c>
      <c r="O1699" s="60"/>
      <c r="P1699" s="60"/>
      <c r="Q1699" s="60"/>
      <c r="R1699" s="60"/>
      <c r="S1699" s="60"/>
      <c r="T1699" s="146"/>
      <c r="U1699" s="122"/>
      <c r="W1699" s="1"/>
      <c r="X1699" s="1"/>
      <c r="Y1699" s="1"/>
    </row>
    <row r="1700" spans="7:25">
      <c r="G1700" s="62" t="s">
        <v>175</v>
      </c>
      <c r="I1700" s="48"/>
      <c r="J1700" s="118"/>
      <c r="K1700" s="118"/>
      <c r="L1700" s="118"/>
      <c r="M1700" s="56"/>
      <c r="N1700" s="10"/>
      <c r="O1700" s="60"/>
      <c r="P1700" s="60"/>
      <c r="Q1700" s="60"/>
      <c r="R1700" s="60"/>
      <c r="S1700" s="60"/>
      <c r="T1700" s="146"/>
      <c r="U1700" s="122"/>
      <c r="W1700" s="1"/>
      <c r="X1700" s="1"/>
      <c r="Y1700" s="1"/>
    </row>
    <row r="1701" spans="7:25">
      <c r="G1701" s="62" t="s">
        <v>176</v>
      </c>
      <c r="I1701" s="48"/>
      <c r="J1701" s="118"/>
      <c r="K1701" s="118"/>
      <c r="L1701" s="118"/>
      <c r="M1701" s="118"/>
      <c r="N1701" s="149">
        <v>0</v>
      </c>
      <c r="O1701" s="120"/>
      <c r="P1701" s="60"/>
      <c r="Q1701" s="60"/>
      <c r="R1701" s="60"/>
      <c r="S1701" s="60"/>
      <c r="T1701" s="146"/>
      <c r="U1701" s="122"/>
      <c r="W1701" s="1"/>
      <c r="X1701" s="1"/>
      <c r="Y1701" s="1"/>
    </row>
    <row r="1702" spans="7:25">
      <c r="G1702" s="62" t="s">
        <v>167</v>
      </c>
      <c r="I1702" s="48"/>
      <c r="J1702" s="118"/>
      <c r="K1702" s="118"/>
      <c r="L1702" s="118"/>
      <c r="M1702" s="118"/>
      <c r="N1702" s="150">
        <f>O1701</f>
        <v>0</v>
      </c>
      <c r="O1702" s="121"/>
      <c r="P1702" s="60"/>
      <c r="Q1702" s="60"/>
      <c r="R1702" s="60"/>
      <c r="S1702" s="60"/>
      <c r="T1702" s="146"/>
      <c r="U1702" s="122"/>
      <c r="W1702" s="1"/>
      <c r="X1702" s="1"/>
      <c r="Y1702" s="1"/>
    </row>
    <row r="1703" spans="7:25">
      <c r="G1703" s="62" t="s">
        <v>168</v>
      </c>
      <c r="I1703" s="48"/>
      <c r="J1703" s="118"/>
      <c r="K1703" s="118"/>
      <c r="L1703" s="118"/>
      <c r="M1703" s="118"/>
      <c r="N1703" s="118"/>
      <c r="O1703" s="121">
        <v>0</v>
      </c>
      <c r="P1703" s="120"/>
      <c r="Q1703" s="60"/>
      <c r="R1703" s="60"/>
      <c r="S1703" s="60"/>
      <c r="T1703" s="146"/>
      <c r="U1703" s="122"/>
      <c r="W1703" s="1"/>
      <c r="X1703" s="1"/>
      <c r="Y1703" s="1"/>
    </row>
    <row r="1704" spans="7:25">
      <c r="G1704" s="62" t="s">
        <v>185</v>
      </c>
      <c r="I1704" s="48"/>
      <c r="J1704" s="118"/>
      <c r="K1704" s="118"/>
      <c r="L1704" s="118"/>
      <c r="M1704" s="118"/>
      <c r="N1704" s="118"/>
      <c r="O1704" s="120"/>
      <c r="P1704" s="121"/>
      <c r="Q1704" s="60"/>
      <c r="R1704" s="60"/>
      <c r="S1704" s="60"/>
      <c r="T1704" s="146"/>
      <c r="U1704" s="122"/>
      <c r="W1704" s="1"/>
      <c r="X1704" s="1"/>
      <c r="Y1704" s="1"/>
    </row>
    <row r="1705" spans="7:25">
      <c r="G1705" s="62" t="s">
        <v>186</v>
      </c>
      <c r="I1705" s="48"/>
      <c r="J1705" s="118"/>
      <c r="K1705" s="118"/>
      <c r="L1705" s="118"/>
      <c r="M1705" s="118"/>
      <c r="N1705" s="118"/>
      <c r="O1705" s="118"/>
      <c r="P1705" s="121"/>
      <c r="Q1705" s="56"/>
      <c r="R1705" s="60"/>
      <c r="S1705" s="60"/>
      <c r="T1705" s="146"/>
      <c r="U1705" s="122"/>
      <c r="W1705" s="1"/>
      <c r="X1705" s="1"/>
      <c r="Y1705" s="1"/>
    </row>
    <row r="1706" spans="7:25">
      <c r="G1706" s="62" t="s">
        <v>187</v>
      </c>
      <c r="I1706" s="48"/>
      <c r="J1706" s="118"/>
      <c r="K1706" s="118"/>
      <c r="L1706" s="118"/>
      <c r="M1706" s="118"/>
      <c r="N1706" s="118"/>
      <c r="O1706" s="118"/>
      <c r="P1706" s="120"/>
      <c r="Q1706" s="306"/>
      <c r="R1706" s="60"/>
      <c r="S1706" s="60"/>
      <c r="T1706" s="146"/>
      <c r="U1706" s="122"/>
      <c r="W1706" s="1"/>
      <c r="X1706" s="1"/>
      <c r="Y1706" s="1"/>
    </row>
    <row r="1707" spans="7:25">
      <c r="G1707" s="62" t="s">
        <v>188</v>
      </c>
      <c r="I1707" s="48"/>
      <c r="J1707" s="118"/>
      <c r="K1707" s="118"/>
      <c r="L1707" s="118"/>
      <c r="M1707" s="118"/>
      <c r="N1707" s="118"/>
      <c r="O1707" s="118"/>
      <c r="P1707" s="118"/>
      <c r="Q1707" s="121"/>
      <c r="R1707" s="151"/>
      <c r="S1707" s="60"/>
      <c r="T1707" s="146"/>
      <c r="U1707" s="122"/>
      <c r="W1707" s="1"/>
      <c r="X1707" s="1"/>
      <c r="Y1707" s="1"/>
    </row>
    <row r="1708" spans="7:25">
      <c r="G1708" s="62" t="s">
        <v>189</v>
      </c>
      <c r="I1708" s="48"/>
      <c r="J1708" s="118"/>
      <c r="K1708" s="118"/>
      <c r="L1708" s="118"/>
      <c r="M1708" s="118"/>
      <c r="N1708" s="118"/>
      <c r="O1708" s="118"/>
      <c r="P1708" s="118"/>
      <c r="Q1708" s="151"/>
      <c r="R1708" s="173"/>
      <c r="S1708" s="60"/>
      <c r="T1708" s="146"/>
      <c r="U1708" s="122"/>
      <c r="W1708" s="1"/>
      <c r="X1708" s="1"/>
      <c r="Y1708" s="1"/>
    </row>
    <row r="1709" spans="7:25">
      <c r="G1709" s="62" t="s">
        <v>190</v>
      </c>
      <c r="I1709" s="48"/>
      <c r="J1709" s="118"/>
      <c r="K1709" s="118"/>
      <c r="L1709" s="118"/>
      <c r="M1709" s="118"/>
      <c r="N1709" s="118"/>
      <c r="O1709" s="118"/>
      <c r="P1709" s="118"/>
      <c r="Q1709" s="118"/>
      <c r="R1709" s="173"/>
      <c r="S1709" s="151">
        <f>R1709</f>
        <v>0</v>
      </c>
      <c r="T1709" s="146"/>
      <c r="U1709" s="122"/>
      <c r="W1709" s="1"/>
      <c r="X1709" s="1"/>
      <c r="Y1709" s="1"/>
    </row>
    <row r="1710" spans="7:25">
      <c r="G1710" s="62" t="s">
        <v>199</v>
      </c>
      <c r="I1710" s="48"/>
      <c r="J1710" s="118"/>
      <c r="K1710" s="118"/>
      <c r="L1710" s="118"/>
      <c r="M1710" s="118"/>
      <c r="N1710" s="118"/>
      <c r="O1710" s="118"/>
      <c r="P1710" s="118"/>
      <c r="Q1710" s="118"/>
      <c r="R1710" s="120"/>
      <c r="S1710" s="173">
        <v>0</v>
      </c>
      <c r="T1710" s="146"/>
      <c r="U1710" s="122"/>
      <c r="W1710" s="1"/>
      <c r="X1710" s="1"/>
      <c r="Y1710" s="1"/>
    </row>
    <row r="1711" spans="7:25">
      <c r="G1711" s="62" t="s">
        <v>200</v>
      </c>
      <c r="I1711" s="48"/>
      <c r="J1711" s="118"/>
      <c r="K1711" s="118"/>
      <c r="L1711" s="118"/>
      <c r="M1711" s="118"/>
      <c r="N1711" s="118"/>
      <c r="O1711" s="118"/>
      <c r="P1711" s="118"/>
      <c r="Q1711" s="118"/>
      <c r="R1711" s="118"/>
      <c r="S1711" s="173">
        <v>0</v>
      </c>
      <c r="T1711" s="151">
        <f>S1711</f>
        <v>0</v>
      </c>
      <c r="U1711" s="122"/>
      <c r="W1711" s="1"/>
      <c r="X1711" s="1"/>
      <c r="Y1711" s="1"/>
    </row>
    <row r="1712" spans="7:25">
      <c r="G1712" s="62" t="s">
        <v>308</v>
      </c>
      <c r="I1712" s="48"/>
      <c r="J1712" s="118"/>
      <c r="K1712" s="118"/>
      <c r="L1712" s="118"/>
      <c r="M1712" s="118"/>
      <c r="N1712" s="118"/>
      <c r="O1712" s="118"/>
      <c r="P1712" s="118"/>
      <c r="Q1712" s="118"/>
      <c r="R1712" s="118"/>
      <c r="S1712" s="120">
        <f>T1712</f>
        <v>0</v>
      </c>
      <c r="T1712" s="173">
        <v>0</v>
      </c>
      <c r="U1712" s="122"/>
      <c r="W1712" s="1"/>
      <c r="X1712" s="1"/>
      <c r="Y1712" s="1"/>
    </row>
    <row r="1713" spans="2:25">
      <c r="G1713" s="62" t="s">
        <v>307</v>
      </c>
      <c r="I1713" s="114"/>
      <c r="J1713" s="107"/>
      <c r="K1713" s="107"/>
      <c r="L1713" s="107"/>
      <c r="M1713" s="107"/>
      <c r="N1713" s="107"/>
      <c r="O1713" s="107"/>
      <c r="P1713" s="107"/>
      <c r="Q1713" s="107"/>
      <c r="R1713" s="107"/>
      <c r="S1713" s="107"/>
      <c r="T1713" s="173">
        <v>0</v>
      </c>
      <c r="U1713" s="456">
        <f>T1713</f>
        <v>0</v>
      </c>
      <c r="W1713" s="1"/>
      <c r="X1713" s="1"/>
      <c r="Y1713" s="1"/>
    </row>
    <row r="1714" spans="2:25">
      <c r="G1714" s="62" t="s">
        <v>318</v>
      </c>
      <c r="I1714" s="114"/>
      <c r="J1714" s="107"/>
      <c r="K1714" s="107"/>
      <c r="L1714" s="107"/>
      <c r="M1714" s="107"/>
      <c r="N1714" s="107"/>
      <c r="O1714" s="107"/>
      <c r="P1714" s="107"/>
      <c r="Q1714" s="107"/>
      <c r="R1714" s="107"/>
      <c r="S1714" s="107"/>
      <c r="T1714" s="120">
        <f>U1714</f>
        <v>0</v>
      </c>
      <c r="U1714" s="457">
        <v>0</v>
      </c>
      <c r="W1714" s="1"/>
      <c r="X1714" s="1"/>
      <c r="Y1714" s="1"/>
    </row>
    <row r="1715" spans="2:25">
      <c r="G1715" s="62" t="s">
        <v>319</v>
      </c>
      <c r="I1715" s="49"/>
      <c r="J1715" s="194"/>
      <c r="K1715" s="194"/>
      <c r="L1715" s="194"/>
      <c r="M1715" s="194"/>
      <c r="N1715" s="194"/>
      <c r="O1715" s="194"/>
      <c r="P1715" s="194"/>
      <c r="Q1715" s="194"/>
      <c r="R1715" s="194"/>
      <c r="S1715" s="194"/>
      <c r="T1715" s="194"/>
      <c r="U1715" s="458">
        <v>0</v>
      </c>
      <c r="W1715" s="1"/>
      <c r="X1715" s="1"/>
      <c r="Y1715" s="1"/>
    </row>
    <row r="1716" spans="2:25">
      <c r="B1716" s="1" t="s">
        <v>221</v>
      </c>
      <c r="G1716" s="26" t="s">
        <v>17</v>
      </c>
      <c r="I1716" s="7">
        <f xml:space="preserve"> I1692 - I1691</f>
        <v>0</v>
      </c>
      <c r="J1716" s="7">
        <f xml:space="preserve"> J1691 + J1694 - J1693 - J1692</f>
        <v>0</v>
      </c>
      <c r="K1716" s="7">
        <f>K1693 - K1694 -K1695</f>
        <v>0</v>
      </c>
      <c r="L1716" s="7">
        <f>L1695-L1696-L1697</f>
        <v>0</v>
      </c>
      <c r="M1716" s="7">
        <f>M1697</f>
        <v>0</v>
      </c>
      <c r="N1716" s="7">
        <f>N1697</f>
        <v>0</v>
      </c>
      <c r="O1716" s="7">
        <f t="shared" ref="O1716:R1716" si="756">O1701-O1702-O1703</f>
        <v>0</v>
      </c>
      <c r="P1716" s="154">
        <f t="shared" si="756"/>
        <v>0</v>
      </c>
      <c r="Q1716" s="154">
        <f t="shared" si="756"/>
        <v>0</v>
      </c>
      <c r="R1716" s="154">
        <f t="shared" si="756"/>
        <v>0</v>
      </c>
      <c r="S1716" s="7">
        <f>S1709-S1710+S1711-S1712</f>
        <v>0</v>
      </c>
      <c r="T1716" s="7">
        <f>T1711-T1712-T1713+T1714</f>
        <v>0</v>
      </c>
      <c r="U1716" s="7">
        <f>U1713-U1714-U1715</f>
        <v>0</v>
      </c>
      <c r="W1716" s="1"/>
      <c r="X1716" s="1"/>
      <c r="Y1716" s="1"/>
    </row>
    <row r="1717" spans="2:25">
      <c r="G1717" s="6"/>
      <c r="I1717" s="154"/>
      <c r="J1717" s="154"/>
      <c r="K1717" s="154"/>
      <c r="L1717" s="154"/>
      <c r="M1717" s="154"/>
      <c r="N1717" s="154"/>
      <c r="O1717" s="154"/>
      <c r="P1717" s="154"/>
      <c r="Q1717" s="154"/>
      <c r="R1717" s="154"/>
      <c r="S1717" s="154"/>
      <c r="T1717" s="154"/>
      <c r="U1717" s="154"/>
      <c r="W1717" s="1"/>
      <c r="X1717" s="1"/>
      <c r="Y1717" s="1"/>
    </row>
    <row r="1718" spans="2:25">
      <c r="G1718" s="26" t="s">
        <v>12</v>
      </c>
      <c r="H1718" s="57"/>
      <c r="I1718" s="155"/>
      <c r="J1718" s="156"/>
      <c r="K1718" s="156"/>
      <c r="L1718" s="156"/>
      <c r="M1718" s="156"/>
      <c r="N1718" s="156"/>
      <c r="O1718" s="156"/>
      <c r="P1718" s="156"/>
      <c r="Q1718" s="156"/>
      <c r="R1718" s="156"/>
      <c r="S1718" s="156"/>
      <c r="T1718" s="156"/>
      <c r="U1718" s="267"/>
      <c r="W1718" s="1"/>
      <c r="X1718" s="1"/>
      <c r="Y1718" s="1"/>
    </row>
    <row r="1719" spans="2:25">
      <c r="G1719" s="6"/>
      <c r="I1719" s="154"/>
      <c r="J1719" s="154"/>
      <c r="K1719" s="154"/>
      <c r="L1719" s="154"/>
      <c r="M1719" s="154"/>
      <c r="N1719" s="154"/>
      <c r="O1719" s="154"/>
      <c r="P1719" s="154"/>
      <c r="Q1719" s="154"/>
      <c r="R1719" s="154"/>
      <c r="S1719" s="154"/>
      <c r="T1719" s="154"/>
      <c r="U1719" s="154"/>
      <c r="W1719" s="1"/>
      <c r="X1719" s="1"/>
      <c r="Y1719" s="1"/>
    </row>
    <row r="1720" spans="2:25" ht="18.75">
      <c r="C1720" s="1" t="s">
        <v>221</v>
      </c>
      <c r="D1720" s="1" t="s">
        <v>141</v>
      </c>
      <c r="E1720" s="1" t="s">
        <v>114</v>
      </c>
      <c r="F1720" s="9" t="s">
        <v>26</v>
      </c>
      <c r="H1720" s="57"/>
      <c r="I1720" s="157">
        <f xml:space="preserve"> I1677 + I1682 - I1688 + I1716 + I1718</f>
        <v>0</v>
      </c>
      <c r="J1720" s="158">
        <v>1355</v>
      </c>
      <c r="K1720" s="158">
        <f t="shared" ref="K1720:S1720" si="757" xml:space="preserve"> K1677 + K1682 - K1688 + K1716 + K1718</f>
        <v>997</v>
      </c>
      <c r="L1720" s="158">
        <f t="shared" si="757"/>
        <v>1148</v>
      </c>
      <c r="M1720" s="158">
        <f t="shared" si="757"/>
        <v>1011</v>
      </c>
      <c r="N1720" s="158">
        <f t="shared" si="757"/>
        <v>1113</v>
      </c>
      <c r="O1720" s="158">
        <f t="shared" si="757"/>
        <v>1438</v>
      </c>
      <c r="P1720" s="158">
        <f t="shared" si="757"/>
        <v>1007</v>
      </c>
      <c r="Q1720" s="158">
        <f t="shared" si="757"/>
        <v>892.99835228774452</v>
      </c>
      <c r="R1720" s="158">
        <f t="shared" ref="R1720" si="758" xml:space="preserve"> R1677 + R1682 - R1688 + R1716 + R1718</f>
        <v>684.52626447897603</v>
      </c>
      <c r="S1720" s="158">
        <f t="shared" si="757"/>
        <v>675</v>
      </c>
      <c r="T1720" s="158">
        <f t="shared" ref="T1720:U1720" si="759" xml:space="preserve"> T1677 + T1682 - T1688 + T1716 + T1718</f>
        <v>832.49601722618843</v>
      </c>
      <c r="U1720" s="268">
        <f t="shared" si="759"/>
        <v>936.89082763834108</v>
      </c>
      <c r="W1720" s="1"/>
      <c r="X1720" s="1"/>
      <c r="Y1720" s="1"/>
    </row>
    <row r="1721" spans="2:25">
      <c r="G1721" s="6"/>
      <c r="I1721" s="7"/>
      <c r="J1721" s="7"/>
      <c r="K1721" s="7"/>
      <c r="L1721" s="23"/>
      <c r="M1721" s="23"/>
      <c r="N1721" s="23"/>
      <c r="O1721" s="23"/>
      <c r="P1721" s="23"/>
      <c r="Q1721" s="23"/>
      <c r="R1721" s="23"/>
      <c r="S1721" s="282"/>
      <c r="T1721" s="23"/>
      <c r="U1721" s="23"/>
      <c r="W1721" s="1"/>
      <c r="X1721" s="1"/>
      <c r="Y1721" s="1"/>
    </row>
    <row r="1722" spans="2:25" ht="15.75" thickBot="1">
      <c r="W1722" s="1"/>
      <c r="X1722" s="1"/>
      <c r="Y1722" s="1"/>
    </row>
    <row r="1723" spans="2:25">
      <c r="F1723" s="8"/>
      <c r="G1723" s="8"/>
      <c r="H1723" s="8"/>
      <c r="I1723" s="8"/>
      <c r="J1723" s="8"/>
      <c r="K1723" s="8"/>
      <c r="L1723" s="8"/>
      <c r="M1723" s="8"/>
      <c r="N1723" s="8"/>
      <c r="O1723" s="8"/>
      <c r="P1723" s="8"/>
      <c r="Q1723" s="8"/>
      <c r="R1723" s="8"/>
      <c r="S1723" s="290"/>
      <c r="T1723" s="8"/>
      <c r="U1723" s="8"/>
      <c r="W1723" s="1"/>
      <c r="X1723" s="1"/>
      <c r="Y1723" s="1"/>
    </row>
    <row r="1724" spans="2:25" ht="15.75" thickBot="1">
      <c r="W1724" s="1"/>
      <c r="X1724" s="1"/>
      <c r="Y1724" s="1"/>
    </row>
    <row r="1725" spans="2:25" ht="21.75" thickBot="1">
      <c r="F1725" s="13" t="s">
        <v>4</v>
      </c>
      <c r="G1725" s="13"/>
      <c r="H1725" s="185" t="s">
        <v>205</v>
      </c>
      <c r="I1725" s="186"/>
      <c r="J1725" s="174"/>
      <c r="S1725" s="1"/>
      <c r="W1725" s="1"/>
      <c r="X1725" s="1"/>
      <c r="Y1725" s="1"/>
    </row>
    <row r="1726" spans="2:25">
      <c r="S1726" s="1"/>
      <c r="W1726" s="1"/>
      <c r="X1726" s="1"/>
      <c r="Y1726" s="1"/>
    </row>
    <row r="1727" spans="2:25" ht="18.75">
      <c r="F1727" s="9" t="s">
        <v>21</v>
      </c>
      <c r="G1727" s="9"/>
      <c r="I1727" s="2">
        <f>'Facility Detail'!$G$3260</f>
        <v>2011</v>
      </c>
      <c r="J1727" s="2">
        <f>I1727+1</f>
        <v>2012</v>
      </c>
      <c r="K1727" s="2">
        <f>J1727+1</f>
        <v>2013</v>
      </c>
      <c r="L1727" s="2">
        <f>K1727+1</f>
        <v>2014</v>
      </c>
      <c r="M1727" s="2">
        <f>L1727+1</f>
        <v>2015</v>
      </c>
      <c r="N1727" s="2">
        <f>M1727+1</f>
        <v>2016</v>
      </c>
      <c r="O1727" s="2">
        <f t="shared" ref="O1727:P1727" si="760">N1727+1</f>
        <v>2017</v>
      </c>
      <c r="P1727" s="2">
        <f t="shared" si="760"/>
        <v>2018</v>
      </c>
      <c r="Q1727" s="2">
        <f t="shared" ref="Q1727" si="761">P1727+1</f>
        <v>2019</v>
      </c>
      <c r="R1727" s="2">
        <f t="shared" ref="R1727" si="762">Q1727+1</f>
        <v>2020</v>
      </c>
      <c r="S1727" s="2">
        <f>R1727+1</f>
        <v>2021</v>
      </c>
      <c r="T1727" s="2">
        <f>S1727+1</f>
        <v>2022</v>
      </c>
      <c r="U1727" s="2">
        <f>T1727+1</f>
        <v>2023</v>
      </c>
      <c r="W1727" s="1"/>
      <c r="X1727" s="1"/>
      <c r="Y1727" s="1"/>
    </row>
    <row r="1728" spans="2:25">
      <c r="G1728" s="62" t="str">
        <f>"Total MWh Produced / Purchased from " &amp; H1725</f>
        <v>Total MWh Produced / Purchased from Lemolo 2 (Upgrage 2009)</v>
      </c>
      <c r="H1728" s="57"/>
      <c r="I1728" s="3"/>
      <c r="J1728" s="4">
        <v>1780.5182</v>
      </c>
      <c r="K1728" s="4">
        <v>1290.0086000000001</v>
      </c>
      <c r="L1728" s="4">
        <v>1355</v>
      </c>
      <c r="M1728" s="4">
        <v>1066</v>
      </c>
      <c r="N1728" s="4">
        <v>1144</v>
      </c>
      <c r="O1728" s="4">
        <v>1567</v>
      </c>
      <c r="P1728" s="4">
        <v>1037.6651999999999</v>
      </c>
      <c r="Q1728" s="4">
        <v>1130</v>
      </c>
      <c r="R1728" s="4">
        <v>747</v>
      </c>
      <c r="S1728" s="4">
        <v>790</v>
      </c>
      <c r="T1728" s="4">
        <v>847</v>
      </c>
      <c r="U1728" s="5">
        <v>1256</v>
      </c>
      <c r="W1728" s="1"/>
      <c r="X1728" s="1"/>
      <c r="Y1728" s="1"/>
    </row>
    <row r="1729" spans="1:25">
      <c r="G1729" s="62" t="s">
        <v>25</v>
      </c>
      <c r="H1729" s="57"/>
      <c r="I1729" s="269"/>
      <c r="J1729" s="41">
        <v>1</v>
      </c>
      <c r="K1729" s="41">
        <v>1</v>
      </c>
      <c r="L1729" s="41">
        <v>1</v>
      </c>
      <c r="M1729" s="41">
        <v>1</v>
      </c>
      <c r="N1729" s="41">
        <v>1</v>
      </c>
      <c r="O1729" s="41">
        <v>1</v>
      </c>
      <c r="P1729" s="41">
        <v>1</v>
      </c>
      <c r="Q1729" s="41">
        <v>1</v>
      </c>
      <c r="R1729" s="41">
        <v>1</v>
      </c>
      <c r="S1729" s="41">
        <v>1</v>
      </c>
      <c r="T1729" s="41">
        <v>1</v>
      </c>
      <c r="U1729" s="41">
        <v>1</v>
      </c>
      <c r="W1729" s="1"/>
      <c r="X1729" s="1"/>
      <c r="Y1729" s="1"/>
    </row>
    <row r="1730" spans="1:25">
      <c r="G1730" s="62" t="s">
        <v>20</v>
      </c>
      <c r="H1730" s="57"/>
      <c r="I1730" s="270">
        <v>7.8921000000000005E-2</v>
      </c>
      <c r="J1730" s="36">
        <v>7.9619999999999996E-2</v>
      </c>
      <c r="K1730" s="36">
        <v>7.8747999999999999E-2</v>
      </c>
      <c r="L1730" s="36">
        <v>8.0235000000000001E-2</v>
      </c>
      <c r="M1730" s="36">
        <v>8.0535999999999996E-2</v>
      </c>
      <c r="N1730" s="36">
        <v>8.1698151927344531E-2</v>
      </c>
      <c r="O1730" s="36">
        <v>8.0833713568703974E-2</v>
      </c>
      <c r="P1730" s="36">
        <v>7.9451999999999995E-2</v>
      </c>
      <c r="Q1730" s="36">
        <v>7.6724662968274293E-2</v>
      </c>
      <c r="R1730" s="36">
        <f>R1676</f>
        <v>8.1268700519883177E-2</v>
      </c>
      <c r="S1730" s="36">
        <f>S2</f>
        <v>7.9696892166366717E-2</v>
      </c>
      <c r="T1730" s="36">
        <f>T2</f>
        <v>7.8737918965874246E-2</v>
      </c>
      <c r="U1730" s="36">
        <f>U2</f>
        <v>7.8407467372863096E-2</v>
      </c>
      <c r="W1730" s="1"/>
      <c r="X1730" s="1"/>
      <c r="Y1730" s="1"/>
    </row>
    <row r="1731" spans="1:25">
      <c r="A1731" s="1" t="s">
        <v>222</v>
      </c>
      <c r="G1731" s="26" t="s">
        <v>22</v>
      </c>
      <c r="H1731" s="6"/>
      <c r="I1731" s="30">
        <f xml:space="preserve"> ROUND(I1728 * I1729 * I1730,0)</f>
        <v>0</v>
      </c>
      <c r="J1731" s="30">
        <v>142</v>
      </c>
      <c r="K1731" s="30">
        <v>102</v>
      </c>
      <c r="L1731" s="30">
        <v>109</v>
      </c>
      <c r="M1731" s="30">
        <v>86</v>
      </c>
      <c r="N1731" s="161">
        <v>95</v>
      </c>
      <c r="O1731" s="161">
        <v>127</v>
      </c>
      <c r="P1731" s="161">
        <v>84</v>
      </c>
      <c r="Q1731" s="161">
        <f>Q1728*Q1730</f>
        <v>86.698869154149946</v>
      </c>
      <c r="R1731" s="161">
        <f>R1728*R1730</f>
        <v>60.707719288352735</v>
      </c>
      <c r="S1731" s="161">
        <f>ROUNDDOWN(S1728*S1730,0)</f>
        <v>62</v>
      </c>
      <c r="T1731" s="161">
        <f>T1728*T1730</f>
        <v>66.691017364095487</v>
      </c>
      <c r="U1731" s="161">
        <f>U1728*U1730</f>
        <v>98.479779020316045</v>
      </c>
      <c r="W1731" s="1"/>
      <c r="X1731" s="1"/>
      <c r="Y1731" s="1"/>
    </row>
    <row r="1732" spans="1:25">
      <c r="I1732" s="29"/>
      <c r="J1732" s="29"/>
      <c r="K1732" s="29"/>
      <c r="L1732" s="29"/>
      <c r="M1732" s="29"/>
      <c r="N1732" s="20"/>
      <c r="O1732" s="20"/>
      <c r="P1732" s="20"/>
      <c r="Q1732" s="20"/>
      <c r="R1732" s="20"/>
      <c r="S1732" s="20"/>
      <c r="T1732" s="20"/>
      <c r="U1732" s="20"/>
      <c r="W1732" s="1"/>
      <c r="X1732" s="1"/>
      <c r="Y1732" s="1"/>
    </row>
    <row r="1733" spans="1:25" ht="18.75">
      <c r="F1733" s="9" t="s">
        <v>118</v>
      </c>
      <c r="I1733" s="2">
        <f>'Facility Detail'!$G$3260</f>
        <v>2011</v>
      </c>
      <c r="J1733" s="2">
        <f>I1733+1</f>
        <v>2012</v>
      </c>
      <c r="K1733" s="2">
        <f>J1733+1</f>
        <v>2013</v>
      </c>
      <c r="L1733" s="2">
        <f>L1727</f>
        <v>2014</v>
      </c>
      <c r="M1733" s="2">
        <f>M1727</f>
        <v>2015</v>
      </c>
      <c r="N1733" s="2">
        <f>N1727</f>
        <v>2016</v>
      </c>
      <c r="O1733" s="2">
        <f t="shared" ref="O1733" si="763">O1727</f>
        <v>2017</v>
      </c>
      <c r="P1733" s="2">
        <f t="shared" ref="P1733:Q1733" si="764">P1727</f>
        <v>2018</v>
      </c>
      <c r="Q1733" s="2">
        <f t="shared" si="764"/>
        <v>2019</v>
      </c>
      <c r="R1733" s="2">
        <f t="shared" ref="R1733:S1733" si="765">R1727</f>
        <v>2020</v>
      </c>
      <c r="S1733" s="304">
        <f t="shared" si="765"/>
        <v>2021</v>
      </c>
      <c r="T1733" s="2">
        <f t="shared" ref="T1733:U1733" si="766">T1727</f>
        <v>2022</v>
      </c>
      <c r="U1733" s="2">
        <f t="shared" si="766"/>
        <v>2023</v>
      </c>
      <c r="W1733" s="1"/>
      <c r="X1733" s="1"/>
      <c r="Y1733" s="1"/>
    </row>
    <row r="1734" spans="1:25">
      <c r="G1734" s="62" t="s">
        <v>10</v>
      </c>
      <c r="H1734" s="57"/>
      <c r="I1734" s="38">
        <f>IF($J39 = "Eligible", I1731 * 'Facility Detail'!$G$3257, 0 )</f>
        <v>0</v>
      </c>
      <c r="J1734" s="11">
        <f>IF($J39 = "Eligible", J1731 * 'Facility Detail'!$G$3257, 0 )</f>
        <v>0</v>
      </c>
      <c r="K1734" s="11">
        <f>IF($J39 = "Eligible", K1731 * 'Facility Detail'!$G$3257, 0 )</f>
        <v>0</v>
      </c>
      <c r="L1734" s="11">
        <f>IF($J39 = "Eligible", L1731 * 'Facility Detail'!$G$3257, 0 )</f>
        <v>0</v>
      </c>
      <c r="M1734" s="11">
        <f>IF($J39 = "Eligible", M1731 * 'Facility Detail'!$G$3257, 0 )</f>
        <v>0</v>
      </c>
      <c r="N1734" s="11">
        <f>IF($J39 = "Eligible", N1731 * 'Facility Detail'!$G$3257, 0 )</f>
        <v>0</v>
      </c>
      <c r="O1734" s="11">
        <f>IF($J39 = "Eligible", O1731 * 'Facility Detail'!$G$3257, 0 )</f>
        <v>0</v>
      </c>
      <c r="P1734" s="11">
        <f>IF($J39 = "Eligible", P1731 * 'Facility Detail'!$G$3257, 0 )</f>
        <v>0</v>
      </c>
      <c r="Q1734" s="11">
        <f>IF($J39 = "Eligible", Q1731 * 'Facility Detail'!$G$3257, 0 )</f>
        <v>0</v>
      </c>
      <c r="R1734" s="11">
        <f>IF($J39 = "Eligible", R1731 * 'Facility Detail'!$G$3257, 0 )</f>
        <v>0</v>
      </c>
      <c r="S1734" s="313">
        <f>IF($J39 = "Eligible", S1731 * 'Facility Detail'!$G$3257, 0 )</f>
        <v>0</v>
      </c>
      <c r="T1734" s="11">
        <f>IF($J39 = "Eligible", T1731 * 'Facility Detail'!$G$3257, 0 )</f>
        <v>0</v>
      </c>
      <c r="U1734" s="223">
        <f>IF($J39 = "Eligible", U1731 * 'Facility Detail'!$G$3257, 0 )</f>
        <v>0</v>
      </c>
      <c r="W1734" s="1"/>
      <c r="X1734" s="1"/>
      <c r="Y1734" s="1"/>
    </row>
    <row r="1735" spans="1:25">
      <c r="G1735" s="62" t="s">
        <v>6</v>
      </c>
      <c r="H1735" s="57"/>
      <c r="I1735" s="39">
        <f t="shared" ref="I1735:U1735" si="767">IF($K39= "Eligible", I1731, 0 )</f>
        <v>0</v>
      </c>
      <c r="J1735" s="193">
        <f t="shared" si="767"/>
        <v>0</v>
      </c>
      <c r="K1735" s="193">
        <f t="shared" si="767"/>
        <v>0</v>
      </c>
      <c r="L1735" s="193">
        <f t="shared" si="767"/>
        <v>0</v>
      </c>
      <c r="M1735" s="193">
        <f t="shared" si="767"/>
        <v>0</v>
      </c>
      <c r="N1735" s="193">
        <f t="shared" si="767"/>
        <v>0</v>
      </c>
      <c r="O1735" s="193">
        <f t="shared" si="767"/>
        <v>0</v>
      </c>
      <c r="P1735" s="193">
        <f t="shared" si="767"/>
        <v>0</v>
      </c>
      <c r="Q1735" s="193">
        <f t="shared" si="767"/>
        <v>0</v>
      </c>
      <c r="R1735" s="193">
        <f t="shared" si="767"/>
        <v>0</v>
      </c>
      <c r="S1735" s="314">
        <f t="shared" si="767"/>
        <v>0</v>
      </c>
      <c r="T1735" s="193">
        <f t="shared" si="767"/>
        <v>0</v>
      </c>
      <c r="U1735" s="224">
        <f t="shared" si="767"/>
        <v>0</v>
      </c>
      <c r="W1735" s="1"/>
      <c r="X1735" s="1"/>
      <c r="Y1735" s="1"/>
    </row>
    <row r="1736" spans="1:25">
      <c r="G1736" s="26" t="s">
        <v>120</v>
      </c>
      <c r="H1736" s="6"/>
      <c r="I1736" s="32">
        <f>SUM(I1734:I1735)</f>
        <v>0</v>
      </c>
      <c r="J1736" s="33">
        <f t="shared" ref="J1736:S1736" si="768">SUM(J1734:J1735)</f>
        <v>0</v>
      </c>
      <c r="K1736" s="33">
        <f t="shared" si="768"/>
        <v>0</v>
      </c>
      <c r="L1736" s="33">
        <f t="shared" si="768"/>
        <v>0</v>
      </c>
      <c r="M1736" s="33">
        <f t="shared" si="768"/>
        <v>0</v>
      </c>
      <c r="N1736" s="33">
        <f t="shared" si="768"/>
        <v>0</v>
      </c>
      <c r="O1736" s="33">
        <f t="shared" si="768"/>
        <v>0</v>
      </c>
      <c r="P1736" s="33">
        <f t="shared" si="768"/>
        <v>0</v>
      </c>
      <c r="Q1736" s="33">
        <f t="shared" si="768"/>
        <v>0</v>
      </c>
      <c r="R1736" s="33">
        <f t="shared" si="768"/>
        <v>0</v>
      </c>
      <c r="S1736" s="315">
        <f t="shared" si="768"/>
        <v>0</v>
      </c>
      <c r="T1736" s="33">
        <f t="shared" ref="T1736:U1736" si="769">SUM(T1734:T1735)</f>
        <v>0</v>
      </c>
      <c r="U1736" s="33">
        <f t="shared" si="769"/>
        <v>0</v>
      </c>
      <c r="W1736" s="1"/>
      <c r="X1736" s="1"/>
      <c r="Y1736" s="1"/>
    </row>
    <row r="1737" spans="1:25">
      <c r="I1737" s="31"/>
      <c r="J1737" s="24"/>
      <c r="K1737" s="24"/>
      <c r="L1737" s="24"/>
      <c r="M1737" s="24"/>
      <c r="N1737" s="24"/>
      <c r="O1737" s="24"/>
      <c r="P1737" s="24"/>
      <c r="Q1737" s="24"/>
      <c r="R1737" s="24"/>
      <c r="S1737" s="293"/>
      <c r="T1737" s="24"/>
      <c r="U1737" s="24"/>
      <c r="W1737" s="1"/>
      <c r="X1737" s="1"/>
      <c r="Y1737" s="1"/>
    </row>
    <row r="1738" spans="1:25" ht="18.75">
      <c r="F1738" s="9" t="s">
        <v>30</v>
      </c>
      <c r="I1738" s="2">
        <f>'Facility Detail'!$G$3260</f>
        <v>2011</v>
      </c>
      <c r="J1738" s="2">
        <f>I1738+1</f>
        <v>2012</v>
      </c>
      <c r="K1738" s="2">
        <f>J1738+1</f>
        <v>2013</v>
      </c>
      <c r="L1738" s="2">
        <f>L1727</f>
        <v>2014</v>
      </c>
      <c r="M1738" s="2">
        <f>M1727</f>
        <v>2015</v>
      </c>
      <c r="N1738" s="2">
        <f>N1727</f>
        <v>2016</v>
      </c>
      <c r="O1738" s="2">
        <f t="shared" ref="O1738" si="770">O1727</f>
        <v>2017</v>
      </c>
      <c r="P1738" s="2">
        <f t="shared" ref="P1738:Q1738" si="771">P1727</f>
        <v>2018</v>
      </c>
      <c r="Q1738" s="2">
        <f t="shared" si="771"/>
        <v>2019</v>
      </c>
      <c r="R1738" s="2">
        <f t="shared" ref="R1738:S1738" si="772">R1727</f>
        <v>2020</v>
      </c>
      <c r="S1738" s="304">
        <f t="shared" si="772"/>
        <v>2021</v>
      </c>
      <c r="T1738" s="2">
        <f t="shared" ref="T1738:U1738" si="773">T1727</f>
        <v>2022</v>
      </c>
      <c r="U1738" s="2">
        <f t="shared" si="773"/>
        <v>2023</v>
      </c>
      <c r="W1738" s="1"/>
      <c r="X1738" s="1"/>
      <c r="Y1738" s="1"/>
    </row>
    <row r="1739" spans="1:25">
      <c r="G1739" s="62" t="s">
        <v>47</v>
      </c>
      <c r="H1739" s="57"/>
      <c r="I1739" s="71"/>
      <c r="J1739" s="72"/>
      <c r="K1739" s="72"/>
      <c r="L1739" s="72"/>
      <c r="M1739" s="72"/>
      <c r="N1739" s="72"/>
      <c r="O1739" s="72"/>
      <c r="P1739" s="72"/>
      <c r="Q1739" s="72"/>
      <c r="R1739" s="72"/>
      <c r="S1739" s="317"/>
      <c r="T1739" s="72"/>
      <c r="U1739" s="73"/>
      <c r="W1739" s="1"/>
      <c r="X1739" s="1"/>
      <c r="Y1739" s="1"/>
    </row>
    <row r="1740" spans="1:25">
      <c r="G1740" s="63" t="s">
        <v>23</v>
      </c>
      <c r="H1740" s="135"/>
      <c r="I1740" s="74"/>
      <c r="J1740" s="75"/>
      <c r="K1740" s="75"/>
      <c r="L1740" s="75"/>
      <c r="M1740" s="75"/>
      <c r="N1740" s="75"/>
      <c r="O1740" s="75"/>
      <c r="P1740" s="75"/>
      <c r="Q1740" s="75"/>
      <c r="R1740" s="75"/>
      <c r="S1740" s="318"/>
      <c r="T1740" s="75"/>
      <c r="U1740" s="76"/>
      <c r="W1740" s="1"/>
      <c r="X1740" s="1"/>
      <c r="Y1740" s="1"/>
    </row>
    <row r="1741" spans="1:25">
      <c r="G1741" s="63" t="s">
        <v>89</v>
      </c>
      <c r="H1741" s="134"/>
      <c r="I1741" s="43"/>
      <c r="J1741" s="44"/>
      <c r="K1741" s="44"/>
      <c r="L1741" s="44"/>
      <c r="M1741" s="44"/>
      <c r="N1741" s="44"/>
      <c r="O1741" s="44"/>
      <c r="P1741" s="44"/>
      <c r="Q1741" s="44"/>
      <c r="R1741" s="44"/>
      <c r="S1741" s="319"/>
      <c r="T1741" s="44"/>
      <c r="U1741" s="45"/>
      <c r="W1741" s="1"/>
      <c r="X1741" s="1"/>
      <c r="Y1741" s="1"/>
    </row>
    <row r="1742" spans="1:25">
      <c r="G1742" s="26" t="s">
        <v>90</v>
      </c>
      <c r="I1742" s="7">
        <f t="shared" ref="I1742:N1742" si="774">SUM(I1739:I1741)</f>
        <v>0</v>
      </c>
      <c r="J1742" s="7">
        <f t="shared" si="774"/>
        <v>0</v>
      </c>
      <c r="K1742" s="7">
        <f t="shared" si="774"/>
        <v>0</v>
      </c>
      <c r="L1742" s="7">
        <f t="shared" si="774"/>
        <v>0</v>
      </c>
      <c r="M1742" s="7">
        <f t="shared" si="774"/>
        <v>0</v>
      </c>
      <c r="N1742" s="7">
        <f t="shared" si="774"/>
        <v>0</v>
      </c>
      <c r="O1742" s="7"/>
      <c r="P1742" s="7"/>
      <c r="Q1742" s="7"/>
      <c r="R1742" s="7"/>
      <c r="S1742" s="320"/>
      <c r="T1742" s="7"/>
      <c r="U1742" s="7"/>
      <c r="W1742" s="1"/>
      <c r="X1742" s="1"/>
      <c r="Y1742" s="1"/>
    </row>
    <row r="1743" spans="1:25">
      <c r="G1743" s="6"/>
      <c r="I1743" s="7"/>
      <c r="J1743" s="7"/>
      <c r="K1743" s="7"/>
      <c r="L1743" s="23"/>
      <c r="M1743" s="23"/>
      <c r="N1743" s="23"/>
      <c r="O1743" s="23"/>
      <c r="P1743" s="23"/>
      <c r="Q1743" s="23"/>
      <c r="R1743" s="23"/>
      <c r="S1743" s="321"/>
      <c r="T1743" s="23"/>
      <c r="U1743" s="23"/>
      <c r="W1743" s="1"/>
      <c r="X1743" s="1"/>
      <c r="Y1743" s="1"/>
    </row>
    <row r="1744" spans="1:25" ht="18.75">
      <c r="F1744" s="9" t="s">
        <v>100</v>
      </c>
      <c r="I1744" s="2">
        <f>'Facility Detail'!$G$3260</f>
        <v>2011</v>
      </c>
      <c r="J1744" s="2">
        <f>I1744+1</f>
        <v>2012</v>
      </c>
      <c r="K1744" s="2">
        <f>J1744+1</f>
        <v>2013</v>
      </c>
      <c r="L1744" s="2">
        <f>K1744+1</f>
        <v>2014</v>
      </c>
      <c r="M1744" s="2">
        <f>L1744+1</f>
        <v>2015</v>
      </c>
      <c r="N1744" s="2">
        <f>M1744+1</f>
        <v>2016</v>
      </c>
      <c r="O1744" s="2">
        <f t="shared" ref="O1744" si="775">N1744+1</f>
        <v>2017</v>
      </c>
      <c r="P1744" s="2">
        <f t="shared" ref="P1744" si="776">O1744+1</f>
        <v>2018</v>
      </c>
      <c r="Q1744" s="2">
        <f t="shared" ref="Q1744" si="777">P1744+1</f>
        <v>2019</v>
      </c>
      <c r="R1744" s="2">
        <f t="shared" ref="R1744" si="778">Q1744+1</f>
        <v>2020</v>
      </c>
      <c r="S1744" s="2">
        <f>R1744+1</f>
        <v>2021</v>
      </c>
      <c r="T1744" s="2">
        <f>S1744+1</f>
        <v>2022</v>
      </c>
      <c r="U1744" s="2">
        <f>T1744+1</f>
        <v>2023</v>
      </c>
      <c r="W1744" s="1"/>
      <c r="X1744" s="1"/>
      <c r="Y1744" s="1"/>
    </row>
    <row r="1745" spans="7:25">
      <c r="G1745" s="62" t="s">
        <v>68</v>
      </c>
      <c r="I1745" s="3"/>
      <c r="J1745" s="46">
        <f>I1745</f>
        <v>0</v>
      </c>
      <c r="K1745" s="106"/>
      <c r="L1745" s="106"/>
      <c r="M1745" s="106"/>
      <c r="N1745" s="106"/>
      <c r="O1745" s="106"/>
      <c r="P1745" s="106"/>
      <c r="Q1745" s="106"/>
      <c r="R1745" s="106"/>
      <c r="S1745" s="106"/>
      <c r="T1745" s="217"/>
      <c r="U1745" s="47"/>
      <c r="W1745" s="1"/>
      <c r="X1745" s="1"/>
      <c r="Y1745" s="1"/>
    </row>
    <row r="1746" spans="7:25">
      <c r="G1746" s="62" t="s">
        <v>69</v>
      </c>
      <c r="I1746" s="127">
        <f>J1746</f>
        <v>0</v>
      </c>
      <c r="J1746" s="10"/>
      <c r="K1746" s="60"/>
      <c r="L1746" s="60"/>
      <c r="M1746" s="60"/>
      <c r="N1746" s="60"/>
      <c r="O1746" s="60"/>
      <c r="P1746" s="60"/>
      <c r="Q1746" s="60"/>
      <c r="R1746" s="60"/>
      <c r="S1746" s="60"/>
      <c r="T1746" s="218"/>
      <c r="U1746" s="128"/>
      <c r="W1746" s="1"/>
      <c r="X1746" s="1"/>
      <c r="Y1746" s="1"/>
    </row>
    <row r="1747" spans="7:25">
      <c r="G1747" s="62" t="s">
        <v>70</v>
      </c>
      <c r="I1747" s="48"/>
      <c r="J1747" s="10"/>
      <c r="K1747" s="56">
        <f>J1747</f>
        <v>0</v>
      </c>
      <c r="L1747" s="60"/>
      <c r="M1747" s="60"/>
      <c r="N1747" s="60"/>
      <c r="O1747" s="60"/>
      <c r="P1747" s="60"/>
      <c r="Q1747" s="60"/>
      <c r="R1747" s="60"/>
      <c r="S1747" s="60"/>
      <c r="T1747" s="218"/>
      <c r="U1747" s="128"/>
      <c r="W1747" s="1"/>
      <c r="X1747" s="1"/>
      <c r="Y1747" s="1"/>
    </row>
    <row r="1748" spans="7:25">
      <c r="G1748" s="62" t="s">
        <v>71</v>
      </c>
      <c r="I1748" s="48"/>
      <c r="J1748" s="56">
        <f>K1748</f>
        <v>0</v>
      </c>
      <c r="K1748" s="10"/>
      <c r="L1748" s="60"/>
      <c r="M1748" s="60"/>
      <c r="N1748" s="60"/>
      <c r="O1748" s="60"/>
      <c r="P1748" s="60"/>
      <c r="Q1748" s="60"/>
      <c r="R1748" s="60"/>
      <c r="S1748" s="60"/>
      <c r="T1748" s="218"/>
      <c r="U1748" s="128"/>
      <c r="W1748" s="1"/>
      <c r="X1748" s="1"/>
      <c r="Y1748" s="1"/>
    </row>
    <row r="1749" spans="7:25">
      <c r="G1749" s="62" t="s">
        <v>170</v>
      </c>
      <c r="I1749" s="48"/>
      <c r="J1749" s="118"/>
      <c r="K1749" s="10"/>
      <c r="L1749" s="119">
        <f>K1749</f>
        <v>0</v>
      </c>
      <c r="M1749" s="60"/>
      <c r="N1749" s="60"/>
      <c r="O1749" s="60"/>
      <c r="P1749" s="60"/>
      <c r="Q1749" s="60"/>
      <c r="R1749" s="60"/>
      <c r="S1749" s="60"/>
      <c r="T1749" s="146"/>
      <c r="U1749" s="122"/>
      <c r="W1749" s="1"/>
      <c r="X1749" s="1"/>
      <c r="Y1749" s="1"/>
    </row>
    <row r="1750" spans="7:25">
      <c r="G1750" s="62" t="s">
        <v>171</v>
      </c>
      <c r="I1750" s="48"/>
      <c r="J1750" s="118"/>
      <c r="K1750" s="56">
        <f>L1750</f>
        <v>0</v>
      </c>
      <c r="L1750" s="10"/>
      <c r="M1750" s="60"/>
      <c r="N1750" s="60"/>
      <c r="O1750" s="60" t="s">
        <v>169</v>
      </c>
      <c r="P1750" s="60" t="s">
        <v>169</v>
      </c>
      <c r="Q1750" s="60" t="s">
        <v>169</v>
      </c>
      <c r="R1750" s="60" t="s">
        <v>169</v>
      </c>
      <c r="S1750" s="60" t="s">
        <v>169</v>
      </c>
      <c r="T1750" s="146" t="s">
        <v>169</v>
      </c>
      <c r="U1750" s="122" t="s">
        <v>169</v>
      </c>
      <c r="W1750" s="1"/>
      <c r="X1750" s="1"/>
      <c r="Y1750" s="1"/>
    </row>
    <row r="1751" spans="7:25">
      <c r="G1751" s="62" t="s">
        <v>172</v>
      </c>
      <c r="I1751" s="48"/>
      <c r="J1751" s="118"/>
      <c r="K1751" s="118"/>
      <c r="L1751" s="10"/>
      <c r="M1751" s="119">
        <f>L1751</f>
        <v>0</v>
      </c>
      <c r="N1751" s="118">
        <f>M1751</f>
        <v>0</v>
      </c>
      <c r="O1751" s="60"/>
      <c r="P1751" s="60"/>
      <c r="Q1751" s="60"/>
      <c r="R1751" s="60"/>
      <c r="S1751" s="60"/>
      <c r="T1751" s="146"/>
      <c r="U1751" s="122"/>
      <c r="W1751" s="1"/>
      <c r="X1751" s="1"/>
      <c r="Y1751" s="1"/>
    </row>
    <row r="1752" spans="7:25">
      <c r="G1752" s="62" t="s">
        <v>173</v>
      </c>
      <c r="I1752" s="48"/>
      <c r="J1752" s="118"/>
      <c r="K1752" s="118"/>
      <c r="L1752" s="56">
        <f>M1752</f>
        <v>0</v>
      </c>
      <c r="M1752" s="10"/>
      <c r="N1752" s="118"/>
      <c r="O1752" s="60"/>
      <c r="P1752" s="60"/>
      <c r="Q1752" s="60"/>
      <c r="R1752" s="60"/>
      <c r="S1752" s="60"/>
      <c r="T1752" s="146"/>
      <c r="U1752" s="122"/>
      <c r="W1752" s="1"/>
      <c r="X1752" s="1"/>
      <c r="Y1752" s="1"/>
    </row>
    <row r="1753" spans="7:25">
      <c r="G1753" s="62" t="s">
        <v>174</v>
      </c>
      <c r="I1753" s="48"/>
      <c r="J1753" s="118"/>
      <c r="K1753" s="118"/>
      <c r="L1753" s="118"/>
      <c r="M1753" s="10">
        <v>0</v>
      </c>
      <c r="N1753" s="119">
        <f>M1753</f>
        <v>0</v>
      </c>
      <c r="O1753" s="60"/>
      <c r="P1753" s="60"/>
      <c r="Q1753" s="60"/>
      <c r="R1753" s="60"/>
      <c r="S1753" s="60"/>
      <c r="T1753" s="146"/>
      <c r="U1753" s="122"/>
      <c r="W1753" s="1"/>
      <c r="X1753" s="1"/>
      <c r="Y1753" s="1"/>
    </row>
    <row r="1754" spans="7:25">
      <c r="G1754" s="62" t="s">
        <v>175</v>
      </c>
      <c r="I1754" s="48"/>
      <c r="J1754" s="118"/>
      <c r="K1754" s="118"/>
      <c r="L1754" s="118"/>
      <c r="M1754" s="56"/>
      <c r="N1754" s="10"/>
      <c r="O1754" s="60"/>
      <c r="P1754" s="60"/>
      <c r="Q1754" s="60"/>
      <c r="R1754" s="60"/>
      <c r="S1754" s="60"/>
      <c r="T1754" s="146"/>
      <c r="U1754" s="122"/>
      <c r="W1754" s="1"/>
      <c r="X1754" s="1"/>
      <c r="Y1754" s="1"/>
    </row>
    <row r="1755" spans="7:25">
      <c r="G1755" s="62" t="s">
        <v>176</v>
      </c>
      <c r="I1755" s="48"/>
      <c r="J1755" s="118"/>
      <c r="K1755" s="118"/>
      <c r="L1755" s="118"/>
      <c r="M1755" s="118"/>
      <c r="N1755" s="149">
        <v>0</v>
      </c>
      <c r="O1755" s="120"/>
      <c r="P1755" s="60"/>
      <c r="Q1755" s="60"/>
      <c r="R1755" s="60"/>
      <c r="S1755" s="60"/>
      <c r="T1755" s="146"/>
      <c r="U1755" s="122"/>
      <c r="W1755" s="1"/>
      <c r="X1755" s="1"/>
      <c r="Y1755" s="1"/>
    </row>
    <row r="1756" spans="7:25">
      <c r="G1756" s="62" t="s">
        <v>167</v>
      </c>
      <c r="I1756" s="48"/>
      <c r="J1756" s="118"/>
      <c r="K1756" s="118"/>
      <c r="L1756" s="118"/>
      <c r="M1756" s="118"/>
      <c r="N1756" s="150">
        <f>O1755</f>
        <v>0</v>
      </c>
      <c r="O1756" s="121"/>
      <c r="P1756" s="60"/>
      <c r="Q1756" s="60"/>
      <c r="R1756" s="60"/>
      <c r="S1756" s="60"/>
      <c r="T1756" s="146"/>
      <c r="U1756" s="122"/>
      <c r="W1756" s="1"/>
      <c r="X1756" s="1"/>
      <c r="Y1756" s="1"/>
    </row>
    <row r="1757" spans="7:25">
      <c r="G1757" s="62" t="s">
        <v>168</v>
      </c>
      <c r="I1757" s="48"/>
      <c r="J1757" s="118"/>
      <c r="K1757" s="118"/>
      <c r="L1757" s="118"/>
      <c r="M1757" s="118"/>
      <c r="N1757" s="118"/>
      <c r="O1757" s="121">
        <v>0</v>
      </c>
      <c r="P1757" s="120"/>
      <c r="Q1757" s="60"/>
      <c r="R1757" s="60"/>
      <c r="S1757" s="60"/>
      <c r="T1757" s="146"/>
      <c r="U1757" s="122"/>
      <c r="W1757" s="1"/>
      <c r="X1757" s="1"/>
      <c r="Y1757" s="1"/>
    </row>
    <row r="1758" spans="7:25">
      <c r="G1758" s="62" t="s">
        <v>185</v>
      </c>
      <c r="I1758" s="48"/>
      <c r="J1758" s="118"/>
      <c r="K1758" s="118"/>
      <c r="L1758" s="118"/>
      <c r="M1758" s="118"/>
      <c r="N1758" s="118"/>
      <c r="O1758" s="120"/>
      <c r="P1758" s="121"/>
      <c r="Q1758" s="60"/>
      <c r="R1758" s="60"/>
      <c r="S1758" s="60"/>
      <c r="T1758" s="146"/>
      <c r="U1758" s="122"/>
      <c r="W1758" s="1"/>
      <c r="X1758" s="1"/>
      <c r="Y1758" s="1"/>
    </row>
    <row r="1759" spans="7:25">
      <c r="G1759" s="62" t="s">
        <v>186</v>
      </c>
      <c r="I1759" s="48"/>
      <c r="J1759" s="118"/>
      <c r="K1759" s="118"/>
      <c r="L1759" s="118"/>
      <c r="M1759" s="118"/>
      <c r="N1759" s="118"/>
      <c r="O1759" s="118"/>
      <c r="P1759" s="121"/>
      <c r="Q1759" s="56"/>
      <c r="R1759" s="60"/>
      <c r="S1759" s="60"/>
      <c r="T1759" s="146"/>
      <c r="U1759" s="122"/>
      <c r="W1759" s="1"/>
      <c r="X1759" s="1"/>
      <c r="Y1759" s="1"/>
    </row>
    <row r="1760" spans="7:25">
      <c r="G1760" s="62" t="s">
        <v>187</v>
      </c>
      <c r="I1760" s="48"/>
      <c r="J1760" s="118"/>
      <c r="K1760" s="118"/>
      <c r="L1760" s="118"/>
      <c r="M1760" s="118"/>
      <c r="N1760" s="118"/>
      <c r="O1760" s="118"/>
      <c r="P1760" s="120"/>
      <c r="Q1760" s="306"/>
      <c r="R1760" s="60"/>
      <c r="S1760" s="60"/>
      <c r="T1760" s="146"/>
      <c r="U1760" s="122"/>
      <c r="W1760" s="1"/>
      <c r="X1760" s="1"/>
      <c r="Y1760" s="1"/>
    </row>
    <row r="1761" spans="1:25">
      <c r="G1761" s="62" t="s">
        <v>188</v>
      </c>
      <c r="I1761" s="48"/>
      <c r="J1761" s="118"/>
      <c r="K1761" s="118"/>
      <c r="L1761" s="118"/>
      <c r="M1761" s="118"/>
      <c r="N1761" s="118"/>
      <c r="O1761" s="118"/>
      <c r="P1761" s="118"/>
      <c r="Q1761" s="121"/>
      <c r="R1761" s="151"/>
      <c r="S1761" s="60"/>
      <c r="T1761" s="146"/>
      <c r="U1761" s="122"/>
      <c r="W1761" s="1"/>
      <c r="X1761" s="1"/>
      <c r="Y1761" s="1"/>
    </row>
    <row r="1762" spans="1:25">
      <c r="G1762" s="62" t="s">
        <v>189</v>
      </c>
      <c r="I1762" s="48"/>
      <c r="J1762" s="118"/>
      <c r="K1762" s="118"/>
      <c r="L1762" s="118"/>
      <c r="M1762" s="118"/>
      <c r="N1762" s="118"/>
      <c r="O1762" s="118"/>
      <c r="P1762" s="118"/>
      <c r="Q1762" s="151"/>
      <c r="R1762" s="173"/>
      <c r="S1762" s="60"/>
      <c r="T1762" s="146"/>
      <c r="U1762" s="122"/>
      <c r="W1762" s="1"/>
      <c r="X1762" s="1"/>
      <c r="Y1762" s="1"/>
    </row>
    <row r="1763" spans="1:25">
      <c r="G1763" s="62" t="s">
        <v>190</v>
      </c>
      <c r="I1763" s="48"/>
      <c r="J1763" s="118"/>
      <c r="K1763" s="118"/>
      <c r="L1763" s="118"/>
      <c r="M1763" s="118"/>
      <c r="N1763" s="118"/>
      <c r="O1763" s="118"/>
      <c r="P1763" s="118"/>
      <c r="Q1763" s="118"/>
      <c r="R1763" s="173"/>
      <c r="S1763" s="151">
        <f>R1763</f>
        <v>0</v>
      </c>
      <c r="T1763" s="146"/>
      <c r="U1763" s="122"/>
      <c r="W1763" s="1"/>
      <c r="X1763" s="1"/>
      <c r="Y1763" s="1"/>
    </row>
    <row r="1764" spans="1:25">
      <c r="G1764" s="62" t="s">
        <v>199</v>
      </c>
      <c r="I1764" s="48"/>
      <c r="J1764" s="118"/>
      <c r="K1764" s="118"/>
      <c r="L1764" s="118"/>
      <c r="M1764" s="118"/>
      <c r="N1764" s="118"/>
      <c r="O1764" s="118"/>
      <c r="P1764" s="118"/>
      <c r="Q1764" s="118"/>
      <c r="R1764" s="120"/>
      <c r="S1764" s="173">
        <v>0</v>
      </c>
      <c r="T1764" s="146"/>
      <c r="U1764" s="122"/>
      <c r="W1764" s="1"/>
      <c r="X1764" s="1"/>
      <c r="Y1764" s="1"/>
    </row>
    <row r="1765" spans="1:25">
      <c r="G1765" s="62" t="s">
        <v>200</v>
      </c>
      <c r="I1765" s="48"/>
      <c r="J1765" s="118"/>
      <c r="K1765" s="118"/>
      <c r="L1765" s="118"/>
      <c r="M1765" s="118"/>
      <c r="N1765" s="118"/>
      <c r="O1765" s="118"/>
      <c r="P1765" s="118"/>
      <c r="Q1765" s="118"/>
      <c r="R1765" s="118"/>
      <c r="S1765" s="173">
        <v>0</v>
      </c>
      <c r="T1765" s="151">
        <f>S1765</f>
        <v>0</v>
      </c>
      <c r="U1765" s="122"/>
      <c r="W1765" s="1"/>
      <c r="X1765" s="1"/>
      <c r="Y1765" s="1"/>
    </row>
    <row r="1766" spans="1:25">
      <c r="G1766" s="62" t="s">
        <v>308</v>
      </c>
      <c r="I1766" s="48"/>
      <c r="J1766" s="118"/>
      <c r="K1766" s="118"/>
      <c r="L1766" s="118"/>
      <c r="M1766" s="118"/>
      <c r="N1766" s="118"/>
      <c r="O1766" s="118"/>
      <c r="P1766" s="118"/>
      <c r="Q1766" s="118"/>
      <c r="R1766" s="118"/>
      <c r="S1766" s="120">
        <f>T1766</f>
        <v>0</v>
      </c>
      <c r="T1766" s="173">
        <v>0</v>
      </c>
      <c r="U1766" s="122"/>
      <c r="W1766" s="1"/>
      <c r="X1766" s="1"/>
      <c r="Y1766" s="1"/>
    </row>
    <row r="1767" spans="1:25">
      <c r="G1767" s="62" t="s">
        <v>307</v>
      </c>
      <c r="I1767" s="114"/>
      <c r="J1767" s="107"/>
      <c r="K1767" s="107"/>
      <c r="L1767" s="107"/>
      <c r="M1767" s="107"/>
      <c r="N1767" s="107"/>
      <c r="O1767" s="107"/>
      <c r="P1767" s="107"/>
      <c r="Q1767" s="107"/>
      <c r="R1767" s="107"/>
      <c r="S1767" s="107"/>
      <c r="T1767" s="173">
        <v>0</v>
      </c>
      <c r="U1767" s="456">
        <f>T1767</f>
        <v>0</v>
      </c>
      <c r="W1767" s="1"/>
      <c r="X1767" s="1"/>
      <c r="Y1767" s="1"/>
    </row>
    <row r="1768" spans="1:25">
      <c r="G1768" s="62" t="s">
        <v>318</v>
      </c>
      <c r="I1768" s="114"/>
      <c r="J1768" s="107"/>
      <c r="K1768" s="107"/>
      <c r="L1768" s="107"/>
      <c r="M1768" s="107"/>
      <c r="N1768" s="107"/>
      <c r="O1768" s="107"/>
      <c r="P1768" s="107"/>
      <c r="Q1768" s="107"/>
      <c r="R1768" s="107"/>
      <c r="S1768" s="107"/>
      <c r="T1768" s="120">
        <f>U1768</f>
        <v>0</v>
      </c>
      <c r="U1768" s="457">
        <v>0</v>
      </c>
      <c r="W1768" s="1"/>
      <c r="X1768" s="1"/>
      <c r="Y1768" s="1"/>
    </row>
    <row r="1769" spans="1:25">
      <c r="G1769" s="62" t="s">
        <v>319</v>
      </c>
      <c r="I1769" s="49"/>
      <c r="J1769" s="194"/>
      <c r="K1769" s="194"/>
      <c r="L1769" s="194"/>
      <c r="M1769" s="194"/>
      <c r="N1769" s="194"/>
      <c r="O1769" s="194"/>
      <c r="P1769" s="194"/>
      <c r="Q1769" s="194"/>
      <c r="R1769" s="194"/>
      <c r="S1769" s="194"/>
      <c r="T1769" s="194"/>
      <c r="U1769" s="458">
        <v>0</v>
      </c>
      <c r="W1769" s="1"/>
      <c r="X1769" s="1"/>
      <c r="Y1769" s="1"/>
    </row>
    <row r="1770" spans="1:25">
      <c r="G1770" s="26" t="s">
        <v>17</v>
      </c>
      <c r="I1770" s="33"/>
      <c r="J1770" s="33"/>
      <c r="K1770" s="33"/>
      <c r="L1770" s="33"/>
      <c r="M1770" s="33"/>
      <c r="N1770" s="33"/>
      <c r="O1770" s="33"/>
      <c r="P1770" s="450"/>
      <c r="Q1770" s="450"/>
      <c r="R1770" s="450"/>
      <c r="S1770" s="33">
        <f>S1763-S1764+S1765-S1766</f>
        <v>0</v>
      </c>
      <c r="T1770" s="33">
        <f>T1765-T1766-T1767+T1768</f>
        <v>0</v>
      </c>
      <c r="U1770" s="33">
        <f>U1767-U1768-U1769</f>
        <v>0</v>
      </c>
      <c r="W1770" s="1"/>
      <c r="X1770" s="1"/>
      <c r="Y1770" s="1"/>
    </row>
    <row r="1771" spans="1:25">
      <c r="I1771" s="154"/>
      <c r="J1771" s="154"/>
      <c r="K1771" s="154"/>
      <c r="L1771" s="154"/>
      <c r="M1771" s="154"/>
      <c r="N1771" s="154"/>
      <c r="O1771" s="154"/>
      <c r="P1771" s="154"/>
      <c r="Q1771" s="154"/>
      <c r="R1771" s="154"/>
      <c r="S1771" s="297"/>
      <c r="T1771" s="154"/>
      <c r="U1771" s="154"/>
      <c r="W1771" s="1"/>
      <c r="X1771" s="1"/>
      <c r="Y1771" s="1"/>
    </row>
    <row r="1772" spans="1:25">
      <c r="A1772" s="1" t="s">
        <v>222</v>
      </c>
      <c r="B1772" s="1" t="s">
        <v>143</v>
      </c>
      <c r="C1772" s="1" t="s">
        <v>114</v>
      </c>
      <c r="G1772" s="26" t="s">
        <v>12</v>
      </c>
      <c r="H1772" s="57"/>
      <c r="I1772" s="155"/>
      <c r="J1772" s="155"/>
      <c r="K1772" s="155"/>
      <c r="L1772" s="155"/>
      <c r="M1772" s="155"/>
      <c r="N1772" s="155"/>
      <c r="O1772" s="155"/>
      <c r="P1772" s="155"/>
      <c r="Q1772" s="155"/>
      <c r="R1772" s="155"/>
      <c r="S1772" s="155"/>
      <c r="T1772" s="155"/>
      <c r="U1772" s="155"/>
      <c r="W1772" s="1"/>
      <c r="X1772" s="1"/>
      <c r="Y1772" s="1"/>
    </row>
    <row r="1773" spans="1:25">
      <c r="G1773" s="6"/>
      <c r="I1773" s="154"/>
      <c r="J1773" s="154"/>
      <c r="K1773" s="154"/>
      <c r="L1773" s="154"/>
      <c r="M1773" s="154"/>
      <c r="N1773" s="154"/>
      <c r="O1773" s="154"/>
      <c r="P1773" s="154"/>
      <c r="Q1773" s="154"/>
      <c r="R1773" s="154"/>
      <c r="S1773" s="154"/>
      <c r="T1773" s="154"/>
      <c r="U1773" s="154"/>
      <c r="W1773" s="1"/>
      <c r="X1773" s="1"/>
      <c r="Y1773" s="1"/>
    </row>
    <row r="1774" spans="1:25" ht="19.5" thickBot="1">
      <c r="F1774" s="9" t="s">
        <v>26</v>
      </c>
      <c r="I1774" s="157"/>
      <c r="J1774" s="158">
        <f xml:space="preserve"> J1731 + J1736 - J1742 + J1768 + J1770</f>
        <v>142</v>
      </c>
      <c r="K1774" s="158">
        <f t="shared" ref="K1774:U1774" si="779" xml:space="preserve"> K1731 + K1736 - K1742 + K1768 + K1770</f>
        <v>102</v>
      </c>
      <c r="L1774" s="158">
        <f t="shared" si="779"/>
        <v>109</v>
      </c>
      <c r="M1774" s="158">
        <f t="shared" si="779"/>
        <v>86</v>
      </c>
      <c r="N1774" s="158">
        <f t="shared" si="779"/>
        <v>95</v>
      </c>
      <c r="O1774" s="158">
        <f t="shared" si="779"/>
        <v>127</v>
      </c>
      <c r="P1774" s="158">
        <f t="shared" si="779"/>
        <v>84</v>
      </c>
      <c r="Q1774" s="158">
        <f t="shared" si="779"/>
        <v>86.698869154149946</v>
      </c>
      <c r="R1774" s="158">
        <f t="shared" si="779"/>
        <v>60.707719288352735</v>
      </c>
      <c r="S1774" s="158">
        <f t="shared" si="779"/>
        <v>62</v>
      </c>
      <c r="T1774" s="158">
        <f t="shared" si="779"/>
        <v>66.691017364095487</v>
      </c>
      <c r="U1774" s="158">
        <f t="shared" si="779"/>
        <v>98.479779020316045</v>
      </c>
      <c r="W1774" s="1"/>
      <c r="X1774" s="1"/>
      <c r="Y1774" s="1"/>
    </row>
    <row r="1775" spans="1:25">
      <c r="F1775" s="8"/>
      <c r="G1775" s="8"/>
      <c r="H1775" s="8"/>
      <c r="I1775" s="8"/>
      <c r="J1775" s="8"/>
      <c r="K1775" s="8"/>
      <c r="L1775" s="8"/>
      <c r="M1775" s="8"/>
      <c r="N1775" s="8"/>
      <c r="O1775" s="8"/>
      <c r="P1775" s="8"/>
      <c r="Q1775" s="8"/>
      <c r="R1775" s="8"/>
      <c r="S1775" s="290"/>
      <c r="T1775" s="8"/>
      <c r="U1775" s="8"/>
      <c r="W1775" s="1"/>
      <c r="X1775" s="1"/>
      <c r="Y1775" s="1"/>
    </row>
    <row r="1776" spans="1:25" ht="15.75" thickBot="1">
      <c r="W1776" s="1"/>
      <c r="X1776" s="1"/>
      <c r="Y1776" s="1"/>
    </row>
    <row r="1777" spans="1:25" ht="21.75" thickBot="1">
      <c r="F1777" s="13" t="s">
        <v>4</v>
      </c>
      <c r="G1777" s="13"/>
      <c r="H1777" s="185" t="str">
        <f>G40</f>
        <v>Lower Snake – Phalen Gulch - REC Only</v>
      </c>
      <c r="I1777" s="186"/>
      <c r="J1777" s="174"/>
      <c r="W1777" s="1"/>
      <c r="X1777" s="1"/>
      <c r="Y1777" s="1"/>
    </row>
    <row r="1778" spans="1:25">
      <c r="W1778" s="1"/>
      <c r="X1778" s="1"/>
      <c r="Y1778" s="1"/>
    </row>
    <row r="1779" spans="1:25" ht="18.75">
      <c r="F1779" s="9" t="s">
        <v>21</v>
      </c>
      <c r="G1779" s="9"/>
      <c r="I1779" s="2">
        <f>'Facility Detail'!$G$3260</f>
        <v>2011</v>
      </c>
      <c r="J1779" s="2">
        <f>I1779+1</f>
        <v>2012</v>
      </c>
      <c r="K1779" s="2">
        <f>J1779+1</f>
        <v>2013</v>
      </c>
      <c r="L1779" s="2">
        <f t="shared" ref="L1779:R1779" si="780">K1779+1</f>
        <v>2014</v>
      </c>
      <c r="M1779" s="2">
        <f t="shared" si="780"/>
        <v>2015</v>
      </c>
      <c r="N1779" s="2">
        <f t="shared" si="780"/>
        <v>2016</v>
      </c>
      <c r="O1779" s="2">
        <f t="shared" si="780"/>
        <v>2017</v>
      </c>
      <c r="P1779" s="2">
        <f t="shared" si="780"/>
        <v>2018</v>
      </c>
      <c r="Q1779" s="2">
        <f t="shared" si="780"/>
        <v>2019</v>
      </c>
      <c r="R1779" s="2">
        <f t="shared" si="780"/>
        <v>2020</v>
      </c>
      <c r="S1779" s="2">
        <f>R1779+1</f>
        <v>2021</v>
      </c>
      <c r="T1779" s="2">
        <f>S1779+1</f>
        <v>2022</v>
      </c>
      <c r="U1779" s="2">
        <f>T1779+1</f>
        <v>2023</v>
      </c>
      <c r="W1779" s="1"/>
      <c r="X1779" s="1"/>
      <c r="Y1779" s="1"/>
    </row>
    <row r="1780" spans="1:25">
      <c r="G1780" s="62" t="str">
        <f>"Total MWh Produced / Purchased from " &amp; H1777</f>
        <v>Total MWh Produced / Purchased from Lower Snake – Phalen Gulch - REC Only</v>
      </c>
      <c r="H1780" s="57"/>
      <c r="I1780" s="3"/>
      <c r="J1780" s="4"/>
      <c r="K1780" s="4"/>
      <c r="L1780" s="4"/>
      <c r="M1780" s="4">
        <v>1300</v>
      </c>
      <c r="N1780" s="4"/>
      <c r="O1780" s="4"/>
      <c r="P1780" s="4"/>
      <c r="Q1780" s="4"/>
      <c r="R1780" s="4"/>
      <c r="S1780" s="4"/>
      <c r="T1780" s="4"/>
      <c r="U1780" s="5"/>
      <c r="W1780" s="1"/>
      <c r="X1780" s="1"/>
      <c r="Y1780" s="1"/>
    </row>
    <row r="1781" spans="1:25">
      <c r="G1781" s="62" t="s">
        <v>25</v>
      </c>
      <c r="H1781" s="57"/>
      <c r="I1781" s="269"/>
      <c r="J1781" s="41"/>
      <c r="K1781" s="41"/>
      <c r="L1781" s="41"/>
      <c r="M1781" s="41">
        <v>1</v>
      </c>
      <c r="N1781" s="41"/>
      <c r="O1781" s="41"/>
      <c r="P1781" s="41"/>
      <c r="Q1781" s="41"/>
      <c r="R1781" s="41"/>
      <c r="S1781" s="41"/>
      <c r="T1781" s="41"/>
      <c r="U1781" s="42"/>
      <c r="W1781" s="1"/>
      <c r="X1781" s="1"/>
      <c r="Y1781" s="1"/>
    </row>
    <row r="1782" spans="1:25">
      <c r="G1782" s="62" t="s">
        <v>20</v>
      </c>
      <c r="H1782" s="57"/>
      <c r="I1782" s="270"/>
      <c r="J1782" s="36"/>
      <c r="K1782" s="36"/>
      <c r="L1782" s="36"/>
      <c r="M1782" s="36">
        <v>1</v>
      </c>
      <c r="N1782" s="36"/>
      <c r="O1782" s="36"/>
      <c r="P1782" s="36"/>
      <c r="Q1782" s="36"/>
      <c r="R1782" s="36"/>
      <c r="S1782" s="36"/>
      <c r="T1782" s="36"/>
      <c r="U1782" s="37"/>
      <c r="W1782" s="1"/>
      <c r="X1782" s="1"/>
      <c r="Y1782" s="1"/>
    </row>
    <row r="1783" spans="1:25">
      <c r="A1783" s="1" t="s">
        <v>286</v>
      </c>
      <c r="G1783" s="26" t="s">
        <v>22</v>
      </c>
      <c r="H1783" s="6"/>
      <c r="I1783" s="30">
        <f xml:space="preserve"> I1780 * I1781 * I1782</f>
        <v>0</v>
      </c>
      <c r="J1783" s="30">
        <f xml:space="preserve"> J1780 * J1781 * J1782</f>
        <v>0</v>
      </c>
      <c r="K1783" s="30">
        <f xml:space="preserve"> K1780 * K1781 * K1782</f>
        <v>0</v>
      </c>
      <c r="L1783" s="30">
        <f t="shared" ref="L1783:S1783" si="781" xml:space="preserve"> L1780 * L1781 * L1782</f>
        <v>0</v>
      </c>
      <c r="M1783" s="30">
        <v>1300</v>
      </c>
      <c r="N1783" s="161">
        <f t="shared" si="781"/>
        <v>0</v>
      </c>
      <c r="O1783" s="161">
        <f t="shared" si="781"/>
        <v>0</v>
      </c>
      <c r="P1783" s="161">
        <f t="shared" si="781"/>
        <v>0</v>
      </c>
      <c r="Q1783" s="161">
        <f t="shared" si="781"/>
        <v>0</v>
      </c>
      <c r="R1783" s="161">
        <f t="shared" si="781"/>
        <v>0</v>
      </c>
      <c r="S1783" s="161">
        <f t="shared" si="781"/>
        <v>0</v>
      </c>
      <c r="T1783" s="161">
        <f t="shared" ref="T1783:U1783" si="782" xml:space="preserve"> T1780 * T1781 * T1782</f>
        <v>0</v>
      </c>
      <c r="U1783" s="161">
        <f t="shared" si="782"/>
        <v>0</v>
      </c>
      <c r="W1783" s="1"/>
      <c r="X1783" s="1"/>
      <c r="Y1783" s="1"/>
    </row>
    <row r="1784" spans="1:25">
      <c r="I1784" s="29"/>
      <c r="J1784" s="29"/>
      <c r="K1784" s="29"/>
      <c r="L1784" s="29"/>
      <c r="M1784" s="29"/>
      <c r="N1784" s="20"/>
      <c r="O1784" s="20"/>
      <c r="P1784" s="20"/>
      <c r="Q1784" s="20"/>
      <c r="R1784" s="20"/>
      <c r="S1784" s="20"/>
      <c r="T1784" s="20"/>
      <c r="U1784" s="20"/>
      <c r="W1784" s="1"/>
      <c r="X1784" s="1"/>
      <c r="Y1784" s="1"/>
    </row>
    <row r="1785" spans="1:25" ht="18.75">
      <c r="F1785" s="9" t="s">
        <v>118</v>
      </c>
      <c r="I1785" s="2">
        <f>'Facility Detail'!$G$3260</f>
        <v>2011</v>
      </c>
      <c r="J1785" s="2">
        <f>I1785+1</f>
        <v>2012</v>
      </c>
      <c r="K1785" s="2">
        <f>J1785+1</f>
        <v>2013</v>
      </c>
      <c r="L1785" s="2">
        <f t="shared" ref="L1785:R1785" si="783">K1785+1</f>
        <v>2014</v>
      </c>
      <c r="M1785" s="2">
        <f t="shared" si="783"/>
        <v>2015</v>
      </c>
      <c r="N1785" s="2">
        <f t="shared" si="783"/>
        <v>2016</v>
      </c>
      <c r="O1785" s="2">
        <f t="shared" si="783"/>
        <v>2017</v>
      </c>
      <c r="P1785" s="2">
        <f t="shared" si="783"/>
        <v>2018</v>
      </c>
      <c r="Q1785" s="2">
        <f t="shared" si="783"/>
        <v>2019</v>
      </c>
      <c r="R1785" s="2">
        <f t="shared" si="783"/>
        <v>2020</v>
      </c>
      <c r="S1785" s="2">
        <f>R1785+1</f>
        <v>2021</v>
      </c>
      <c r="T1785" s="2">
        <f>S1785+1</f>
        <v>2022</v>
      </c>
      <c r="U1785" s="2">
        <f>T1785+1</f>
        <v>2023</v>
      </c>
      <c r="W1785" s="1"/>
      <c r="X1785" s="1"/>
      <c r="Y1785" s="1"/>
    </row>
    <row r="1786" spans="1:25">
      <c r="G1786" s="62" t="s">
        <v>10</v>
      </c>
      <c r="H1786" s="57"/>
      <c r="I1786" s="38">
        <f>IF($J40 = "Eligible", I1783 * 'Facility Detail'!$G$3257, 0 )</f>
        <v>0</v>
      </c>
      <c r="J1786" s="11">
        <f>IF($J40 = "Eligible", J1783 * 'Facility Detail'!$G$3257, 0 )</f>
        <v>0</v>
      </c>
      <c r="K1786" s="11">
        <f>IF($J40 = "Eligible", K1783 * 'Facility Detail'!$G$3257, 0 )</f>
        <v>0</v>
      </c>
      <c r="L1786" s="11">
        <f>IF($J40 = "Eligible", L1783 * 'Facility Detail'!$G$3257, 0 )</f>
        <v>0</v>
      </c>
      <c r="M1786" s="11">
        <f>IF($J40 = "Eligible", M1783 * 'Facility Detail'!$G$3257, 0 )</f>
        <v>0</v>
      </c>
      <c r="N1786" s="11">
        <f>IF($J40 = "Eligible", N1783 * 'Facility Detail'!$G$3257, 0 )</f>
        <v>0</v>
      </c>
      <c r="O1786" s="11">
        <f>IF($J40 = "Eligible", O1783 * 'Facility Detail'!$G$3257, 0 )</f>
        <v>0</v>
      </c>
      <c r="P1786" s="11">
        <f>IF($J40 = "Eligible", P1783 * 'Facility Detail'!$G$3257, 0 )</f>
        <v>0</v>
      </c>
      <c r="Q1786" s="11">
        <f>IF($J40 = "Eligible", Q1783 * 'Facility Detail'!$G$3257, 0 )</f>
        <v>0</v>
      </c>
      <c r="R1786" s="11">
        <f>IF($J40 = "Eligible", R1783 * 'Facility Detail'!$G$3257, 0 )</f>
        <v>0</v>
      </c>
      <c r="S1786" s="11">
        <f>IF($J40 = "Eligible", S1783 * 'Facility Detail'!$G$3257, 0 )</f>
        <v>0</v>
      </c>
      <c r="T1786" s="11">
        <f>IF($J40 = "Eligible", T1783 * 'Facility Detail'!$G$3257, 0 )</f>
        <v>0</v>
      </c>
      <c r="U1786" s="223">
        <f>IF($J40 = "Eligible", U1783 * 'Facility Detail'!$G$3257, 0 )</f>
        <v>0</v>
      </c>
      <c r="W1786" s="1"/>
      <c r="X1786" s="1"/>
      <c r="Y1786" s="1"/>
    </row>
    <row r="1787" spans="1:25">
      <c r="G1787" s="62" t="s">
        <v>6</v>
      </c>
      <c r="H1787" s="57"/>
      <c r="I1787" s="39">
        <f t="shared" ref="I1787:U1787" si="784">IF($K40= "Eligible", I1783, 0 )</f>
        <v>0</v>
      </c>
      <c r="J1787" s="193">
        <f t="shared" si="784"/>
        <v>0</v>
      </c>
      <c r="K1787" s="193">
        <f t="shared" si="784"/>
        <v>0</v>
      </c>
      <c r="L1787" s="193">
        <f t="shared" si="784"/>
        <v>0</v>
      </c>
      <c r="M1787" s="193">
        <f t="shared" si="784"/>
        <v>0</v>
      </c>
      <c r="N1787" s="193">
        <f t="shared" si="784"/>
        <v>0</v>
      </c>
      <c r="O1787" s="193">
        <f t="shared" si="784"/>
        <v>0</v>
      </c>
      <c r="P1787" s="193">
        <f t="shared" si="784"/>
        <v>0</v>
      </c>
      <c r="Q1787" s="193">
        <f t="shared" si="784"/>
        <v>0</v>
      </c>
      <c r="R1787" s="193">
        <f t="shared" si="784"/>
        <v>0</v>
      </c>
      <c r="S1787" s="193">
        <f t="shared" si="784"/>
        <v>0</v>
      </c>
      <c r="T1787" s="193">
        <f t="shared" si="784"/>
        <v>0</v>
      </c>
      <c r="U1787" s="224">
        <f t="shared" si="784"/>
        <v>0</v>
      </c>
      <c r="W1787" s="1"/>
      <c r="X1787" s="1"/>
      <c r="Y1787" s="1"/>
    </row>
    <row r="1788" spans="1:25">
      <c r="G1788" s="26" t="s">
        <v>120</v>
      </c>
      <c r="H1788" s="6"/>
      <c r="I1788" s="32">
        <f>SUM(I1786:I1787)</f>
        <v>0</v>
      </c>
      <c r="J1788" s="33">
        <f>SUM(J1786:J1787)</f>
        <v>0</v>
      </c>
      <c r="K1788" s="33">
        <f>SUM(K1786:K1787)</f>
        <v>0</v>
      </c>
      <c r="L1788" s="33">
        <f t="shared" ref="L1788:S1788" si="785">SUM(L1786:L1787)</f>
        <v>0</v>
      </c>
      <c r="M1788" s="33">
        <f t="shared" si="785"/>
        <v>0</v>
      </c>
      <c r="N1788" s="33">
        <f t="shared" si="785"/>
        <v>0</v>
      </c>
      <c r="O1788" s="33">
        <f t="shared" si="785"/>
        <v>0</v>
      </c>
      <c r="P1788" s="33">
        <f t="shared" si="785"/>
        <v>0</v>
      </c>
      <c r="Q1788" s="33">
        <f t="shared" si="785"/>
        <v>0</v>
      </c>
      <c r="R1788" s="33">
        <f t="shared" si="785"/>
        <v>0</v>
      </c>
      <c r="S1788" s="33">
        <f t="shared" si="785"/>
        <v>0</v>
      </c>
      <c r="T1788" s="33">
        <f t="shared" ref="T1788:U1788" si="786">SUM(T1786:T1787)</f>
        <v>0</v>
      </c>
      <c r="U1788" s="33">
        <f t="shared" si="786"/>
        <v>0</v>
      </c>
      <c r="W1788" s="1"/>
      <c r="X1788" s="1"/>
      <c r="Y1788" s="1"/>
    </row>
    <row r="1789" spans="1:25">
      <c r="I1789" s="31"/>
      <c r="J1789" s="24"/>
      <c r="K1789" s="24"/>
      <c r="L1789" s="24"/>
      <c r="M1789" s="24"/>
      <c r="N1789" s="24"/>
      <c r="O1789" s="24"/>
      <c r="P1789" s="24"/>
      <c r="Q1789" s="24"/>
      <c r="R1789" s="24"/>
      <c r="S1789" s="24"/>
      <c r="T1789" s="24"/>
      <c r="U1789" s="24"/>
      <c r="W1789" s="1"/>
      <c r="X1789" s="1"/>
      <c r="Y1789" s="1"/>
    </row>
    <row r="1790" spans="1:25" ht="18.75">
      <c r="F1790" s="9" t="s">
        <v>30</v>
      </c>
      <c r="I1790" s="2">
        <f>'Facility Detail'!$G$3260</f>
        <v>2011</v>
      </c>
      <c r="J1790" s="2">
        <f>I1790+1</f>
        <v>2012</v>
      </c>
      <c r="K1790" s="2">
        <f>J1790+1</f>
        <v>2013</v>
      </c>
      <c r="L1790" s="2">
        <f t="shared" ref="L1790:R1790" si="787">K1790+1</f>
        <v>2014</v>
      </c>
      <c r="M1790" s="2">
        <f t="shared" si="787"/>
        <v>2015</v>
      </c>
      <c r="N1790" s="2">
        <f t="shared" si="787"/>
        <v>2016</v>
      </c>
      <c r="O1790" s="2">
        <f t="shared" si="787"/>
        <v>2017</v>
      </c>
      <c r="P1790" s="2">
        <f t="shared" si="787"/>
        <v>2018</v>
      </c>
      <c r="Q1790" s="2">
        <f t="shared" si="787"/>
        <v>2019</v>
      </c>
      <c r="R1790" s="2">
        <f t="shared" si="787"/>
        <v>2020</v>
      </c>
      <c r="S1790" s="2">
        <f>R1790+1</f>
        <v>2021</v>
      </c>
      <c r="T1790" s="2">
        <f>S1790+1</f>
        <v>2022</v>
      </c>
      <c r="U1790" s="2">
        <f>T1790+1</f>
        <v>2023</v>
      </c>
      <c r="W1790" s="1"/>
      <c r="X1790" s="1"/>
      <c r="Y1790" s="1"/>
    </row>
    <row r="1791" spans="1:25">
      <c r="G1791" s="62" t="s">
        <v>47</v>
      </c>
      <c r="H1791" s="57"/>
      <c r="I1791" s="71"/>
      <c r="J1791" s="72"/>
      <c r="K1791" s="72"/>
      <c r="L1791" s="72"/>
      <c r="M1791" s="72"/>
      <c r="N1791" s="72"/>
      <c r="O1791" s="72"/>
      <c r="P1791" s="72"/>
      <c r="Q1791" s="72"/>
      <c r="R1791" s="72"/>
      <c r="S1791" s="72"/>
      <c r="T1791" s="72"/>
      <c r="U1791" s="73"/>
      <c r="W1791" s="1"/>
      <c r="X1791" s="1"/>
      <c r="Y1791" s="1"/>
    </row>
    <row r="1792" spans="1:25">
      <c r="G1792" s="63" t="s">
        <v>23</v>
      </c>
      <c r="H1792" s="135"/>
      <c r="I1792" s="74"/>
      <c r="J1792" s="75"/>
      <c r="K1792" s="75"/>
      <c r="L1792" s="75"/>
      <c r="M1792" s="75"/>
      <c r="N1792" s="75"/>
      <c r="O1792" s="75"/>
      <c r="P1792" s="75"/>
      <c r="Q1792" s="75"/>
      <c r="R1792" s="75"/>
      <c r="S1792" s="75"/>
      <c r="T1792" s="75"/>
      <c r="U1792" s="76"/>
      <c r="W1792" s="1"/>
      <c r="X1792" s="1"/>
      <c r="Y1792" s="1"/>
    </row>
    <row r="1793" spans="6:25">
      <c r="G1793" s="63" t="s">
        <v>89</v>
      </c>
      <c r="H1793" s="134"/>
      <c r="I1793" s="43"/>
      <c r="J1793" s="44"/>
      <c r="K1793" s="44"/>
      <c r="L1793" s="44"/>
      <c r="M1793" s="44"/>
      <c r="N1793" s="44"/>
      <c r="O1793" s="44"/>
      <c r="P1793" s="44"/>
      <c r="Q1793" s="44"/>
      <c r="R1793" s="44"/>
      <c r="S1793" s="44"/>
      <c r="T1793" s="44"/>
      <c r="U1793" s="45"/>
      <c r="W1793" s="1"/>
      <c r="X1793" s="1"/>
      <c r="Y1793" s="1"/>
    </row>
    <row r="1794" spans="6:25">
      <c r="G1794" s="26" t="s">
        <v>90</v>
      </c>
      <c r="I1794" s="7">
        <f>SUM(I1791:I1793)</f>
        <v>0</v>
      </c>
      <c r="J1794" s="7">
        <f>SUM(J1791:J1793)</f>
        <v>0</v>
      </c>
      <c r="K1794" s="7">
        <f>SUM(K1791:K1793)</f>
        <v>0</v>
      </c>
      <c r="L1794" s="7">
        <f t="shared" ref="L1794:S1794" si="788">SUM(L1791:L1793)</f>
        <v>0</v>
      </c>
      <c r="M1794" s="7">
        <f t="shared" si="788"/>
        <v>0</v>
      </c>
      <c r="N1794" s="7">
        <f t="shared" si="788"/>
        <v>0</v>
      </c>
      <c r="O1794" s="7">
        <f t="shared" si="788"/>
        <v>0</v>
      </c>
      <c r="P1794" s="7">
        <f t="shared" si="788"/>
        <v>0</v>
      </c>
      <c r="Q1794" s="7">
        <f t="shared" si="788"/>
        <v>0</v>
      </c>
      <c r="R1794" s="7">
        <f t="shared" si="788"/>
        <v>0</v>
      </c>
      <c r="S1794" s="7">
        <f t="shared" si="788"/>
        <v>0</v>
      </c>
      <c r="T1794" s="7">
        <f t="shared" ref="T1794:U1794" si="789">SUM(T1791:T1793)</f>
        <v>0</v>
      </c>
      <c r="U1794" s="7">
        <f t="shared" si="789"/>
        <v>0</v>
      </c>
      <c r="W1794" s="1"/>
      <c r="X1794" s="1"/>
      <c r="Y1794" s="1"/>
    </row>
    <row r="1795" spans="6:25">
      <c r="G1795" s="6"/>
      <c r="I1795" s="7"/>
      <c r="J1795" s="7"/>
      <c r="K1795" s="7"/>
      <c r="L1795" s="7"/>
      <c r="M1795" s="7"/>
      <c r="N1795" s="7"/>
      <c r="O1795" s="7"/>
      <c r="P1795" s="7"/>
      <c r="Q1795" s="7"/>
      <c r="R1795" s="7"/>
      <c r="S1795" s="7"/>
      <c r="T1795" s="7"/>
      <c r="U1795" s="7"/>
      <c r="W1795" s="1"/>
      <c r="X1795" s="1"/>
      <c r="Y1795" s="1"/>
    </row>
    <row r="1796" spans="6:25" ht="18.75">
      <c r="F1796" s="9" t="s">
        <v>100</v>
      </c>
      <c r="I1796" s="2">
        <f>'Facility Detail'!$G$3260</f>
        <v>2011</v>
      </c>
      <c r="J1796" s="2">
        <f>I1796+1</f>
        <v>2012</v>
      </c>
      <c r="K1796" s="2">
        <f>J1796+1</f>
        <v>2013</v>
      </c>
      <c r="L1796" s="2">
        <f t="shared" ref="L1796:R1796" si="790">K1796+1</f>
        <v>2014</v>
      </c>
      <c r="M1796" s="2">
        <f t="shared" si="790"/>
        <v>2015</v>
      </c>
      <c r="N1796" s="2">
        <f t="shared" si="790"/>
        <v>2016</v>
      </c>
      <c r="O1796" s="2">
        <f t="shared" si="790"/>
        <v>2017</v>
      </c>
      <c r="P1796" s="2">
        <f t="shared" si="790"/>
        <v>2018</v>
      </c>
      <c r="Q1796" s="2">
        <f t="shared" si="790"/>
        <v>2019</v>
      </c>
      <c r="R1796" s="2">
        <f t="shared" si="790"/>
        <v>2020</v>
      </c>
      <c r="S1796" s="2">
        <f>R1796+1</f>
        <v>2021</v>
      </c>
      <c r="T1796" s="2">
        <f>S1796+1</f>
        <v>2022</v>
      </c>
      <c r="U1796" s="2">
        <f>T1796+1</f>
        <v>2023</v>
      </c>
      <c r="W1796" s="1"/>
      <c r="X1796" s="1"/>
      <c r="Y1796" s="1"/>
    </row>
    <row r="1797" spans="6:25">
      <c r="G1797" s="62" t="s">
        <v>68</v>
      </c>
      <c r="H1797" s="57"/>
      <c r="I1797" s="3"/>
      <c r="J1797" s="46">
        <f>I1797</f>
        <v>0</v>
      </c>
      <c r="K1797" s="106"/>
      <c r="L1797" s="106"/>
      <c r="M1797" s="106"/>
      <c r="N1797" s="106"/>
      <c r="O1797" s="106"/>
      <c r="P1797" s="106"/>
      <c r="Q1797" s="106"/>
      <c r="R1797" s="106"/>
      <c r="S1797" s="106"/>
      <c r="T1797" s="106"/>
      <c r="U1797" s="47"/>
      <c r="W1797" s="1"/>
      <c r="X1797" s="1"/>
      <c r="Y1797" s="1"/>
    </row>
    <row r="1798" spans="6:25">
      <c r="G1798" s="62" t="s">
        <v>69</v>
      </c>
      <c r="H1798" s="57"/>
      <c r="I1798" s="127">
        <f>J1798</f>
        <v>0</v>
      </c>
      <c r="J1798" s="10"/>
      <c r="K1798" s="60"/>
      <c r="L1798" s="60"/>
      <c r="M1798" s="60"/>
      <c r="N1798" s="60"/>
      <c r="O1798" s="60"/>
      <c r="P1798" s="60"/>
      <c r="Q1798" s="60"/>
      <c r="R1798" s="60"/>
      <c r="S1798" s="60"/>
      <c r="T1798" s="60"/>
      <c r="U1798" s="128"/>
      <c r="W1798" s="1"/>
      <c r="X1798" s="1"/>
      <c r="Y1798" s="1"/>
    </row>
    <row r="1799" spans="6:25">
      <c r="G1799" s="62" t="s">
        <v>70</v>
      </c>
      <c r="H1799" s="57"/>
      <c r="I1799" s="48"/>
      <c r="J1799" s="10">
        <f>J1783</f>
        <v>0</v>
      </c>
      <c r="K1799" s="56">
        <f>J1799</f>
        <v>0</v>
      </c>
      <c r="L1799" s="60"/>
      <c r="M1799" s="60"/>
      <c r="N1799" s="60"/>
      <c r="O1799" s="60"/>
      <c r="P1799" s="60"/>
      <c r="Q1799" s="60"/>
      <c r="R1799" s="60"/>
      <c r="S1799" s="60"/>
      <c r="T1799" s="60"/>
      <c r="U1799" s="128"/>
      <c r="W1799" s="1"/>
      <c r="X1799" s="1"/>
      <c r="Y1799" s="1"/>
    </row>
    <row r="1800" spans="6:25">
      <c r="G1800" s="62" t="s">
        <v>71</v>
      </c>
      <c r="H1800" s="57"/>
      <c r="I1800" s="48"/>
      <c r="J1800" s="56">
        <f>K1800</f>
        <v>0</v>
      </c>
      <c r="K1800" s="126"/>
      <c r="L1800" s="60"/>
      <c r="M1800" s="60"/>
      <c r="N1800" s="60"/>
      <c r="O1800" s="60"/>
      <c r="P1800" s="60"/>
      <c r="Q1800" s="60"/>
      <c r="R1800" s="60"/>
      <c r="S1800" s="60"/>
      <c r="T1800" s="60"/>
      <c r="U1800" s="128"/>
      <c r="W1800" s="1"/>
      <c r="X1800" s="1"/>
      <c r="Y1800" s="1"/>
    </row>
    <row r="1801" spans="6:25">
      <c r="G1801" s="62" t="s">
        <v>170</v>
      </c>
      <c r="I1801" s="48"/>
      <c r="J1801" s="118"/>
      <c r="K1801" s="10">
        <f>K1783</f>
        <v>0</v>
      </c>
      <c r="L1801" s="119">
        <f>K1801</f>
        <v>0</v>
      </c>
      <c r="M1801" s="60"/>
      <c r="N1801" s="60"/>
      <c r="O1801" s="60"/>
      <c r="P1801" s="60"/>
      <c r="Q1801" s="60"/>
      <c r="R1801" s="60"/>
      <c r="S1801" s="60"/>
      <c r="T1801" s="60"/>
      <c r="U1801" s="128"/>
      <c r="W1801" s="1"/>
      <c r="X1801" s="1"/>
      <c r="Y1801" s="1"/>
    </row>
    <row r="1802" spans="6:25">
      <c r="G1802" s="62" t="s">
        <v>171</v>
      </c>
      <c r="I1802" s="48"/>
      <c r="J1802" s="118"/>
      <c r="K1802" s="56">
        <f>L1802</f>
        <v>0</v>
      </c>
      <c r="L1802" s="10"/>
      <c r="M1802" s="60"/>
      <c r="N1802" s="60"/>
      <c r="O1802" s="60"/>
      <c r="P1802" s="60"/>
      <c r="Q1802" s="60"/>
      <c r="R1802" s="60"/>
      <c r="S1802" s="60"/>
      <c r="T1802" s="60"/>
      <c r="U1802" s="128"/>
      <c r="W1802" s="1"/>
      <c r="X1802" s="1"/>
      <c r="Y1802" s="1"/>
    </row>
    <row r="1803" spans="6:25">
      <c r="G1803" s="62" t="s">
        <v>172</v>
      </c>
      <c r="I1803" s="48"/>
      <c r="J1803" s="118"/>
      <c r="K1803" s="118"/>
      <c r="L1803" s="10">
        <f>L1783</f>
        <v>0</v>
      </c>
      <c r="M1803" s="119">
        <f>L1803</f>
        <v>0</v>
      </c>
      <c r="N1803" s="118"/>
      <c r="O1803" s="118"/>
      <c r="P1803" s="118"/>
      <c r="Q1803" s="118"/>
      <c r="R1803" s="118"/>
      <c r="S1803" s="118"/>
      <c r="T1803" s="118"/>
      <c r="U1803" s="122"/>
      <c r="W1803" s="1"/>
      <c r="X1803" s="1"/>
      <c r="Y1803" s="1"/>
    </row>
    <row r="1804" spans="6:25">
      <c r="G1804" s="62" t="s">
        <v>173</v>
      </c>
      <c r="I1804" s="48"/>
      <c r="J1804" s="118"/>
      <c r="K1804" s="118"/>
      <c r="L1804" s="120"/>
      <c r="M1804" s="121"/>
      <c r="N1804" s="118"/>
      <c r="O1804" s="60"/>
      <c r="P1804" s="60"/>
      <c r="Q1804" s="60"/>
      <c r="R1804" s="60"/>
      <c r="S1804" s="60"/>
      <c r="T1804" s="60"/>
      <c r="U1804" s="128"/>
      <c r="W1804" s="1"/>
      <c r="X1804" s="1"/>
      <c r="Y1804" s="1"/>
    </row>
    <row r="1805" spans="6:25">
      <c r="G1805" s="62" t="s">
        <v>174</v>
      </c>
      <c r="I1805" s="48"/>
      <c r="J1805" s="118"/>
      <c r="K1805" s="118"/>
      <c r="L1805" s="118"/>
      <c r="M1805" s="121">
        <f>M1783</f>
        <v>1300</v>
      </c>
      <c r="N1805" s="119">
        <f>M1805</f>
        <v>1300</v>
      </c>
      <c r="O1805" s="60"/>
      <c r="P1805" s="60"/>
      <c r="Q1805" s="60"/>
      <c r="R1805" s="60"/>
      <c r="S1805" s="60"/>
      <c r="T1805" s="60"/>
      <c r="U1805" s="128"/>
      <c r="W1805" s="1"/>
      <c r="X1805" s="1"/>
      <c r="Y1805" s="1"/>
    </row>
    <row r="1806" spans="6:25">
      <c r="G1806" s="62" t="s">
        <v>175</v>
      </c>
      <c r="I1806" s="48"/>
      <c r="J1806" s="118"/>
      <c r="K1806" s="118"/>
      <c r="L1806" s="118"/>
      <c r="M1806" s="56"/>
      <c r="N1806" s="121"/>
      <c r="O1806" s="60"/>
      <c r="P1806" s="60"/>
      <c r="Q1806" s="60"/>
      <c r="R1806" s="60"/>
      <c r="S1806" s="60"/>
      <c r="T1806" s="60"/>
      <c r="U1806" s="128"/>
      <c r="W1806" s="1"/>
      <c r="X1806" s="1"/>
      <c r="Y1806" s="1"/>
    </row>
    <row r="1807" spans="6:25">
      <c r="G1807" s="62" t="s">
        <v>176</v>
      </c>
      <c r="I1807" s="48"/>
      <c r="J1807" s="118"/>
      <c r="K1807" s="118"/>
      <c r="L1807" s="118"/>
      <c r="M1807" s="118"/>
      <c r="N1807" s="121">
        <f>N1783</f>
        <v>0</v>
      </c>
      <c r="O1807" s="119">
        <f>N1807</f>
        <v>0</v>
      </c>
      <c r="P1807" s="60"/>
      <c r="Q1807" s="60"/>
      <c r="R1807" s="60"/>
      <c r="S1807" s="60"/>
      <c r="T1807" s="60"/>
      <c r="U1807" s="128"/>
      <c r="W1807" s="1"/>
      <c r="X1807" s="1"/>
      <c r="Y1807" s="1"/>
    </row>
    <row r="1808" spans="6:25">
      <c r="G1808" s="62" t="s">
        <v>167</v>
      </c>
      <c r="I1808" s="48"/>
      <c r="J1808" s="118"/>
      <c r="K1808" s="118"/>
      <c r="L1808" s="118"/>
      <c r="M1808" s="118"/>
      <c r="N1808" s="56"/>
      <c r="O1808" s="121"/>
      <c r="P1808" s="60"/>
      <c r="Q1808" s="60"/>
      <c r="R1808" s="60"/>
      <c r="S1808" s="60"/>
      <c r="T1808" s="60"/>
      <c r="U1808" s="128"/>
      <c r="W1808" s="1"/>
      <c r="X1808" s="1"/>
      <c r="Y1808" s="1"/>
    </row>
    <row r="1809" spans="2:25">
      <c r="G1809" s="62" t="s">
        <v>168</v>
      </c>
      <c r="I1809" s="49"/>
      <c r="J1809" s="108"/>
      <c r="K1809" s="108"/>
      <c r="L1809" s="108"/>
      <c r="M1809" s="108"/>
      <c r="N1809" s="108"/>
      <c r="O1809" s="123"/>
      <c r="P1809" s="271"/>
      <c r="Q1809" s="194"/>
      <c r="R1809" s="194"/>
      <c r="S1809" s="194"/>
      <c r="T1809" s="194"/>
      <c r="U1809" s="195"/>
      <c r="W1809" s="1"/>
      <c r="X1809" s="1"/>
      <c r="Y1809" s="1"/>
    </row>
    <row r="1810" spans="2:25">
      <c r="B1810" s="1" t="s">
        <v>286</v>
      </c>
      <c r="G1810" s="26" t="s">
        <v>17</v>
      </c>
      <c r="I1810" s="138">
        <f xml:space="preserve"> I1803 - I1802</f>
        <v>0</v>
      </c>
      <c r="J1810" s="138">
        <f xml:space="preserve"> J1802 + J1805 - J1804 - J1803</f>
        <v>0</v>
      </c>
      <c r="K1810" s="138">
        <f>K1804 - K1805</f>
        <v>0</v>
      </c>
      <c r="L1810" s="138">
        <f t="shared" ref="L1810" si="791">L1804 - L1805</f>
        <v>0</v>
      </c>
      <c r="M1810" s="138">
        <f>M1803-M1804-M1805</f>
        <v>-1300</v>
      </c>
      <c r="N1810" s="138">
        <f>N1805-N1806-N1807</f>
        <v>1300</v>
      </c>
      <c r="O1810" s="138">
        <f>O1807-O1808-O1809</f>
        <v>0</v>
      </c>
      <c r="P1810" s="138">
        <f>P1809</f>
        <v>0</v>
      </c>
      <c r="Q1810" s="138">
        <f t="shared" ref="Q1810:S1810" si="792">Q1809</f>
        <v>0</v>
      </c>
      <c r="R1810" s="138">
        <f t="shared" si="792"/>
        <v>0</v>
      </c>
      <c r="S1810" s="138">
        <f t="shared" si="792"/>
        <v>0</v>
      </c>
      <c r="T1810" s="138">
        <f t="shared" ref="T1810:U1810" si="793">T1809</f>
        <v>0</v>
      </c>
      <c r="U1810" s="138">
        <f t="shared" si="793"/>
        <v>0</v>
      </c>
      <c r="W1810" s="1"/>
      <c r="X1810" s="1"/>
      <c r="Y1810" s="1"/>
    </row>
    <row r="1811" spans="2:25">
      <c r="G1811" s="6"/>
      <c r="I1811" s="7"/>
      <c r="J1811" s="7"/>
      <c r="K1811" s="7"/>
      <c r="L1811" s="7"/>
      <c r="M1811" s="7"/>
      <c r="N1811" s="7"/>
      <c r="O1811" s="7"/>
      <c r="P1811" s="7"/>
      <c r="Q1811" s="7"/>
      <c r="R1811" s="7"/>
      <c r="S1811" s="7"/>
      <c r="T1811" s="7"/>
      <c r="U1811" s="7"/>
      <c r="W1811" s="1"/>
      <c r="X1811" s="1"/>
      <c r="Y1811" s="1"/>
    </row>
    <row r="1812" spans="2:25">
      <c r="G1812" s="26" t="s">
        <v>12</v>
      </c>
      <c r="H1812" s="57"/>
      <c r="I1812" s="155"/>
      <c r="J1812" s="156"/>
      <c r="K1812" s="156"/>
      <c r="L1812" s="156"/>
      <c r="M1812" s="156"/>
      <c r="N1812" s="156"/>
      <c r="O1812" s="156"/>
      <c r="P1812" s="156"/>
      <c r="Q1812" s="156"/>
      <c r="R1812" s="156"/>
      <c r="S1812" s="156"/>
      <c r="T1812" s="156"/>
      <c r="U1812" s="267"/>
      <c r="W1812" s="1"/>
      <c r="X1812" s="1"/>
      <c r="Y1812" s="1"/>
    </row>
    <row r="1813" spans="2:25">
      <c r="G1813" s="6"/>
      <c r="I1813" s="154"/>
      <c r="J1813" s="154"/>
      <c r="K1813" s="154"/>
      <c r="L1813" s="154"/>
      <c r="M1813" s="154"/>
      <c r="N1813" s="154"/>
      <c r="O1813" s="154"/>
      <c r="P1813" s="154"/>
      <c r="Q1813" s="154"/>
      <c r="R1813" s="154"/>
      <c r="S1813" s="154"/>
      <c r="T1813" s="154"/>
      <c r="U1813" s="154"/>
      <c r="W1813" s="1"/>
      <c r="X1813" s="1"/>
      <c r="Y1813" s="1"/>
    </row>
    <row r="1814" spans="2:25" ht="18.75">
      <c r="C1814" s="1" t="s">
        <v>286</v>
      </c>
      <c r="D1814" s="1" t="s">
        <v>287</v>
      </c>
      <c r="E1814" s="1" t="s">
        <v>107</v>
      </c>
      <c r="F1814" s="9" t="s">
        <v>26</v>
      </c>
      <c r="H1814" s="57"/>
      <c r="I1814" s="157">
        <f xml:space="preserve"> I1783 + I1788 - I1794 + I1810 + I1812</f>
        <v>0</v>
      </c>
      <c r="J1814" s="158">
        <f xml:space="preserve"> J1783 + J1788 - J1794 + J1810 + J1812</f>
        <v>0</v>
      </c>
      <c r="K1814" s="158">
        <f xml:space="preserve"> K1783 + K1788 - K1794 + K1810 + K1812</f>
        <v>0</v>
      </c>
      <c r="L1814" s="158">
        <f t="shared" ref="L1814:S1814" si="794" xml:space="preserve"> L1783 + L1788 - L1794 + L1810 + L1812</f>
        <v>0</v>
      </c>
      <c r="M1814" s="158">
        <f t="shared" si="794"/>
        <v>0</v>
      </c>
      <c r="N1814" s="158">
        <f t="shared" si="794"/>
        <v>1300</v>
      </c>
      <c r="O1814" s="158">
        <f t="shared" si="794"/>
        <v>0</v>
      </c>
      <c r="P1814" s="158">
        <f t="shared" si="794"/>
        <v>0</v>
      </c>
      <c r="Q1814" s="158">
        <f t="shared" si="794"/>
        <v>0</v>
      </c>
      <c r="R1814" s="158">
        <f t="shared" si="794"/>
        <v>0</v>
      </c>
      <c r="S1814" s="158">
        <f t="shared" si="794"/>
        <v>0</v>
      </c>
      <c r="T1814" s="158">
        <f t="shared" ref="T1814:U1814" si="795" xml:space="preserve"> T1783 + T1788 - T1794 + T1810 + T1812</f>
        <v>0</v>
      </c>
      <c r="U1814" s="268">
        <f t="shared" si="795"/>
        <v>0</v>
      </c>
      <c r="W1814" s="1"/>
      <c r="X1814" s="1"/>
      <c r="Y1814" s="1"/>
    </row>
    <row r="1815" spans="2:25">
      <c r="G1815" s="6"/>
      <c r="I1815" s="7"/>
      <c r="J1815" s="7"/>
      <c r="K1815" s="7"/>
      <c r="L1815" s="23"/>
      <c r="M1815" s="23"/>
      <c r="N1815" s="23"/>
      <c r="O1815" s="23"/>
      <c r="P1815" s="23"/>
      <c r="Q1815" s="23"/>
      <c r="R1815" s="23"/>
      <c r="S1815" s="282"/>
      <c r="T1815" s="23"/>
      <c r="U1815" s="23"/>
      <c r="W1815" s="1"/>
      <c r="X1815" s="1"/>
      <c r="Y1815" s="1"/>
    </row>
    <row r="1816" spans="2:25" ht="15.75" thickBot="1">
      <c r="W1816" s="1"/>
      <c r="X1816" s="1"/>
      <c r="Y1816" s="1"/>
    </row>
    <row r="1817" spans="2:25">
      <c r="F1817" s="8"/>
      <c r="G1817" s="8"/>
      <c r="H1817" s="8"/>
      <c r="I1817" s="8"/>
      <c r="J1817" s="8"/>
      <c r="K1817" s="8"/>
      <c r="L1817" s="8"/>
      <c r="M1817" s="8"/>
      <c r="N1817" s="8"/>
      <c r="O1817" s="8"/>
      <c r="P1817" s="8"/>
      <c r="Q1817" s="8"/>
      <c r="R1817" s="8"/>
      <c r="S1817" s="290"/>
      <c r="T1817" s="8"/>
      <c r="U1817" s="8"/>
      <c r="W1817" s="1"/>
      <c r="X1817" s="1"/>
      <c r="Y1817" s="1"/>
    </row>
    <row r="1818" spans="2:25" ht="15.75" thickBot="1">
      <c r="W1818" s="1"/>
      <c r="X1818" s="1"/>
      <c r="Y1818" s="1"/>
    </row>
    <row r="1819" spans="2:25" ht="21.75" thickBot="1">
      <c r="F1819" s="13" t="s">
        <v>4</v>
      </c>
      <c r="G1819" s="13"/>
      <c r="H1819" s="175" t="s">
        <v>130</v>
      </c>
      <c r="I1819" s="183"/>
      <c r="W1819" s="1"/>
      <c r="X1819" s="1"/>
      <c r="Y1819" s="1"/>
    </row>
    <row r="1820" spans="2:25">
      <c r="S1820" s="1"/>
      <c r="W1820" s="1"/>
      <c r="X1820" s="1"/>
      <c r="Y1820" s="1"/>
    </row>
    <row r="1821" spans="2:25" ht="18.75">
      <c r="F1821" s="9" t="s">
        <v>21</v>
      </c>
      <c r="G1821" s="9"/>
      <c r="I1821" s="2">
        <f>'Facility Detail'!$G$3260</f>
        <v>2011</v>
      </c>
      <c r="J1821" s="2">
        <f t="shared" ref="J1821:P1821" si="796">I1821+1</f>
        <v>2012</v>
      </c>
      <c r="K1821" s="2">
        <f t="shared" si="796"/>
        <v>2013</v>
      </c>
      <c r="L1821" s="2">
        <f t="shared" si="796"/>
        <v>2014</v>
      </c>
      <c r="M1821" s="2">
        <f t="shared" si="796"/>
        <v>2015</v>
      </c>
      <c r="N1821" s="2">
        <f t="shared" si="796"/>
        <v>2016</v>
      </c>
      <c r="O1821" s="2">
        <f t="shared" si="796"/>
        <v>2017</v>
      </c>
      <c r="P1821" s="2">
        <f t="shared" si="796"/>
        <v>2018</v>
      </c>
      <c r="Q1821" s="2">
        <f t="shared" ref="Q1821" si="797">P1821+1</f>
        <v>2019</v>
      </c>
      <c r="R1821" s="2">
        <f t="shared" ref="R1821" si="798">Q1821+1</f>
        <v>2020</v>
      </c>
      <c r="S1821" s="2">
        <f>R1821+1</f>
        <v>2021</v>
      </c>
      <c r="T1821" s="2">
        <f>S1821+1</f>
        <v>2022</v>
      </c>
      <c r="U1821" s="2">
        <f>T1821+1</f>
        <v>2023</v>
      </c>
      <c r="W1821" s="1"/>
      <c r="X1821" s="1"/>
      <c r="Y1821" s="1"/>
    </row>
    <row r="1822" spans="2:25">
      <c r="G1822" s="62" t="str">
        <f>"Total MWh Produced / Purchased from " &amp; H1819</f>
        <v>Total MWh Produced / Purchased from Marengo I</v>
      </c>
      <c r="H1822" s="57"/>
      <c r="I1822" s="3">
        <v>403408</v>
      </c>
      <c r="J1822" s="4">
        <v>358669</v>
      </c>
      <c r="K1822" s="4">
        <v>331240</v>
      </c>
      <c r="L1822" s="4">
        <v>367390</v>
      </c>
      <c r="M1822" s="4">
        <v>298771</v>
      </c>
      <c r="N1822" s="4">
        <v>356053</v>
      </c>
      <c r="O1822" s="4">
        <v>315543</v>
      </c>
      <c r="P1822" s="4">
        <v>336426</v>
      </c>
      <c r="Q1822" s="4">
        <v>145630</v>
      </c>
      <c r="R1822" s="4">
        <v>482194</v>
      </c>
      <c r="S1822" s="4">
        <v>484854</v>
      </c>
      <c r="T1822" s="4">
        <v>391503</v>
      </c>
      <c r="U1822" s="5">
        <v>433360</v>
      </c>
      <c r="W1822" s="1"/>
      <c r="X1822" s="1"/>
      <c r="Y1822" s="1"/>
    </row>
    <row r="1823" spans="2:25">
      <c r="G1823" s="62" t="s">
        <v>25</v>
      </c>
      <c r="H1823" s="57"/>
      <c r="I1823" s="269">
        <v>1</v>
      </c>
      <c r="J1823" s="41">
        <v>1</v>
      </c>
      <c r="K1823" s="41">
        <v>1</v>
      </c>
      <c r="L1823" s="41">
        <v>1</v>
      </c>
      <c r="M1823" s="41">
        <v>1</v>
      </c>
      <c r="N1823" s="41">
        <v>1</v>
      </c>
      <c r="O1823" s="41">
        <v>1</v>
      </c>
      <c r="P1823" s="41">
        <v>1</v>
      </c>
      <c r="Q1823" s="41">
        <v>1</v>
      </c>
      <c r="R1823" s="41">
        <v>1</v>
      </c>
      <c r="S1823" s="41">
        <v>1</v>
      </c>
      <c r="T1823" s="41">
        <v>1</v>
      </c>
      <c r="U1823" s="41">
        <v>1</v>
      </c>
      <c r="W1823" s="1"/>
      <c r="X1823" s="1"/>
      <c r="Y1823" s="1"/>
    </row>
    <row r="1824" spans="2:25">
      <c r="G1824" s="62" t="s">
        <v>20</v>
      </c>
      <c r="H1824" s="57"/>
      <c r="I1824" s="270">
        <v>7.8921000000000005E-2</v>
      </c>
      <c r="J1824" s="36">
        <v>7.9619999999999996E-2</v>
      </c>
      <c r="K1824" s="36">
        <v>7.8747999999999999E-2</v>
      </c>
      <c r="L1824" s="36">
        <v>8.0235000000000001E-2</v>
      </c>
      <c r="M1824" s="36">
        <v>8.0535999999999996E-2</v>
      </c>
      <c r="N1824" s="36">
        <v>8.1698151927344531E-2</v>
      </c>
      <c r="O1824" s="36">
        <v>8.0833713568703974E-2</v>
      </c>
      <c r="P1824" s="36">
        <v>7.9451999999999995E-2</v>
      </c>
      <c r="Q1824" s="36">
        <v>7.6724662968274293E-2</v>
      </c>
      <c r="R1824" s="36">
        <f>R1730</f>
        <v>8.1268700519883177E-2</v>
      </c>
      <c r="S1824" s="36">
        <f>S2</f>
        <v>7.9696892166366717E-2</v>
      </c>
      <c r="T1824" s="36">
        <f>T2</f>
        <v>7.8737918965874246E-2</v>
      </c>
      <c r="U1824" s="36">
        <f>U2</f>
        <v>7.8407467372863096E-2</v>
      </c>
      <c r="W1824" s="1"/>
      <c r="X1824" s="1"/>
      <c r="Y1824" s="1"/>
    </row>
    <row r="1825" spans="1:25">
      <c r="A1825" s="1" t="s">
        <v>130</v>
      </c>
      <c r="G1825" s="26" t="s">
        <v>22</v>
      </c>
      <c r="H1825" s="6"/>
      <c r="I1825" s="30">
        <v>31837</v>
      </c>
      <c r="J1825" s="30">
        <v>28557</v>
      </c>
      <c r="K1825" s="30">
        <v>26084</v>
      </c>
      <c r="L1825" s="30">
        <v>29478</v>
      </c>
      <c r="M1825" s="30">
        <v>24062</v>
      </c>
      <c r="N1825" s="161">
        <v>29087</v>
      </c>
      <c r="O1825" s="161">
        <v>25507</v>
      </c>
      <c r="P1825" s="161">
        <v>26729</v>
      </c>
      <c r="Q1825" s="161">
        <f>Q1822*Q1824</f>
        <v>11173.412668069785</v>
      </c>
      <c r="R1825" s="161">
        <f>R1822*R1824</f>
        <v>39187.279778484546</v>
      </c>
      <c r="S1825" s="161">
        <f>ROUNDUP(S1822*S1824,0)</f>
        <v>38642</v>
      </c>
      <c r="T1825" s="161">
        <f>ROUNDUP(T1822*T1824,0)</f>
        <v>30827</v>
      </c>
      <c r="U1825" s="161">
        <f>U1822*U1824</f>
        <v>33978.660060703951</v>
      </c>
      <c r="W1825" s="1"/>
      <c r="X1825" s="1"/>
      <c r="Y1825" s="1"/>
    </row>
    <row r="1826" spans="1:25">
      <c r="I1826" s="29"/>
      <c r="J1826" s="29"/>
      <c r="K1826" s="29"/>
      <c r="L1826" s="29"/>
      <c r="M1826" s="29"/>
      <c r="N1826" s="20"/>
      <c r="O1826" s="20"/>
      <c r="P1826" s="20"/>
      <c r="Q1826" s="20"/>
      <c r="R1826" s="20"/>
      <c r="S1826" s="292"/>
      <c r="T1826" s="20"/>
      <c r="U1826" s="20"/>
      <c r="W1826" s="1"/>
      <c r="X1826" s="1"/>
      <c r="Y1826" s="1"/>
    </row>
    <row r="1827" spans="1:25" ht="18.75">
      <c r="F1827" s="9" t="s">
        <v>118</v>
      </c>
      <c r="I1827" s="2">
        <f>'Facility Detail'!$G$3260</f>
        <v>2011</v>
      </c>
      <c r="J1827" s="2">
        <f>I1827+1</f>
        <v>2012</v>
      </c>
      <c r="K1827" s="2">
        <f>J1827+1</f>
        <v>2013</v>
      </c>
      <c r="L1827" s="2">
        <f>L1821</f>
        <v>2014</v>
      </c>
      <c r="M1827" s="2">
        <f>M1821</f>
        <v>2015</v>
      </c>
      <c r="N1827" s="2">
        <f>N1821</f>
        <v>2016</v>
      </c>
      <c r="O1827" s="2">
        <f>O1821</f>
        <v>2017</v>
      </c>
      <c r="P1827" s="2">
        <f>P1821</f>
        <v>2018</v>
      </c>
      <c r="Q1827" s="2">
        <f t="shared" ref="Q1827:S1827" si="799">Q1821</f>
        <v>2019</v>
      </c>
      <c r="R1827" s="2">
        <f t="shared" si="799"/>
        <v>2020</v>
      </c>
      <c r="S1827" s="2">
        <f t="shared" si="799"/>
        <v>2021</v>
      </c>
      <c r="T1827" s="2">
        <f t="shared" ref="T1827:U1827" si="800">T1821</f>
        <v>2022</v>
      </c>
      <c r="U1827" s="2">
        <f t="shared" si="800"/>
        <v>2023</v>
      </c>
      <c r="W1827" s="1"/>
      <c r="X1827" s="1"/>
      <c r="Y1827" s="1"/>
    </row>
    <row r="1828" spans="1:25">
      <c r="G1828" s="62" t="s">
        <v>10</v>
      </c>
      <c r="H1828" s="57"/>
      <c r="I1828" s="38">
        <f>IF($J41 = "Eligible", I1825 * 'Facility Detail'!$G$3257, 0 )</f>
        <v>0</v>
      </c>
      <c r="J1828" s="11">
        <f>IF($J41 = "Eligible", J1825 * 'Facility Detail'!$G$3257, 0 )</f>
        <v>0</v>
      </c>
      <c r="K1828" s="11">
        <f>IF($J41 = "Eligible", K1825 * 'Facility Detail'!$G$3257, 0 )</f>
        <v>0</v>
      </c>
      <c r="L1828" s="11">
        <f>IF($J41 = "Eligible", L1825 * 'Facility Detail'!$G$3257, 0 )</f>
        <v>0</v>
      </c>
      <c r="M1828" s="11">
        <f>IF($J41 = "Eligible", M1825 * 'Facility Detail'!$G$3257, 0 )</f>
        <v>0</v>
      </c>
      <c r="N1828" s="11">
        <f>IF($J41 = "Eligible", N1825 * 'Facility Detail'!$G$3257, 0 )</f>
        <v>0</v>
      </c>
      <c r="O1828" s="11">
        <f>IF($J41 = "Eligible", O1825 * 'Facility Detail'!$G$3257, 0 )</f>
        <v>0</v>
      </c>
      <c r="P1828" s="11">
        <f>IF($J41 = "Eligible", P1825 * 'Facility Detail'!$G$3257, 0 )</f>
        <v>0</v>
      </c>
      <c r="Q1828" s="11">
        <f>IF($J41 = "Eligible", Q1825 * 'Facility Detail'!$G$3257, 0 )</f>
        <v>0</v>
      </c>
      <c r="R1828" s="11">
        <f>IF($J41 = "Eligible", R1825 * 'Facility Detail'!$G$3257, 0 )</f>
        <v>0</v>
      </c>
      <c r="S1828" s="11">
        <f>IF($J41 = "Eligible", S1825 * 'Facility Detail'!$G$3257, 0 )</f>
        <v>0</v>
      </c>
      <c r="T1828" s="11">
        <f>IF($J41 = "Eligible", T1825 * 'Facility Detail'!$G$3257, 0 )</f>
        <v>0</v>
      </c>
      <c r="U1828" s="223">
        <f>IF($J41 = "Eligible", U1825 * 'Facility Detail'!$G$3257, 0 )</f>
        <v>0</v>
      </c>
      <c r="W1828" s="1"/>
      <c r="X1828" s="1"/>
      <c r="Y1828" s="1"/>
    </row>
    <row r="1829" spans="1:25">
      <c r="G1829" s="62" t="s">
        <v>6</v>
      </c>
      <c r="H1829" s="57"/>
      <c r="I1829" s="39">
        <f t="shared" ref="I1829:U1829" si="801">IF($K41= "Eligible", I1825, 0 )</f>
        <v>0</v>
      </c>
      <c r="J1829" s="193">
        <f t="shared" si="801"/>
        <v>0</v>
      </c>
      <c r="K1829" s="193">
        <f t="shared" si="801"/>
        <v>0</v>
      </c>
      <c r="L1829" s="193">
        <f t="shared" si="801"/>
        <v>0</v>
      </c>
      <c r="M1829" s="193">
        <f t="shared" si="801"/>
        <v>0</v>
      </c>
      <c r="N1829" s="193">
        <f t="shared" si="801"/>
        <v>0</v>
      </c>
      <c r="O1829" s="193">
        <f t="shared" si="801"/>
        <v>0</v>
      </c>
      <c r="P1829" s="193">
        <f t="shared" si="801"/>
        <v>0</v>
      </c>
      <c r="Q1829" s="193">
        <f t="shared" si="801"/>
        <v>0</v>
      </c>
      <c r="R1829" s="193">
        <f t="shared" si="801"/>
        <v>0</v>
      </c>
      <c r="S1829" s="193">
        <f t="shared" si="801"/>
        <v>0</v>
      </c>
      <c r="T1829" s="193">
        <f t="shared" si="801"/>
        <v>0</v>
      </c>
      <c r="U1829" s="224">
        <f t="shared" si="801"/>
        <v>0</v>
      </c>
      <c r="W1829" s="1"/>
      <c r="X1829" s="1"/>
      <c r="Y1829" s="1"/>
    </row>
    <row r="1830" spans="1:25">
      <c r="G1830" s="26" t="s">
        <v>120</v>
      </c>
      <c r="H1830" s="6"/>
      <c r="I1830" s="32">
        <f>SUM(I1828:I1829)</f>
        <v>0</v>
      </c>
      <c r="J1830" s="33">
        <f t="shared" ref="J1830:S1830" si="802">SUM(J1828:J1829)</f>
        <v>0</v>
      </c>
      <c r="K1830" s="33">
        <f t="shared" si="802"/>
        <v>0</v>
      </c>
      <c r="L1830" s="33">
        <f t="shared" si="802"/>
        <v>0</v>
      </c>
      <c r="M1830" s="33">
        <f t="shared" si="802"/>
        <v>0</v>
      </c>
      <c r="N1830" s="33">
        <f t="shared" si="802"/>
        <v>0</v>
      </c>
      <c r="O1830" s="33">
        <f t="shared" si="802"/>
        <v>0</v>
      </c>
      <c r="P1830" s="33">
        <f t="shared" si="802"/>
        <v>0</v>
      </c>
      <c r="Q1830" s="33">
        <f t="shared" si="802"/>
        <v>0</v>
      </c>
      <c r="R1830" s="33">
        <f t="shared" si="802"/>
        <v>0</v>
      </c>
      <c r="S1830" s="33">
        <f t="shared" si="802"/>
        <v>0</v>
      </c>
      <c r="T1830" s="33">
        <f t="shared" ref="T1830:U1830" si="803">SUM(T1828:T1829)</f>
        <v>0</v>
      </c>
      <c r="U1830" s="33">
        <f t="shared" si="803"/>
        <v>0</v>
      </c>
      <c r="W1830" s="1"/>
      <c r="X1830" s="1"/>
      <c r="Y1830" s="1"/>
    </row>
    <row r="1831" spans="1:25">
      <c r="I1831" s="31"/>
      <c r="J1831" s="24"/>
      <c r="K1831" s="24"/>
      <c r="L1831" s="24"/>
      <c r="M1831" s="24"/>
      <c r="N1831" s="24"/>
      <c r="O1831" s="24"/>
      <c r="P1831" s="24"/>
      <c r="Q1831" s="24"/>
      <c r="R1831" s="24"/>
      <c r="S1831" s="24"/>
      <c r="T1831" s="24"/>
      <c r="U1831" s="24"/>
      <c r="W1831" s="1"/>
      <c r="X1831" s="1"/>
      <c r="Y1831" s="1"/>
    </row>
    <row r="1832" spans="1:25" ht="18.75">
      <c r="F1832" s="9" t="s">
        <v>30</v>
      </c>
      <c r="I1832" s="2">
        <f>'Facility Detail'!$G$3260</f>
        <v>2011</v>
      </c>
      <c r="J1832" s="2">
        <f>I1832+1</f>
        <v>2012</v>
      </c>
      <c r="K1832" s="2">
        <f>J1832+1</f>
        <v>2013</v>
      </c>
      <c r="L1832" s="2">
        <f>L1821</f>
        <v>2014</v>
      </c>
      <c r="M1832" s="2">
        <f>M1821</f>
        <v>2015</v>
      </c>
      <c r="N1832" s="2">
        <f>N1821</f>
        <v>2016</v>
      </c>
      <c r="O1832" s="2">
        <f>O1821</f>
        <v>2017</v>
      </c>
      <c r="P1832" s="2">
        <f>P1821</f>
        <v>2018</v>
      </c>
      <c r="Q1832" s="2">
        <f t="shared" ref="Q1832:S1832" si="804">Q1821</f>
        <v>2019</v>
      </c>
      <c r="R1832" s="2">
        <f t="shared" ref="R1832" si="805">R1821</f>
        <v>2020</v>
      </c>
      <c r="S1832" s="2">
        <f t="shared" si="804"/>
        <v>2021</v>
      </c>
      <c r="T1832" s="2">
        <f t="shared" ref="T1832:U1832" si="806">T1821</f>
        <v>2022</v>
      </c>
      <c r="U1832" s="2">
        <f t="shared" si="806"/>
        <v>2023</v>
      </c>
      <c r="W1832" s="1"/>
      <c r="X1832" s="1"/>
      <c r="Y1832" s="1"/>
    </row>
    <row r="1833" spans="1:25">
      <c r="G1833" s="62" t="s">
        <v>47</v>
      </c>
      <c r="H1833" s="57"/>
      <c r="I1833" s="71"/>
      <c r="J1833" s="72"/>
      <c r="K1833" s="72"/>
      <c r="L1833" s="72"/>
      <c r="M1833" s="72"/>
      <c r="N1833" s="72"/>
      <c r="O1833" s="72"/>
      <c r="P1833" s="72"/>
      <c r="Q1833" s="72"/>
      <c r="R1833" s="72"/>
      <c r="S1833" s="72"/>
      <c r="T1833" s="72"/>
      <c r="U1833" s="73"/>
      <c r="W1833" s="1"/>
      <c r="X1833" s="1"/>
      <c r="Y1833" s="1"/>
    </row>
    <row r="1834" spans="1:25">
      <c r="G1834" s="63" t="s">
        <v>23</v>
      </c>
      <c r="H1834" s="135"/>
      <c r="I1834" s="74"/>
      <c r="J1834" s="75"/>
      <c r="K1834" s="75"/>
      <c r="L1834" s="75"/>
      <c r="M1834" s="75"/>
      <c r="N1834" s="75"/>
      <c r="O1834" s="75"/>
      <c r="P1834" s="75"/>
      <c r="Q1834" s="75"/>
      <c r="R1834" s="75"/>
      <c r="S1834" s="75"/>
      <c r="T1834" s="75"/>
      <c r="U1834" s="76"/>
      <c r="W1834" s="1"/>
      <c r="X1834" s="1"/>
      <c r="Y1834" s="1"/>
    </row>
    <row r="1835" spans="1:25">
      <c r="G1835" s="63" t="s">
        <v>89</v>
      </c>
      <c r="H1835" s="134"/>
      <c r="I1835" s="43"/>
      <c r="J1835" s="44"/>
      <c r="K1835" s="44"/>
      <c r="L1835" s="44"/>
      <c r="M1835" s="44"/>
      <c r="N1835" s="44"/>
      <c r="O1835" s="44"/>
      <c r="P1835" s="44"/>
      <c r="Q1835" s="44"/>
      <c r="R1835" s="44"/>
      <c r="S1835" s="44"/>
      <c r="T1835" s="44"/>
      <c r="U1835" s="45"/>
      <c r="W1835" s="1"/>
      <c r="X1835" s="1"/>
      <c r="Y1835" s="1"/>
    </row>
    <row r="1836" spans="1:25">
      <c r="G1836" s="26" t="s">
        <v>90</v>
      </c>
      <c r="I1836" s="7">
        <f t="shared" ref="I1836:O1836" si="807">SUM(I1833:I1835)</f>
        <v>0</v>
      </c>
      <c r="J1836" s="7">
        <f t="shared" si="807"/>
        <v>0</v>
      </c>
      <c r="K1836" s="7">
        <f t="shared" si="807"/>
        <v>0</v>
      </c>
      <c r="L1836" s="7">
        <f t="shared" si="807"/>
        <v>0</v>
      </c>
      <c r="M1836" s="7">
        <f t="shared" si="807"/>
        <v>0</v>
      </c>
      <c r="N1836" s="7">
        <f t="shared" si="807"/>
        <v>0</v>
      </c>
      <c r="O1836" s="7">
        <f t="shared" si="807"/>
        <v>0</v>
      </c>
      <c r="P1836" s="7">
        <f t="shared" ref="P1836:Q1836" si="808">SUM(P1833:P1835)</f>
        <v>0</v>
      </c>
      <c r="Q1836" s="7">
        <f t="shared" si="808"/>
        <v>0</v>
      </c>
      <c r="R1836" s="7">
        <f t="shared" ref="R1836:S1836" si="809">SUM(R1833:R1835)</f>
        <v>0</v>
      </c>
      <c r="S1836" s="7">
        <f t="shared" si="809"/>
        <v>0</v>
      </c>
      <c r="T1836" s="7">
        <f t="shared" ref="T1836:U1836" si="810">SUM(T1833:T1835)</f>
        <v>0</v>
      </c>
      <c r="U1836" s="7">
        <f t="shared" si="810"/>
        <v>0</v>
      </c>
      <c r="W1836" s="1"/>
      <c r="X1836" s="1"/>
      <c r="Y1836" s="1"/>
    </row>
    <row r="1837" spans="1:25">
      <c r="G1837" s="6"/>
      <c r="I1837" s="7"/>
      <c r="J1837" s="7"/>
      <c r="K1837" s="7"/>
      <c r="L1837" s="23"/>
      <c r="M1837" s="23"/>
      <c r="N1837" s="23"/>
      <c r="O1837" s="23"/>
      <c r="P1837" s="23"/>
      <c r="Q1837" s="23"/>
      <c r="R1837" s="23"/>
      <c r="S1837" s="23"/>
      <c r="T1837" s="23"/>
      <c r="U1837" s="23"/>
      <c r="W1837" s="1"/>
      <c r="X1837" s="1"/>
      <c r="Y1837" s="1"/>
    </row>
    <row r="1838" spans="1:25" ht="18.75">
      <c r="F1838" s="9" t="s">
        <v>100</v>
      </c>
      <c r="I1838" s="2">
        <f>'Facility Detail'!$G$3260</f>
        <v>2011</v>
      </c>
      <c r="J1838" s="2">
        <f t="shared" ref="J1838:P1838" si="811">I1838+1</f>
        <v>2012</v>
      </c>
      <c r="K1838" s="2">
        <f t="shared" si="811"/>
        <v>2013</v>
      </c>
      <c r="L1838" s="2">
        <f t="shared" si="811"/>
        <v>2014</v>
      </c>
      <c r="M1838" s="2">
        <f t="shared" si="811"/>
        <v>2015</v>
      </c>
      <c r="N1838" s="2">
        <f t="shared" si="811"/>
        <v>2016</v>
      </c>
      <c r="O1838" s="2">
        <f t="shared" si="811"/>
        <v>2017</v>
      </c>
      <c r="P1838" s="2">
        <f t="shared" si="811"/>
        <v>2018</v>
      </c>
      <c r="Q1838" s="2">
        <f t="shared" ref="Q1838" si="812">P1838+1</f>
        <v>2019</v>
      </c>
      <c r="R1838" s="2">
        <f t="shared" ref="R1838" si="813">Q1838+1</f>
        <v>2020</v>
      </c>
      <c r="S1838" s="2">
        <f>R1838+1</f>
        <v>2021</v>
      </c>
      <c r="T1838" s="2">
        <f>S1838+1</f>
        <v>2022</v>
      </c>
      <c r="U1838" s="2">
        <f>T1838+1</f>
        <v>2023</v>
      </c>
      <c r="W1838" s="1"/>
      <c r="X1838" s="1"/>
      <c r="Y1838" s="1"/>
    </row>
    <row r="1839" spans="1:25">
      <c r="G1839" s="62" t="s">
        <v>68</v>
      </c>
      <c r="H1839" s="57"/>
      <c r="I1839" s="3">
        <v>31837</v>
      </c>
      <c r="J1839" s="46">
        <f>I1839</f>
        <v>31837</v>
      </c>
      <c r="K1839" s="106"/>
      <c r="L1839" s="106"/>
      <c r="M1839" s="106"/>
      <c r="N1839" s="106"/>
      <c r="O1839" s="106"/>
      <c r="P1839" s="106"/>
      <c r="Q1839" s="106"/>
      <c r="R1839" s="106"/>
      <c r="S1839" s="106"/>
      <c r="T1839" s="217"/>
      <c r="U1839" s="47"/>
      <c r="W1839" s="1"/>
      <c r="X1839" s="1"/>
      <c r="Y1839" s="1"/>
    </row>
    <row r="1840" spans="1:25">
      <c r="G1840" s="62" t="s">
        <v>69</v>
      </c>
      <c r="H1840" s="57"/>
      <c r="I1840" s="127">
        <f>J1840</f>
        <v>0</v>
      </c>
      <c r="J1840" s="10"/>
      <c r="K1840" s="60"/>
      <c r="L1840" s="60"/>
      <c r="M1840" s="60"/>
      <c r="N1840" s="60"/>
      <c r="O1840" s="60"/>
      <c r="P1840" s="60"/>
      <c r="Q1840" s="60"/>
      <c r="R1840" s="60"/>
      <c r="S1840" s="60"/>
      <c r="T1840" s="218"/>
      <c r="U1840" s="128"/>
      <c r="W1840" s="1"/>
      <c r="X1840" s="1"/>
      <c r="Y1840" s="1"/>
    </row>
    <row r="1841" spans="7:25">
      <c r="G1841" s="62" t="s">
        <v>70</v>
      </c>
      <c r="H1841" s="57"/>
      <c r="I1841" s="48"/>
      <c r="J1841" s="10">
        <f>J1825</f>
        <v>28557</v>
      </c>
      <c r="K1841" s="56">
        <f>J1841</f>
        <v>28557</v>
      </c>
      <c r="L1841" s="60"/>
      <c r="M1841" s="60"/>
      <c r="N1841" s="60"/>
      <c r="O1841" s="60"/>
      <c r="P1841" s="60"/>
      <c r="Q1841" s="60"/>
      <c r="R1841" s="60"/>
      <c r="S1841" s="60"/>
      <c r="T1841" s="218"/>
      <c r="U1841" s="128"/>
      <c r="W1841" s="1"/>
      <c r="X1841" s="1"/>
      <c r="Y1841" s="1"/>
    </row>
    <row r="1842" spans="7:25">
      <c r="G1842" s="62" t="s">
        <v>71</v>
      </c>
      <c r="H1842" s="57"/>
      <c r="I1842" s="48"/>
      <c r="J1842" s="56">
        <f>K1842</f>
        <v>0</v>
      </c>
      <c r="K1842" s="10"/>
      <c r="L1842" s="60"/>
      <c r="M1842" s="60"/>
      <c r="N1842" s="60"/>
      <c r="O1842" s="60"/>
      <c r="P1842" s="60"/>
      <c r="Q1842" s="60"/>
      <c r="R1842" s="60"/>
      <c r="S1842" s="60"/>
      <c r="T1842" s="218"/>
      <c r="U1842" s="128"/>
      <c r="W1842" s="1"/>
      <c r="X1842" s="1"/>
      <c r="Y1842" s="1"/>
    </row>
    <row r="1843" spans="7:25">
      <c r="G1843" s="62" t="s">
        <v>170</v>
      </c>
      <c r="H1843" s="57"/>
      <c r="I1843" s="48"/>
      <c r="J1843" s="118"/>
      <c r="K1843" s="10">
        <f>K1825</f>
        <v>26084</v>
      </c>
      <c r="L1843" s="119">
        <f>K1843</f>
        <v>26084</v>
      </c>
      <c r="M1843" s="60"/>
      <c r="N1843" s="60"/>
      <c r="O1843" s="60"/>
      <c r="P1843" s="60"/>
      <c r="Q1843" s="60"/>
      <c r="R1843" s="60"/>
      <c r="S1843" s="60"/>
      <c r="T1843" s="146"/>
      <c r="U1843" s="122"/>
      <c r="W1843" s="1"/>
      <c r="X1843" s="1"/>
      <c r="Y1843" s="1"/>
    </row>
    <row r="1844" spans="7:25">
      <c r="G1844" s="62" t="s">
        <v>171</v>
      </c>
      <c r="H1844" s="57"/>
      <c r="I1844" s="48"/>
      <c r="J1844" s="118"/>
      <c r="K1844" s="56">
        <f>L1844</f>
        <v>0</v>
      </c>
      <c r="L1844" s="10"/>
      <c r="M1844" s="60"/>
      <c r="N1844" s="60"/>
      <c r="O1844" s="60" t="s">
        <v>169</v>
      </c>
      <c r="P1844" s="60" t="s">
        <v>169</v>
      </c>
      <c r="Q1844" s="60"/>
      <c r="R1844" s="60"/>
      <c r="S1844" s="60"/>
      <c r="T1844" s="146"/>
      <c r="U1844" s="122"/>
      <c r="W1844" s="1"/>
      <c r="X1844" s="1"/>
      <c r="Y1844" s="1"/>
    </row>
    <row r="1845" spans="7:25">
      <c r="G1845" s="62" t="s">
        <v>172</v>
      </c>
      <c r="H1845" s="57"/>
      <c r="I1845" s="48"/>
      <c r="J1845" s="118"/>
      <c r="K1845" s="118"/>
      <c r="L1845" s="10">
        <f>L1825</f>
        <v>29478</v>
      </c>
      <c r="M1845" s="119">
        <f>L1845</f>
        <v>29478</v>
      </c>
      <c r="N1845" s="118"/>
      <c r="O1845" s="60"/>
      <c r="P1845" s="60"/>
      <c r="Q1845" s="60"/>
      <c r="R1845" s="60"/>
      <c r="S1845" s="60"/>
      <c r="T1845" s="146"/>
      <c r="U1845" s="122"/>
      <c r="W1845" s="1"/>
      <c r="X1845" s="1"/>
      <c r="Y1845" s="1"/>
    </row>
    <row r="1846" spans="7:25">
      <c r="G1846" s="62" t="s">
        <v>173</v>
      </c>
      <c r="H1846" s="57"/>
      <c r="I1846" s="48"/>
      <c r="J1846" s="118"/>
      <c r="K1846" s="118"/>
      <c r="L1846" s="56"/>
      <c r="M1846" s="10"/>
      <c r="N1846" s="118"/>
      <c r="O1846" s="60"/>
      <c r="P1846" s="60"/>
      <c r="Q1846" s="60"/>
      <c r="R1846" s="60"/>
      <c r="S1846" s="60"/>
      <c r="T1846" s="146"/>
      <c r="U1846" s="122"/>
      <c r="W1846" s="1"/>
      <c r="X1846" s="1"/>
      <c r="Y1846" s="1"/>
    </row>
    <row r="1847" spans="7:25">
      <c r="G1847" s="62" t="s">
        <v>174</v>
      </c>
      <c r="H1847" s="57"/>
      <c r="I1847" s="48"/>
      <c r="J1847" s="118"/>
      <c r="K1847" s="118"/>
      <c r="L1847" s="118"/>
      <c r="M1847" s="10">
        <f>M1825</f>
        <v>24062</v>
      </c>
      <c r="N1847" s="119">
        <f>M1847</f>
        <v>24062</v>
      </c>
      <c r="O1847" s="60"/>
      <c r="P1847" s="60"/>
      <c r="Q1847" s="60"/>
      <c r="R1847" s="60"/>
      <c r="S1847" s="60"/>
      <c r="T1847" s="146"/>
      <c r="U1847" s="122"/>
      <c r="W1847" s="1"/>
      <c r="X1847" s="1"/>
      <c r="Y1847" s="1"/>
    </row>
    <row r="1848" spans="7:25">
      <c r="G1848" s="62" t="s">
        <v>175</v>
      </c>
      <c r="H1848" s="57"/>
      <c r="I1848" s="48"/>
      <c r="J1848" s="118"/>
      <c r="K1848" s="118"/>
      <c r="L1848" s="118"/>
      <c r="M1848" s="56"/>
      <c r="N1848" s="10"/>
      <c r="O1848" s="60"/>
      <c r="P1848" s="60"/>
      <c r="Q1848" s="60"/>
      <c r="R1848" s="60"/>
      <c r="S1848" s="60"/>
      <c r="T1848" s="146"/>
      <c r="U1848" s="122"/>
      <c r="W1848" s="1"/>
      <c r="X1848" s="1"/>
      <c r="Y1848" s="1"/>
    </row>
    <row r="1849" spans="7:25">
      <c r="G1849" s="62" t="s">
        <v>176</v>
      </c>
      <c r="H1849" s="57"/>
      <c r="I1849" s="48"/>
      <c r="J1849" s="118"/>
      <c r="K1849" s="118"/>
      <c r="L1849" s="118"/>
      <c r="M1849" s="118"/>
      <c r="N1849" s="149"/>
      <c r="O1849" s="120">
        <f>N1849</f>
        <v>0</v>
      </c>
      <c r="P1849" s="60"/>
      <c r="Q1849" s="60"/>
      <c r="R1849" s="60"/>
      <c r="S1849" s="60"/>
      <c r="T1849" s="146"/>
      <c r="U1849" s="122"/>
      <c r="W1849" s="1"/>
      <c r="X1849" s="1"/>
      <c r="Y1849" s="1"/>
    </row>
    <row r="1850" spans="7:25">
      <c r="G1850" s="62" t="s">
        <v>167</v>
      </c>
      <c r="I1850" s="48"/>
      <c r="J1850" s="118"/>
      <c r="K1850" s="118"/>
      <c r="L1850" s="118"/>
      <c r="M1850" s="118"/>
      <c r="N1850" s="150">
        <v>0</v>
      </c>
      <c r="O1850" s="121"/>
      <c r="P1850" s="60"/>
      <c r="Q1850" s="60"/>
      <c r="R1850" s="60"/>
      <c r="S1850" s="60"/>
      <c r="T1850" s="146"/>
      <c r="U1850" s="122"/>
      <c r="W1850" s="1"/>
      <c r="X1850" s="1"/>
      <c r="Y1850" s="1"/>
    </row>
    <row r="1851" spans="7:25">
      <c r="G1851" s="62" t="s">
        <v>168</v>
      </c>
      <c r="I1851" s="48"/>
      <c r="J1851" s="118"/>
      <c r="K1851" s="118"/>
      <c r="L1851" s="118"/>
      <c r="M1851" s="118"/>
      <c r="N1851" s="118"/>
      <c r="O1851" s="121"/>
      <c r="P1851" s="120">
        <f>O1851</f>
        <v>0</v>
      </c>
      <c r="Q1851" s="60"/>
      <c r="R1851" s="60"/>
      <c r="S1851" s="60"/>
      <c r="T1851" s="146"/>
      <c r="U1851" s="122"/>
      <c r="W1851" s="1"/>
      <c r="X1851" s="1"/>
      <c r="Y1851" s="1"/>
    </row>
    <row r="1852" spans="7:25">
      <c r="G1852" s="62" t="s">
        <v>185</v>
      </c>
      <c r="I1852" s="48"/>
      <c r="J1852" s="118"/>
      <c r="K1852" s="118"/>
      <c r="L1852" s="118"/>
      <c r="M1852" s="118"/>
      <c r="N1852" s="118"/>
      <c r="O1852" s="120"/>
      <c r="P1852" s="121"/>
      <c r="Q1852" s="60"/>
      <c r="R1852" s="60"/>
      <c r="S1852" s="60"/>
      <c r="T1852" s="146"/>
      <c r="U1852" s="122"/>
      <c r="W1852" s="1"/>
      <c r="X1852" s="1"/>
      <c r="Y1852" s="1"/>
    </row>
    <row r="1853" spans="7:25">
      <c r="G1853" s="62" t="s">
        <v>186</v>
      </c>
      <c r="I1853" s="48"/>
      <c r="J1853" s="118"/>
      <c r="K1853" s="118"/>
      <c r="L1853" s="118"/>
      <c r="M1853" s="118"/>
      <c r="N1853" s="118"/>
      <c r="O1853" s="118"/>
      <c r="P1853" s="121"/>
      <c r="Q1853" s="56">
        <f>P1853</f>
        <v>0</v>
      </c>
      <c r="R1853" s="60"/>
      <c r="S1853" s="60"/>
      <c r="T1853" s="146"/>
      <c r="U1853" s="122"/>
      <c r="W1853" s="1"/>
      <c r="X1853" s="1"/>
      <c r="Y1853" s="1"/>
    </row>
    <row r="1854" spans="7:25">
      <c r="G1854" s="62" t="s">
        <v>187</v>
      </c>
      <c r="I1854" s="48"/>
      <c r="J1854" s="118"/>
      <c r="K1854" s="118"/>
      <c r="L1854" s="118"/>
      <c r="M1854" s="118"/>
      <c r="N1854" s="118"/>
      <c r="O1854" s="118"/>
      <c r="P1854" s="120"/>
      <c r="Q1854" s="306"/>
      <c r="R1854" s="60"/>
      <c r="S1854" s="60"/>
      <c r="T1854" s="146"/>
      <c r="U1854" s="122"/>
      <c r="W1854" s="1"/>
      <c r="X1854" s="1"/>
      <c r="Y1854" s="1"/>
    </row>
    <row r="1855" spans="7:25">
      <c r="G1855" s="62" t="s">
        <v>188</v>
      </c>
      <c r="I1855" s="48"/>
      <c r="J1855" s="118"/>
      <c r="K1855" s="118"/>
      <c r="L1855" s="118"/>
      <c r="M1855" s="118"/>
      <c r="N1855" s="118"/>
      <c r="O1855" s="118"/>
      <c r="P1855" s="118"/>
      <c r="Q1855" s="121"/>
      <c r="R1855" s="151">
        <f>Q1855</f>
        <v>0</v>
      </c>
      <c r="S1855" s="60"/>
      <c r="T1855" s="146"/>
      <c r="U1855" s="122"/>
      <c r="W1855" s="1"/>
      <c r="X1855" s="1"/>
      <c r="Y1855" s="1"/>
    </row>
    <row r="1856" spans="7:25">
      <c r="G1856" s="62" t="s">
        <v>189</v>
      </c>
      <c r="I1856" s="48"/>
      <c r="J1856" s="118"/>
      <c r="K1856" s="118"/>
      <c r="L1856" s="118"/>
      <c r="M1856" s="118"/>
      <c r="N1856" s="118"/>
      <c r="O1856" s="118"/>
      <c r="P1856" s="118"/>
      <c r="Q1856" s="151">
        <v>36231</v>
      </c>
      <c r="R1856" s="173">
        <v>36231</v>
      </c>
      <c r="S1856" s="60"/>
      <c r="T1856" s="146"/>
      <c r="U1856" s="122"/>
      <c r="W1856" s="1"/>
      <c r="X1856" s="1"/>
      <c r="Y1856" s="1"/>
    </row>
    <row r="1857" spans="2:25">
      <c r="G1857" s="62" t="s">
        <v>190</v>
      </c>
      <c r="I1857" s="48"/>
      <c r="J1857" s="118"/>
      <c r="K1857" s="118"/>
      <c r="L1857" s="118"/>
      <c r="M1857" s="118"/>
      <c r="N1857" s="118"/>
      <c r="O1857" s="118"/>
      <c r="P1857" s="118"/>
      <c r="Q1857" s="118"/>
      <c r="R1857" s="173"/>
      <c r="S1857" s="151">
        <f>R1857</f>
        <v>0</v>
      </c>
      <c r="T1857" s="146">
        <f>S1857</f>
        <v>0</v>
      </c>
      <c r="U1857" s="122">
        <f>T1857</f>
        <v>0</v>
      </c>
      <c r="W1857" s="1"/>
      <c r="X1857" s="1"/>
      <c r="Y1857" s="1"/>
    </row>
    <row r="1858" spans="2:25">
      <c r="G1858" s="62" t="s">
        <v>199</v>
      </c>
      <c r="I1858" s="48"/>
      <c r="J1858" s="118"/>
      <c r="K1858" s="118"/>
      <c r="L1858" s="118"/>
      <c r="M1858" s="118"/>
      <c r="N1858" s="118"/>
      <c r="O1858" s="118"/>
      <c r="P1858" s="118"/>
      <c r="Q1858" s="118"/>
      <c r="R1858" s="120">
        <v>25000</v>
      </c>
      <c r="S1858" s="173">
        <v>25000</v>
      </c>
      <c r="T1858" s="146"/>
      <c r="U1858" s="122"/>
      <c r="W1858" s="1"/>
      <c r="X1858" s="1"/>
      <c r="Y1858" s="1"/>
    </row>
    <row r="1859" spans="2:25">
      <c r="G1859" s="62" t="s">
        <v>200</v>
      </c>
      <c r="I1859" s="48"/>
      <c r="J1859" s="118"/>
      <c r="K1859" s="118"/>
      <c r="L1859" s="118"/>
      <c r="M1859" s="118"/>
      <c r="N1859" s="118"/>
      <c r="O1859" s="118"/>
      <c r="P1859" s="118"/>
      <c r="Q1859" s="118"/>
      <c r="R1859" s="118"/>
      <c r="S1859" s="173"/>
      <c r="T1859" s="151"/>
      <c r="U1859" s="122"/>
      <c r="W1859" s="1"/>
      <c r="X1859" s="1"/>
      <c r="Y1859" s="1"/>
    </row>
    <row r="1860" spans="2:25">
      <c r="G1860" s="62" t="s">
        <v>308</v>
      </c>
      <c r="I1860" s="48"/>
      <c r="J1860" s="118"/>
      <c r="K1860" s="118"/>
      <c r="L1860" s="118"/>
      <c r="M1860" s="118"/>
      <c r="N1860" s="118"/>
      <c r="O1860" s="118"/>
      <c r="P1860" s="118"/>
      <c r="Q1860" s="118"/>
      <c r="R1860" s="118"/>
      <c r="S1860" s="120"/>
      <c r="T1860" s="173"/>
      <c r="U1860" s="122"/>
      <c r="W1860" s="1"/>
      <c r="X1860" s="1"/>
      <c r="Y1860" s="1"/>
    </row>
    <row r="1861" spans="2:25">
      <c r="G1861" s="62" t="s">
        <v>307</v>
      </c>
      <c r="I1861" s="114"/>
      <c r="J1861" s="107"/>
      <c r="K1861" s="107"/>
      <c r="L1861" s="107"/>
      <c r="M1861" s="107"/>
      <c r="N1861" s="107"/>
      <c r="O1861" s="107"/>
      <c r="P1861" s="107"/>
      <c r="Q1861" s="107"/>
      <c r="R1861" s="107"/>
      <c r="S1861" s="107"/>
      <c r="T1861" s="173"/>
      <c r="U1861" s="456"/>
      <c r="W1861" s="1"/>
      <c r="X1861" s="1"/>
      <c r="Y1861" s="1"/>
    </row>
    <row r="1862" spans="2:25">
      <c r="G1862" s="62" t="s">
        <v>318</v>
      </c>
      <c r="I1862" s="114"/>
      <c r="J1862" s="107"/>
      <c r="K1862" s="107"/>
      <c r="L1862" s="107"/>
      <c r="M1862" s="107"/>
      <c r="N1862" s="107"/>
      <c r="O1862" s="107"/>
      <c r="P1862" s="107"/>
      <c r="Q1862" s="107"/>
      <c r="R1862" s="107"/>
      <c r="S1862" s="107"/>
      <c r="T1862" s="120"/>
      <c r="U1862" s="457"/>
      <c r="W1862" s="1"/>
      <c r="X1862" s="1"/>
      <c r="Y1862" s="1"/>
    </row>
    <row r="1863" spans="2:25">
      <c r="G1863" s="62" t="s">
        <v>319</v>
      </c>
      <c r="I1863" s="49"/>
      <c r="J1863" s="194"/>
      <c r="K1863" s="194"/>
      <c r="L1863" s="194"/>
      <c r="M1863" s="194"/>
      <c r="N1863" s="194"/>
      <c r="O1863" s="194"/>
      <c r="P1863" s="194"/>
      <c r="Q1863" s="194"/>
      <c r="R1863" s="194"/>
      <c r="S1863" s="194"/>
      <c r="T1863" s="194"/>
      <c r="U1863" s="458"/>
      <c r="W1863" s="1"/>
      <c r="X1863" s="1"/>
      <c r="Y1863" s="1"/>
    </row>
    <row r="1864" spans="2:25">
      <c r="B1864" s="1" t="s">
        <v>130</v>
      </c>
      <c r="G1864" s="26" t="s">
        <v>17</v>
      </c>
      <c r="I1864" s="7">
        <f xml:space="preserve"> I1840 - I1839</f>
        <v>-31837</v>
      </c>
      <c r="J1864" s="7">
        <f xml:space="preserve"> J1839 + J1842 - J1841 - J1840</f>
        <v>3280</v>
      </c>
      <c r="K1864" s="7">
        <f>K1841 - K1842 - K1843</f>
        <v>2473</v>
      </c>
      <c r="L1864" s="7">
        <f>L1843-L1844-L1845</f>
        <v>-3394</v>
      </c>
      <c r="M1864" s="7">
        <f>M1845-M1846-M1847</f>
        <v>5416</v>
      </c>
      <c r="N1864" s="7">
        <f>N1847-N1848-N1849</f>
        <v>24062</v>
      </c>
      <c r="O1864" s="7">
        <f t="shared" ref="O1864:P1864" si="814">O1847-O1848-O1849</f>
        <v>0</v>
      </c>
      <c r="P1864" s="154">
        <f t="shared" si="814"/>
        <v>0</v>
      </c>
      <c r="Q1864" s="154">
        <f>Q1854-Q1855+Q1856</f>
        <v>36231</v>
      </c>
      <c r="R1864" s="154">
        <f>R1855-R1856-R1857+R1858</f>
        <v>-11231</v>
      </c>
      <c r="S1864" s="7">
        <f>S1857-S1858-S1859</f>
        <v>-25000</v>
      </c>
      <c r="T1864" s="7">
        <f>T1859-T1860-T1861</f>
        <v>0</v>
      </c>
      <c r="U1864" s="7">
        <f>U1859-U1860-U1861</f>
        <v>0</v>
      </c>
      <c r="W1864" s="1"/>
      <c r="X1864" s="1"/>
      <c r="Y1864" s="1"/>
    </row>
    <row r="1865" spans="2:25">
      <c r="G1865" s="6"/>
      <c r="I1865" s="154"/>
      <c r="J1865" s="154"/>
      <c r="K1865" s="154"/>
      <c r="L1865" s="154"/>
      <c r="M1865" s="154"/>
      <c r="N1865" s="154"/>
      <c r="O1865" s="154"/>
      <c r="P1865" s="154"/>
      <c r="Q1865" s="154"/>
      <c r="R1865" s="154"/>
      <c r="S1865" s="154"/>
      <c r="T1865" s="154"/>
      <c r="U1865" s="154"/>
      <c r="W1865" s="1"/>
      <c r="X1865" s="1"/>
      <c r="Y1865" s="1"/>
    </row>
    <row r="1866" spans="2:25">
      <c r="G1866" s="26" t="s">
        <v>12</v>
      </c>
      <c r="H1866" s="57"/>
      <c r="I1866" s="155"/>
      <c r="J1866" s="156"/>
      <c r="K1866" s="156"/>
      <c r="L1866" s="156"/>
      <c r="M1866" s="156"/>
      <c r="N1866" s="156"/>
      <c r="O1866" s="156"/>
      <c r="P1866" s="156"/>
      <c r="Q1866" s="156"/>
      <c r="R1866" s="156"/>
      <c r="S1866" s="156"/>
      <c r="T1866" s="156"/>
      <c r="U1866" s="267"/>
      <c r="W1866" s="1"/>
      <c r="X1866" s="1"/>
      <c r="Y1866" s="1"/>
    </row>
    <row r="1867" spans="2:25">
      <c r="G1867" s="6"/>
      <c r="I1867" s="154"/>
      <c r="J1867" s="154"/>
      <c r="K1867" s="154"/>
      <c r="L1867" s="154"/>
      <c r="M1867" s="154"/>
      <c r="N1867" s="154"/>
      <c r="O1867" s="154"/>
      <c r="P1867" s="154"/>
      <c r="Q1867" s="154"/>
      <c r="R1867" s="154"/>
      <c r="S1867" s="154"/>
      <c r="T1867" s="154"/>
      <c r="U1867" s="154"/>
      <c r="W1867" s="1"/>
      <c r="X1867" s="1"/>
      <c r="Y1867" s="1"/>
    </row>
    <row r="1868" spans="2:25" ht="18.75">
      <c r="C1868" s="1" t="s">
        <v>130</v>
      </c>
      <c r="D1868" s="1" t="s">
        <v>131</v>
      </c>
      <c r="E1868" s="1" t="s">
        <v>107</v>
      </c>
      <c r="F1868" s="9" t="s">
        <v>26</v>
      </c>
      <c r="H1868" s="57"/>
      <c r="I1868" s="157">
        <f t="shared" ref="I1868:P1868" si="815" xml:space="preserve"> I1825 + I1830 - I1836 + I1864 + I1866</f>
        <v>0</v>
      </c>
      <c r="J1868" s="158">
        <f t="shared" si="815"/>
        <v>31837</v>
      </c>
      <c r="K1868" s="158">
        <f t="shared" si="815"/>
        <v>28557</v>
      </c>
      <c r="L1868" s="158">
        <f t="shared" si="815"/>
        <v>26084</v>
      </c>
      <c r="M1868" s="158">
        <f t="shared" si="815"/>
        <v>29478</v>
      </c>
      <c r="N1868" s="158">
        <f xml:space="preserve"> N1825 + N1830 - N1836 + N1864 + N1866</f>
        <v>53149</v>
      </c>
      <c r="O1868" s="158">
        <f t="shared" si="815"/>
        <v>25507</v>
      </c>
      <c r="P1868" s="158">
        <f t="shared" si="815"/>
        <v>26729</v>
      </c>
      <c r="Q1868" s="158">
        <f xml:space="preserve"> Q1825 + Q1830 - Q1836 + Q1864 + Q1866</f>
        <v>47404.412668069781</v>
      </c>
      <c r="R1868" s="158">
        <f xml:space="preserve"> R1825 + R1830-R1856+R1858 - R1836</f>
        <v>27956.279778484546</v>
      </c>
      <c r="S1868" s="158">
        <f>S1825+S1864</f>
        <v>13642</v>
      </c>
      <c r="T1868" s="158">
        <f>T1825+T1864</f>
        <v>30827</v>
      </c>
      <c r="U1868" s="268">
        <f>U1825+U1864</f>
        <v>33978.660060703951</v>
      </c>
      <c r="W1868" s="1"/>
      <c r="X1868" s="1"/>
      <c r="Y1868" s="1"/>
    </row>
    <row r="1869" spans="2:25">
      <c r="G1869" s="6"/>
      <c r="I1869" s="7"/>
      <c r="J1869" s="7"/>
      <c r="K1869" s="7"/>
      <c r="L1869" s="23"/>
      <c r="M1869" s="23"/>
      <c r="N1869" s="23"/>
      <c r="O1869" s="23"/>
      <c r="P1869" s="23"/>
      <c r="Q1869" s="23"/>
      <c r="R1869" s="23"/>
      <c r="S1869" s="282"/>
      <c r="T1869" s="23"/>
      <c r="U1869" s="23"/>
      <c r="W1869" s="1"/>
      <c r="X1869" s="1"/>
      <c r="Y1869" s="1"/>
    </row>
    <row r="1870" spans="2:25" ht="15.75" thickBot="1">
      <c r="W1870" s="1"/>
      <c r="X1870" s="1"/>
      <c r="Y1870" s="1"/>
    </row>
    <row r="1871" spans="2:25">
      <c r="F1871" s="8"/>
      <c r="G1871" s="8"/>
      <c r="H1871" s="8"/>
      <c r="I1871" s="8"/>
      <c r="J1871" s="8"/>
      <c r="K1871" s="8"/>
      <c r="L1871" s="8"/>
      <c r="M1871" s="8"/>
      <c r="N1871" s="8"/>
      <c r="O1871" s="8"/>
      <c r="P1871" s="8"/>
      <c r="Q1871" s="8"/>
      <c r="R1871" s="8"/>
      <c r="S1871" s="290"/>
      <c r="T1871" s="8"/>
      <c r="U1871" s="8"/>
      <c r="W1871" s="1"/>
      <c r="X1871" s="1"/>
      <c r="Y1871" s="1"/>
    </row>
    <row r="1872" spans="2:25" ht="15.75" thickBot="1">
      <c r="W1872" s="1"/>
      <c r="X1872" s="1"/>
      <c r="Y1872" s="1"/>
    </row>
    <row r="1873" spans="1:25" ht="21.75" thickBot="1">
      <c r="F1873" s="13" t="s">
        <v>4</v>
      </c>
      <c r="G1873" s="13"/>
      <c r="H1873" s="185" t="s">
        <v>132</v>
      </c>
      <c r="I1873" s="183"/>
      <c r="W1873" s="1"/>
      <c r="X1873" s="1"/>
      <c r="Y1873" s="1"/>
    </row>
    <row r="1874" spans="1:25">
      <c r="S1874" s="1"/>
      <c r="W1874" s="1"/>
      <c r="X1874" s="1"/>
      <c r="Y1874" s="1"/>
    </row>
    <row r="1875" spans="1:25" ht="18.75">
      <c r="F1875" s="9" t="s">
        <v>21</v>
      </c>
      <c r="G1875" s="9"/>
      <c r="I1875" s="2">
        <f>'Facility Detail'!$G$3260</f>
        <v>2011</v>
      </c>
      <c r="J1875" s="2">
        <f t="shared" ref="J1875:P1875" si="816">I1875+1</f>
        <v>2012</v>
      </c>
      <c r="K1875" s="2">
        <f t="shared" si="816"/>
        <v>2013</v>
      </c>
      <c r="L1875" s="2">
        <f t="shared" si="816"/>
        <v>2014</v>
      </c>
      <c r="M1875" s="2">
        <f t="shared" si="816"/>
        <v>2015</v>
      </c>
      <c r="N1875" s="2">
        <f t="shared" si="816"/>
        <v>2016</v>
      </c>
      <c r="O1875" s="2">
        <f t="shared" si="816"/>
        <v>2017</v>
      </c>
      <c r="P1875" s="2">
        <f t="shared" si="816"/>
        <v>2018</v>
      </c>
      <c r="Q1875" s="2">
        <f t="shared" ref="Q1875" si="817">P1875+1</f>
        <v>2019</v>
      </c>
      <c r="R1875" s="2">
        <f t="shared" ref="R1875" si="818">Q1875+1</f>
        <v>2020</v>
      </c>
      <c r="S1875" s="2">
        <f>R1875+1</f>
        <v>2021</v>
      </c>
      <c r="T1875" s="2">
        <f>S1875+1</f>
        <v>2022</v>
      </c>
      <c r="U1875" s="2">
        <f>T1875+1</f>
        <v>2023</v>
      </c>
      <c r="W1875" s="1"/>
      <c r="X1875" s="1"/>
      <c r="Y1875" s="1"/>
    </row>
    <row r="1876" spans="1:25">
      <c r="G1876" s="62" t="str">
        <f>"Total MWh Produced / Purchased from " &amp; H1873</f>
        <v>Total MWh Produced / Purchased from Marengo II</v>
      </c>
      <c r="H1876" s="57"/>
      <c r="I1876" s="3">
        <v>194378</v>
      </c>
      <c r="J1876" s="4">
        <v>177552</v>
      </c>
      <c r="K1876" s="4">
        <v>154612</v>
      </c>
      <c r="L1876" s="4">
        <v>174766</v>
      </c>
      <c r="M1876" s="4">
        <v>137848</v>
      </c>
      <c r="N1876" s="4">
        <v>170369</v>
      </c>
      <c r="O1876" s="4">
        <v>153361</v>
      </c>
      <c r="P1876" s="4">
        <v>164436</v>
      </c>
      <c r="Q1876" s="4">
        <v>91366</v>
      </c>
      <c r="R1876" s="4">
        <v>211675</v>
      </c>
      <c r="S1876" s="4">
        <v>247430</v>
      </c>
      <c r="T1876" s="4">
        <v>196630</v>
      </c>
      <c r="U1876" s="5">
        <v>232248</v>
      </c>
      <c r="W1876" s="1"/>
      <c r="X1876" s="1"/>
      <c r="Y1876" s="1"/>
    </row>
    <row r="1877" spans="1:25">
      <c r="G1877" s="62" t="s">
        <v>25</v>
      </c>
      <c r="H1877" s="57"/>
      <c r="I1877" s="269">
        <v>1</v>
      </c>
      <c r="J1877" s="41">
        <v>1</v>
      </c>
      <c r="K1877" s="41">
        <v>1</v>
      </c>
      <c r="L1877" s="41">
        <v>1</v>
      </c>
      <c r="M1877" s="41">
        <v>1</v>
      </c>
      <c r="N1877" s="41">
        <v>1</v>
      </c>
      <c r="O1877" s="41">
        <v>1</v>
      </c>
      <c r="P1877" s="41">
        <v>1</v>
      </c>
      <c r="Q1877" s="41">
        <v>1</v>
      </c>
      <c r="R1877" s="41">
        <v>1</v>
      </c>
      <c r="S1877" s="41">
        <v>1</v>
      </c>
      <c r="T1877" s="41">
        <v>1</v>
      </c>
      <c r="U1877" s="41">
        <v>1</v>
      </c>
      <c r="W1877" s="1"/>
      <c r="X1877" s="1"/>
      <c r="Y1877" s="1"/>
    </row>
    <row r="1878" spans="1:25">
      <c r="G1878" s="62" t="s">
        <v>20</v>
      </c>
      <c r="H1878" s="57"/>
      <c r="I1878" s="270">
        <v>7.8921000000000005E-2</v>
      </c>
      <c r="J1878" s="36">
        <v>7.9619999999999996E-2</v>
      </c>
      <c r="K1878" s="36">
        <v>7.8747999999999999E-2</v>
      </c>
      <c r="L1878" s="36">
        <v>8.0235000000000001E-2</v>
      </c>
      <c r="M1878" s="36">
        <v>8.0535999999999996E-2</v>
      </c>
      <c r="N1878" s="36">
        <v>8.1698151927344531E-2</v>
      </c>
      <c r="O1878" s="36">
        <v>8.0833713568703974E-2</v>
      </c>
      <c r="P1878" s="36">
        <v>7.9451999999999995E-2</v>
      </c>
      <c r="Q1878" s="36">
        <v>7.6724662968274293E-2</v>
      </c>
      <c r="R1878" s="36">
        <f>R1824</f>
        <v>8.1268700519883177E-2</v>
      </c>
      <c r="S1878" s="36">
        <f>S2</f>
        <v>7.9696892166366717E-2</v>
      </c>
      <c r="T1878" s="36">
        <f>T2</f>
        <v>7.8737918965874246E-2</v>
      </c>
      <c r="U1878" s="36">
        <f>U2</f>
        <v>7.8407467372863096E-2</v>
      </c>
      <c r="W1878" s="1"/>
      <c r="X1878" s="1"/>
      <c r="Y1878" s="1"/>
    </row>
    <row r="1879" spans="1:25">
      <c r="A1879" s="1" t="s">
        <v>132</v>
      </c>
      <c r="G1879" s="26" t="s">
        <v>22</v>
      </c>
      <c r="H1879" s="6"/>
      <c r="I1879" s="30">
        <v>15341</v>
      </c>
      <c r="J1879" s="30">
        <v>14137</v>
      </c>
      <c r="K1879" s="30">
        <v>12175</v>
      </c>
      <c r="L1879" s="30">
        <v>14022</v>
      </c>
      <c r="M1879" s="30">
        <v>11102</v>
      </c>
      <c r="N1879" s="161">
        <v>13918</v>
      </c>
      <c r="O1879" s="161">
        <v>12396</v>
      </c>
      <c r="P1879" s="161">
        <v>13065</v>
      </c>
      <c r="Q1879" s="161">
        <f>Q1876*Q1878</f>
        <v>7010.0255567593495</v>
      </c>
      <c r="R1879" s="161">
        <f>R1876*R1878</f>
        <v>17202.552182546271</v>
      </c>
      <c r="S1879" s="161">
        <f>ROUNDUP(S1876*S1878,0)</f>
        <v>19720</v>
      </c>
      <c r="T1879" s="161">
        <f>ROUNDUP(T1876*T1878,0)</f>
        <v>15483</v>
      </c>
      <c r="U1879" s="161">
        <f>U1876*U1878</f>
        <v>18209.977482412709</v>
      </c>
      <c r="W1879" s="1"/>
      <c r="X1879" s="1"/>
      <c r="Y1879" s="1"/>
    </row>
    <row r="1880" spans="1:25">
      <c r="I1880" s="29"/>
      <c r="J1880" s="29"/>
      <c r="K1880" s="29"/>
      <c r="L1880" s="29"/>
      <c r="M1880" s="29"/>
      <c r="N1880" s="20"/>
      <c r="O1880" s="20"/>
      <c r="P1880" s="20"/>
      <c r="Q1880" s="20"/>
      <c r="R1880" s="20"/>
      <c r="S1880" s="20"/>
      <c r="T1880" s="20"/>
      <c r="U1880" s="20"/>
      <c r="W1880" s="1"/>
      <c r="X1880" s="1"/>
      <c r="Y1880" s="1"/>
    </row>
    <row r="1881" spans="1:25" ht="18.75">
      <c r="F1881" s="9" t="s">
        <v>118</v>
      </c>
      <c r="I1881" s="2">
        <f>'Facility Detail'!$G$3260</f>
        <v>2011</v>
      </c>
      <c r="J1881" s="2">
        <f>I1881+1</f>
        <v>2012</v>
      </c>
      <c r="K1881" s="2">
        <f>J1881+1</f>
        <v>2013</v>
      </c>
      <c r="L1881" s="2">
        <f t="shared" ref="L1881:Q1881" si="819">L1875</f>
        <v>2014</v>
      </c>
      <c r="M1881" s="2">
        <f t="shared" si="819"/>
        <v>2015</v>
      </c>
      <c r="N1881" s="2">
        <f t="shared" si="819"/>
        <v>2016</v>
      </c>
      <c r="O1881" s="2">
        <f t="shared" si="819"/>
        <v>2017</v>
      </c>
      <c r="P1881" s="2">
        <f t="shared" si="819"/>
        <v>2018</v>
      </c>
      <c r="Q1881" s="2">
        <f t="shared" si="819"/>
        <v>2019</v>
      </c>
      <c r="R1881" s="2">
        <f t="shared" ref="R1881:S1881" si="820">R1875</f>
        <v>2020</v>
      </c>
      <c r="S1881" s="2">
        <f t="shared" si="820"/>
        <v>2021</v>
      </c>
      <c r="T1881" s="2">
        <f t="shared" ref="T1881:U1881" si="821">T1875</f>
        <v>2022</v>
      </c>
      <c r="U1881" s="2">
        <f t="shared" si="821"/>
        <v>2023</v>
      </c>
      <c r="W1881" s="1"/>
      <c r="X1881" s="1"/>
      <c r="Y1881" s="1"/>
    </row>
    <row r="1882" spans="1:25">
      <c r="G1882" s="62" t="s">
        <v>10</v>
      </c>
      <c r="H1882" s="57"/>
      <c r="I1882" s="38">
        <f>IF($J42= "Eligible", I1879 * 'Facility Detail'!$G$3257, 0 )</f>
        <v>0</v>
      </c>
      <c r="J1882" s="11">
        <f>IF($J42= "Eligible", J1879 * 'Facility Detail'!$G$3257, 0 )</f>
        <v>0</v>
      </c>
      <c r="K1882" s="11">
        <f>IF($J42= "Eligible", K1879 * 'Facility Detail'!$G$3257, 0 )</f>
        <v>0</v>
      </c>
      <c r="L1882" s="11">
        <f>IF($J42= "Eligible", L1879 * 'Facility Detail'!$G$3257, 0 )</f>
        <v>0</v>
      </c>
      <c r="M1882" s="11">
        <f>IF($J42= "Eligible", M1879 * 'Facility Detail'!$G$3257, 0 )</f>
        <v>0</v>
      </c>
      <c r="N1882" s="11">
        <f>IF($J42= "Eligible", N1879 * 'Facility Detail'!$G$3257, 0 )</f>
        <v>0</v>
      </c>
      <c r="O1882" s="11">
        <f>IF($J42= "Eligible", O1879 * 'Facility Detail'!$G$3257, 0 )</f>
        <v>0</v>
      </c>
      <c r="P1882" s="11">
        <f>IF($J42= "Eligible", P1879 * 'Facility Detail'!$G$3257, 0 )</f>
        <v>0</v>
      </c>
      <c r="Q1882" s="11">
        <f>IF($J42= "Eligible", Q1879 * 'Facility Detail'!$G$3257, 0 )</f>
        <v>0</v>
      </c>
      <c r="R1882" s="11">
        <f>IF($J42= "Eligible", R1879 * 'Facility Detail'!$G$3257, 0 )</f>
        <v>0</v>
      </c>
      <c r="S1882" s="11">
        <f>IF($J42= "Eligible", S1879 * 'Facility Detail'!$G$3257, 0 )</f>
        <v>0</v>
      </c>
      <c r="T1882" s="11">
        <f>IF($J42= "Eligible", T1879 * 'Facility Detail'!$G$3257, 0 )</f>
        <v>0</v>
      </c>
      <c r="U1882" s="223">
        <f>IF($J42= "Eligible", U1879 * 'Facility Detail'!$G$3257, 0 )</f>
        <v>0</v>
      </c>
      <c r="W1882" s="1"/>
      <c r="X1882" s="1"/>
      <c r="Y1882" s="1"/>
    </row>
    <row r="1883" spans="1:25">
      <c r="G1883" s="62" t="s">
        <v>6</v>
      </c>
      <c r="H1883" s="57"/>
      <c r="I1883" s="39">
        <f t="shared" ref="I1883:U1883" si="822">IF($K42= "Eligible", I1879, 0 )</f>
        <v>0</v>
      </c>
      <c r="J1883" s="193">
        <f t="shared" si="822"/>
        <v>0</v>
      </c>
      <c r="K1883" s="193">
        <f t="shared" si="822"/>
        <v>0</v>
      </c>
      <c r="L1883" s="193">
        <f t="shared" si="822"/>
        <v>0</v>
      </c>
      <c r="M1883" s="193">
        <f t="shared" si="822"/>
        <v>0</v>
      </c>
      <c r="N1883" s="193">
        <f t="shared" si="822"/>
        <v>0</v>
      </c>
      <c r="O1883" s="193">
        <f t="shared" si="822"/>
        <v>0</v>
      </c>
      <c r="P1883" s="193">
        <f t="shared" si="822"/>
        <v>0</v>
      </c>
      <c r="Q1883" s="193">
        <f t="shared" si="822"/>
        <v>0</v>
      </c>
      <c r="R1883" s="193">
        <f t="shared" si="822"/>
        <v>0</v>
      </c>
      <c r="S1883" s="193">
        <f t="shared" si="822"/>
        <v>0</v>
      </c>
      <c r="T1883" s="193">
        <f t="shared" si="822"/>
        <v>0</v>
      </c>
      <c r="U1883" s="224">
        <f t="shared" si="822"/>
        <v>0</v>
      </c>
      <c r="W1883" s="1"/>
      <c r="X1883" s="1"/>
      <c r="Y1883" s="1"/>
    </row>
    <row r="1884" spans="1:25">
      <c r="G1884" s="26" t="s">
        <v>120</v>
      </c>
      <c r="H1884" s="6"/>
      <c r="I1884" s="32">
        <f>SUM(I1882:I1883)</f>
        <v>0</v>
      </c>
      <c r="J1884" s="33">
        <f t="shared" ref="J1884:S1884" si="823">SUM(J1882:J1883)</f>
        <v>0</v>
      </c>
      <c r="K1884" s="33">
        <f t="shared" si="823"/>
        <v>0</v>
      </c>
      <c r="L1884" s="33">
        <f t="shared" si="823"/>
        <v>0</v>
      </c>
      <c r="M1884" s="33">
        <f t="shared" si="823"/>
        <v>0</v>
      </c>
      <c r="N1884" s="33">
        <f t="shared" si="823"/>
        <v>0</v>
      </c>
      <c r="O1884" s="33">
        <f t="shared" si="823"/>
        <v>0</v>
      </c>
      <c r="P1884" s="33">
        <f t="shared" si="823"/>
        <v>0</v>
      </c>
      <c r="Q1884" s="33">
        <f t="shared" si="823"/>
        <v>0</v>
      </c>
      <c r="R1884" s="33">
        <f t="shared" si="823"/>
        <v>0</v>
      </c>
      <c r="S1884" s="33">
        <f t="shared" si="823"/>
        <v>0</v>
      </c>
      <c r="T1884" s="33">
        <f t="shared" ref="T1884:U1884" si="824">SUM(T1882:T1883)</f>
        <v>0</v>
      </c>
      <c r="U1884" s="33">
        <f t="shared" si="824"/>
        <v>0</v>
      </c>
      <c r="W1884" s="1"/>
      <c r="X1884" s="1"/>
      <c r="Y1884" s="1"/>
    </row>
    <row r="1885" spans="1:25">
      <c r="I1885" s="31"/>
      <c r="J1885" s="24"/>
      <c r="K1885" s="24"/>
      <c r="L1885" s="24"/>
      <c r="M1885" s="24"/>
      <c r="N1885" s="24"/>
      <c r="O1885" s="24"/>
      <c r="P1885" s="24"/>
      <c r="Q1885" s="24"/>
      <c r="R1885" s="24"/>
      <c r="S1885" s="24"/>
      <c r="T1885" s="24"/>
      <c r="U1885" s="24"/>
      <c r="W1885" s="1"/>
      <c r="X1885" s="1"/>
      <c r="Y1885" s="1"/>
    </row>
    <row r="1886" spans="1:25" ht="18.75">
      <c r="F1886" s="9" t="s">
        <v>30</v>
      </c>
      <c r="I1886" s="2">
        <f>'Facility Detail'!$G$3260</f>
        <v>2011</v>
      </c>
      <c r="J1886" s="2">
        <f>I1886+1</f>
        <v>2012</v>
      </c>
      <c r="K1886" s="2">
        <f>J1886+1</f>
        <v>2013</v>
      </c>
      <c r="L1886" s="2">
        <f t="shared" ref="L1886:Q1886" si="825">L1875</f>
        <v>2014</v>
      </c>
      <c r="M1886" s="2">
        <f t="shared" si="825"/>
        <v>2015</v>
      </c>
      <c r="N1886" s="2">
        <f t="shared" si="825"/>
        <v>2016</v>
      </c>
      <c r="O1886" s="2">
        <f t="shared" si="825"/>
        <v>2017</v>
      </c>
      <c r="P1886" s="2">
        <f t="shared" si="825"/>
        <v>2018</v>
      </c>
      <c r="Q1886" s="2">
        <f t="shared" si="825"/>
        <v>2019</v>
      </c>
      <c r="R1886" s="2">
        <f t="shared" ref="R1886:S1886" si="826">R1875</f>
        <v>2020</v>
      </c>
      <c r="S1886" s="2">
        <f t="shared" si="826"/>
        <v>2021</v>
      </c>
      <c r="T1886" s="2">
        <f t="shared" ref="T1886:U1886" si="827">T1875</f>
        <v>2022</v>
      </c>
      <c r="U1886" s="2">
        <f t="shared" si="827"/>
        <v>2023</v>
      </c>
      <c r="W1886" s="1"/>
      <c r="X1886" s="1"/>
      <c r="Y1886" s="1"/>
    </row>
    <row r="1887" spans="1:25">
      <c r="G1887" s="62" t="s">
        <v>47</v>
      </c>
      <c r="H1887" s="57"/>
      <c r="I1887" s="71"/>
      <c r="J1887" s="72"/>
      <c r="K1887" s="72"/>
      <c r="L1887" s="72"/>
      <c r="M1887" s="72"/>
      <c r="N1887" s="72"/>
      <c r="O1887" s="72"/>
      <c r="P1887" s="72"/>
      <c r="Q1887" s="72"/>
      <c r="R1887" s="72"/>
      <c r="S1887" s="72"/>
      <c r="T1887" s="72"/>
      <c r="U1887" s="73"/>
      <c r="W1887" s="1"/>
      <c r="X1887" s="1"/>
      <c r="Y1887" s="1"/>
    </row>
    <row r="1888" spans="1:25">
      <c r="G1888" s="63" t="s">
        <v>23</v>
      </c>
      <c r="H1888" s="135"/>
      <c r="I1888" s="74"/>
      <c r="J1888" s="75"/>
      <c r="K1888" s="75"/>
      <c r="L1888" s="75"/>
      <c r="M1888" s="75"/>
      <c r="N1888" s="75"/>
      <c r="O1888" s="75"/>
      <c r="P1888" s="75"/>
      <c r="Q1888" s="75"/>
      <c r="R1888" s="75"/>
      <c r="S1888" s="75"/>
      <c r="T1888" s="75"/>
      <c r="U1888" s="76"/>
      <c r="W1888" s="1"/>
      <c r="X1888" s="1"/>
      <c r="Y1888" s="1"/>
    </row>
    <row r="1889" spans="6:25">
      <c r="G1889" s="63" t="s">
        <v>89</v>
      </c>
      <c r="H1889" s="134"/>
      <c r="I1889" s="43"/>
      <c r="J1889" s="44"/>
      <c r="K1889" s="44"/>
      <c r="L1889" s="44"/>
      <c r="M1889" s="44"/>
      <c r="N1889" s="44"/>
      <c r="O1889" s="44"/>
      <c r="P1889" s="44"/>
      <c r="Q1889" s="44"/>
      <c r="R1889" s="44"/>
      <c r="S1889" s="44"/>
      <c r="T1889" s="44"/>
      <c r="U1889" s="45"/>
      <c r="W1889" s="1"/>
      <c r="X1889" s="1"/>
      <c r="Y1889" s="1"/>
    </row>
    <row r="1890" spans="6:25">
      <c r="G1890" s="26" t="s">
        <v>90</v>
      </c>
      <c r="I1890" s="7">
        <f t="shared" ref="I1890:O1890" si="828">SUM(I1887:I1889)</f>
        <v>0</v>
      </c>
      <c r="J1890" s="7">
        <f t="shared" si="828"/>
        <v>0</v>
      </c>
      <c r="K1890" s="7">
        <f t="shared" si="828"/>
        <v>0</v>
      </c>
      <c r="L1890" s="7">
        <f t="shared" si="828"/>
        <v>0</v>
      </c>
      <c r="M1890" s="7">
        <f t="shared" si="828"/>
        <v>0</v>
      </c>
      <c r="N1890" s="7">
        <f t="shared" si="828"/>
        <v>0</v>
      </c>
      <c r="O1890" s="7">
        <f t="shared" si="828"/>
        <v>0</v>
      </c>
      <c r="P1890" s="7">
        <f t="shared" ref="P1890:Q1890" si="829">SUM(P1887:P1889)</f>
        <v>0</v>
      </c>
      <c r="Q1890" s="7">
        <f t="shared" si="829"/>
        <v>0</v>
      </c>
      <c r="R1890" s="7">
        <f t="shared" ref="R1890:S1890" si="830">SUM(R1887:R1889)</f>
        <v>0</v>
      </c>
      <c r="S1890" s="7">
        <f t="shared" si="830"/>
        <v>0</v>
      </c>
      <c r="T1890" s="7">
        <f t="shared" ref="T1890:U1890" si="831">SUM(T1887:T1889)</f>
        <v>0</v>
      </c>
      <c r="U1890" s="7">
        <f t="shared" si="831"/>
        <v>0</v>
      </c>
      <c r="W1890" s="1"/>
      <c r="X1890" s="1"/>
      <c r="Y1890" s="1"/>
    </row>
    <row r="1891" spans="6:25">
      <c r="G1891" s="6"/>
      <c r="I1891" s="7"/>
      <c r="J1891" s="7"/>
      <c r="K1891" s="7"/>
      <c r="L1891" s="23"/>
      <c r="M1891" s="23"/>
      <c r="N1891" s="23"/>
      <c r="O1891" s="23"/>
      <c r="P1891" s="23"/>
      <c r="Q1891" s="23"/>
      <c r="R1891" s="23"/>
      <c r="S1891" s="23"/>
      <c r="T1891" s="23"/>
      <c r="U1891" s="23"/>
      <c r="W1891" s="1"/>
      <c r="X1891" s="1"/>
      <c r="Y1891" s="1"/>
    </row>
    <row r="1892" spans="6:25" ht="18.75">
      <c r="F1892" s="9" t="s">
        <v>100</v>
      </c>
      <c r="I1892" s="2">
        <f>'Facility Detail'!$G$3260</f>
        <v>2011</v>
      </c>
      <c r="J1892" s="2">
        <f t="shared" ref="J1892:P1892" si="832">I1892+1</f>
        <v>2012</v>
      </c>
      <c r="K1892" s="2">
        <f t="shared" si="832"/>
        <v>2013</v>
      </c>
      <c r="L1892" s="2">
        <f t="shared" si="832"/>
        <v>2014</v>
      </c>
      <c r="M1892" s="2">
        <f t="shared" si="832"/>
        <v>2015</v>
      </c>
      <c r="N1892" s="2">
        <f t="shared" si="832"/>
        <v>2016</v>
      </c>
      <c r="O1892" s="2">
        <f t="shared" si="832"/>
        <v>2017</v>
      </c>
      <c r="P1892" s="2">
        <f t="shared" si="832"/>
        <v>2018</v>
      </c>
      <c r="Q1892" s="2">
        <f t="shared" ref="Q1892" si="833">P1892+1</f>
        <v>2019</v>
      </c>
      <c r="R1892" s="2">
        <f t="shared" ref="R1892" si="834">Q1892+1</f>
        <v>2020</v>
      </c>
      <c r="S1892" s="2">
        <f>R1892+1</f>
        <v>2021</v>
      </c>
      <c r="T1892" s="2">
        <f>S1892+1</f>
        <v>2022</v>
      </c>
      <c r="U1892" s="2">
        <f>T1892+1</f>
        <v>2023</v>
      </c>
      <c r="W1892" s="1"/>
      <c r="X1892" s="1"/>
      <c r="Y1892" s="1"/>
    </row>
    <row r="1893" spans="6:25">
      <c r="G1893" s="62" t="s">
        <v>68</v>
      </c>
      <c r="H1893" s="57"/>
      <c r="I1893" s="3">
        <f>I1879</f>
        <v>15341</v>
      </c>
      <c r="J1893" s="46">
        <f>I1893</f>
        <v>15341</v>
      </c>
      <c r="K1893" s="106"/>
      <c r="L1893" s="106"/>
      <c r="M1893" s="106"/>
      <c r="N1893" s="106"/>
      <c r="O1893" s="106"/>
      <c r="P1893" s="106"/>
      <c r="Q1893" s="106"/>
      <c r="R1893" s="106"/>
      <c r="S1893" s="106"/>
      <c r="T1893" s="217"/>
      <c r="U1893" s="47"/>
      <c r="W1893" s="1"/>
      <c r="X1893" s="1"/>
      <c r="Y1893" s="1"/>
    </row>
    <row r="1894" spans="6:25">
      <c r="G1894" s="62" t="s">
        <v>69</v>
      </c>
      <c r="H1894" s="57"/>
      <c r="I1894" s="127">
        <f>J1894</f>
        <v>0</v>
      </c>
      <c r="J1894" s="10"/>
      <c r="K1894" s="60"/>
      <c r="L1894" s="60"/>
      <c r="M1894" s="60"/>
      <c r="N1894" s="60"/>
      <c r="O1894" s="60"/>
      <c r="P1894" s="60"/>
      <c r="Q1894" s="60"/>
      <c r="R1894" s="60"/>
      <c r="S1894" s="60"/>
      <c r="T1894" s="218"/>
      <c r="U1894" s="128"/>
      <c r="W1894" s="1"/>
      <c r="X1894" s="1"/>
      <c r="Y1894" s="1"/>
    </row>
    <row r="1895" spans="6:25">
      <c r="G1895" s="62" t="s">
        <v>70</v>
      </c>
      <c r="H1895" s="57"/>
      <c r="I1895" s="48"/>
      <c r="J1895" s="10">
        <f>J1879</f>
        <v>14137</v>
      </c>
      <c r="K1895" s="56">
        <f>J1895</f>
        <v>14137</v>
      </c>
      <c r="L1895" s="60"/>
      <c r="M1895" s="60"/>
      <c r="N1895" s="60"/>
      <c r="O1895" s="60"/>
      <c r="P1895" s="60"/>
      <c r="Q1895" s="60"/>
      <c r="R1895" s="60"/>
      <c r="S1895" s="60"/>
      <c r="T1895" s="218"/>
      <c r="U1895" s="128"/>
      <c r="W1895" s="1"/>
      <c r="X1895" s="1"/>
      <c r="Y1895" s="1"/>
    </row>
    <row r="1896" spans="6:25">
      <c r="G1896" s="62" t="s">
        <v>71</v>
      </c>
      <c r="H1896" s="57"/>
      <c r="I1896" s="48"/>
      <c r="J1896" s="56">
        <f>K1896</f>
        <v>0</v>
      </c>
      <c r="K1896" s="10"/>
      <c r="L1896" s="60"/>
      <c r="M1896" s="60"/>
      <c r="N1896" s="60"/>
      <c r="O1896" s="60"/>
      <c r="P1896" s="60"/>
      <c r="Q1896" s="60"/>
      <c r="R1896" s="60"/>
      <c r="S1896" s="60"/>
      <c r="T1896" s="218"/>
      <c r="U1896" s="128"/>
      <c r="W1896" s="1"/>
      <c r="X1896" s="1"/>
      <c r="Y1896" s="1"/>
    </row>
    <row r="1897" spans="6:25">
      <c r="G1897" s="62" t="s">
        <v>170</v>
      </c>
      <c r="H1897" s="57"/>
      <c r="I1897" s="48"/>
      <c r="J1897" s="118"/>
      <c r="K1897" s="10">
        <f>K1879</f>
        <v>12175</v>
      </c>
      <c r="L1897" s="119">
        <f>K1897</f>
        <v>12175</v>
      </c>
      <c r="M1897" s="60"/>
      <c r="N1897" s="60"/>
      <c r="O1897" s="60"/>
      <c r="P1897" s="60"/>
      <c r="Q1897" s="60"/>
      <c r="R1897" s="60"/>
      <c r="S1897" s="60"/>
      <c r="T1897" s="146"/>
      <c r="U1897" s="122"/>
      <c r="W1897" s="1"/>
      <c r="X1897" s="1"/>
      <c r="Y1897" s="1"/>
    </row>
    <row r="1898" spans="6:25">
      <c r="G1898" s="62" t="s">
        <v>171</v>
      </c>
      <c r="H1898" s="57"/>
      <c r="I1898" s="48"/>
      <c r="J1898" s="118"/>
      <c r="K1898" s="56">
        <f>L1898</f>
        <v>0</v>
      </c>
      <c r="L1898" s="10"/>
      <c r="M1898" s="60"/>
      <c r="N1898" s="60"/>
      <c r="O1898" s="60" t="s">
        <v>169</v>
      </c>
      <c r="P1898" s="60" t="s">
        <v>169</v>
      </c>
      <c r="Q1898" s="60" t="s">
        <v>169</v>
      </c>
      <c r="R1898" s="60" t="s">
        <v>169</v>
      </c>
      <c r="S1898" s="60" t="s">
        <v>169</v>
      </c>
      <c r="T1898" s="146" t="s">
        <v>169</v>
      </c>
      <c r="U1898" s="122" t="s">
        <v>169</v>
      </c>
      <c r="W1898" s="1"/>
      <c r="X1898" s="1"/>
      <c r="Y1898" s="1"/>
    </row>
    <row r="1899" spans="6:25">
      <c r="G1899" s="62" t="s">
        <v>172</v>
      </c>
      <c r="H1899" s="57"/>
      <c r="I1899" s="48"/>
      <c r="J1899" s="118"/>
      <c r="K1899" s="118"/>
      <c r="L1899" s="10">
        <f>L1879</f>
        <v>14022</v>
      </c>
      <c r="M1899" s="119">
        <f>L1899</f>
        <v>14022</v>
      </c>
      <c r="N1899" s="118"/>
      <c r="O1899" s="60"/>
      <c r="P1899" s="60"/>
      <c r="Q1899" s="60"/>
      <c r="R1899" s="60"/>
      <c r="S1899" s="60"/>
      <c r="T1899" s="146"/>
      <c r="U1899" s="122"/>
      <c r="W1899" s="1"/>
      <c r="X1899" s="1"/>
      <c r="Y1899" s="1"/>
    </row>
    <row r="1900" spans="6:25">
      <c r="G1900" s="62" t="s">
        <v>173</v>
      </c>
      <c r="H1900" s="57"/>
      <c r="I1900" s="48"/>
      <c r="J1900" s="118"/>
      <c r="K1900" s="118"/>
      <c r="L1900" s="56"/>
      <c r="M1900" s="10"/>
      <c r="N1900" s="118"/>
      <c r="O1900" s="60"/>
      <c r="P1900" s="60"/>
      <c r="Q1900" s="60"/>
      <c r="R1900" s="60"/>
      <c r="S1900" s="60"/>
      <c r="T1900" s="146"/>
      <c r="U1900" s="122"/>
      <c r="W1900" s="1"/>
      <c r="X1900" s="1"/>
      <c r="Y1900" s="1"/>
    </row>
    <row r="1901" spans="6:25">
      <c r="G1901" s="62" t="s">
        <v>174</v>
      </c>
      <c r="H1901" s="57"/>
      <c r="I1901" s="48"/>
      <c r="J1901" s="118"/>
      <c r="K1901" s="118"/>
      <c r="L1901" s="118"/>
      <c r="M1901" s="10">
        <f>M1879</f>
        <v>11102</v>
      </c>
      <c r="N1901" s="119">
        <f>M1901</f>
        <v>11102</v>
      </c>
      <c r="O1901" s="60"/>
      <c r="P1901" s="60"/>
      <c r="Q1901" s="60"/>
      <c r="R1901" s="60"/>
      <c r="S1901" s="60"/>
      <c r="T1901" s="146"/>
      <c r="U1901" s="122"/>
      <c r="W1901" s="1"/>
      <c r="X1901" s="1"/>
      <c r="Y1901" s="1"/>
    </row>
    <row r="1902" spans="6:25">
      <c r="G1902" s="62" t="s">
        <v>175</v>
      </c>
      <c r="H1902" s="57"/>
      <c r="I1902" s="48"/>
      <c r="J1902" s="118"/>
      <c r="K1902" s="118"/>
      <c r="L1902" s="118"/>
      <c r="M1902" s="56"/>
      <c r="N1902" s="10"/>
      <c r="O1902" s="60"/>
      <c r="P1902" s="60"/>
      <c r="Q1902" s="60"/>
      <c r="R1902" s="60"/>
      <c r="S1902" s="60"/>
      <c r="T1902" s="146"/>
      <c r="U1902" s="122"/>
      <c r="W1902" s="1"/>
      <c r="X1902" s="1"/>
      <c r="Y1902" s="1"/>
    </row>
    <row r="1903" spans="6:25">
      <c r="G1903" s="62" t="s">
        <v>176</v>
      </c>
      <c r="H1903" s="57"/>
      <c r="I1903" s="48"/>
      <c r="J1903" s="118"/>
      <c r="K1903" s="118"/>
      <c r="L1903" s="118"/>
      <c r="M1903" s="118"/>
      <c r="N1903" s="149"/>
      <c r="O1903" s="120">
        <f>N1903</f>
        <v>0</v>
      </c>
      <c r="P1903" s="60"/>
      <c r="Q1903" s="60"/>
      <c r="R1903" s="60"/>
      <c r="S1903" s="60"/>
      <c r="T1903" s="146"/>
      <c r="U1903" s="122"/>
      <c r="W1903" s="1"/>
      <c r="X1903" s="1"/>
      <c r="Y1903" s="1"/>
    </row>
    <row r="1904" spans="6:25">
      <c r="G1904" s="62" t="s">
        <v>167</v>
      </c>
      <c r="I1904" s="48"/>
      <c r="J1904" s="118"/>
      <c r="K1904" s="118"/>
      <c r="L1904" s="118"/>
      <c r="M1904" s="118"/>
      <c r="N1904" s="150"/>
      <c r="O1904" s="121"/>
      <c r="P1904" s="60"/>
      <c r="Q1904" s="60"/>
      <c r="R1904" s="60"/>
      <c r="S1904" s="60"/>
      <c r="T1904" s="146"/>
      <c r="U1904" s="122"/>
      <c r="W1904" s="1"/>
      <c r="X1904" s="1"/>
      <c r="Y1904" s="1"/>
    </row>
    <row r="1905" spans="2:25">
      <c r="G1905" s="62" t="s">
        <v>168</v>
      </c>
      <c r="I1905" s="48"/>
      <c r="J1905" s="118"/>
      <c r="K1905" s="118"/>
      <c r="L1905" s="118"/>
      <c r="M1905" s="118"/>
      <c r="N1905" s="118"/>
      <c r="O1905" s="121"/>
      <c r="P1905" s="120">
        <f>O1905</f>
        <v>0</v>
      </c>
      <c r="Q1905" s="60"/>
      <c r="R1905" s="60"/>
      <c r="S1905" s="60"/>
      <c r="T1905" s="146"/>
      <c r="U1905" s="122"/>
      <c r="W1905" s="1"/>
      <c r="X1905" s="1"/>
      <c r="Y1905" s="1"/>
    </row>
    <row r="1906" spans="2:25">
      <c r="G1906" s="62" t="s">
        <v>185</v>
      </c>
      <c r="I1906" s="48"/>
      <c r="J1906" s="118"/>
      <c r="K1906" s="118"/>
      <c r="L1906" s="118"/>
      <c r="M1906" s="118"/>
      <c r="N1906" s="118"/>
      <c r="O1906" s="120"/>
      <c r="P1906" s="121"/>
      <c r="Q1906" s="60"/>
      <c r="R1906" s="60"/>
      <c r="S1906" s="60"/>
      <c r="T1906" s="146"/>
      <c r="U1906" s="122"/>
      <c r="W1906" s="1"/>
      <c r="X1906" s="1"/>
      <c r="Y1906" s="1"/>
    </row>
    <row r="1907" spans="2:25">
      <c r="G1907" s="62" t="s">
        <v>186</v>
      </c>
      <c r="I1907" s="48"/>
      <c r="J1907" s="118"/>
      <c r="K1907" s="118"/>
      <c r="L1907" s="118"/>
      <c r="M1907" s="118"/>
      <c r="N1907" s="118"/>
      <c r="O1907" s="118"/>
      <c r="P1907" s="121"/>
      <c r="Q1907" s="56">
        <f>P1907</f>
        <v>0</v>
      </c>
      <c r="R1907" s="60"/>
      <c r="S1907" s="60"/>
      <c r="T1907" s="146"/>
      <c r="U1907" s="122"/>
      <c r="W1907" s="1"/>
      <c r="X1907" s="1"/>
      <c r="Y1907" s="1"/>
    </row>
    <row r="1908" spans="2:25">
      <c r="G1908" s="62" t="s">
        <v>187</v>
      </c>
      <c r="I1908" s="48"/>
      <c r="J1908" s="118"/>
      <c r="K1908" s="118"/>
      <c r="L1908" s="118"/>
      <c r="M1908" s="118"/>
      <c r="N1908" s="118"/>
      <c r="O1908" s="118"/>
      <c r="P1908" s="120"/>
      <c r="Q1908" s="306"/>
      <c r="R1908" s="60"/>
      <c r="S1908" s="60"/>
      <c r="T1908" s="146"/>
      <c r="U1908" s="122"/>
      <c r="W1908" s="1"/>
      <c r="X1908" s="1"/>
      <c r="Y1908" s="1"/>
    </row>
    <row r="1909" spans="2:25">
      <c r="G1909" s="62" t="s">
        <v>188</v>
      </c>
      <c r="I1909" s="48"/>
      <c r="J1909" s="118"/>
      <c r="K1909" s="118"/>
      <c r="L1909" s="118"/>
      <c r="M1909" s="118"/>
      <c r="N1909" s="118"/>
      <c r="O1909" s="118"/>
      <c r="P1909" s="118"/>
      <c r="Q1909" s="121"/>
      <c r="R1909" s="151">
        <f>P1909</f>
        <v>0</v>
      </c>
      <c r="S1909" s="60"/>
      <c r="T1909" s="146"/>
      <c r="U1909" s="122"/>
      <c r="W1909" s="1"/>
      <c r="X1909" s="1"/>
      <c r="Y1909" s="1"/>
    </row>
    <row r="1910" spans="2:25">
      <c r="G1910" s="62" t="s">
        <v>189</v>
      </c>
      <c r="I1910" s="48"/>
      <c r="J1910" s="118"/>
      <c r="K1910" s="118"/>
      <c r="L1910" s="118"/>
      <c r="M1910" s="118"/>
      <c r="N1910" s="118"/>
      <c r="O1910" s="118"/>
      <c r="P1910" s="118"/>
      <c r="Q1910" s="151"/>
      <c r="R1910" s="173"/>
      <c r="S1910" s="60"/>
      <c r="T1910" s="146"/>
      <c r="U1910" s="122"/>
      <c r="W1910" s="1"/>
      <c r="X1910" s="1"/>
      <c r="Y1910" s="1"/>
    </row>
    <row r="1911" spans="2:25">
      <c r="G1911" s="62" t="s">
        <v>190</v>
      </c>
      <c r="I1911" s="48"/>
      <c r="J1911" s="118"/>
      <c r="K1911" s="118"/>
      <c r="L1911" s="118"/>
      <c r="M1911" s="118"/>
      <c r="N1911" s="118"/>
      <c r="O1911" s="118"/>
      <c r="P1911" s="118"/>
      <c r="Q1911" s="118"/>
      <c r="R1911" s="173"/>
      <c r="S1911" s="151">
        <f>R1911</f>
        <v>0</v>
      </c>
      <c r="T1911" s="146"/>
      <c r="U1911" s="122"/>
      <c r="W1911" s="1"/>
      <c r="X1911" s="1"/>
      <c r="Y1911" s="1"/>
    </row>
    <row r="1912" spans="2:25">
      <c r="G1912" s="62" t="s">
        <v>199</v>
      </c>
      <c r="I1912" s="48"/>
      <c r="J1912" s="118"/>
      <c r="K1912" s="118"/>
      <c r="L1912" s="118"/>
      <c r="M1912" s="118"/>
      <c r="N1912" s="118"/>
      <c r="O1912" s="118"/>
      <c r="P1912" s="118"/>
      <c r="Q1912" s="118"/>
      <c r="R1912" s="120">
        <v>11418</v>
      </c>
      <c r="S1912" s="173">
        <v>11418</v>
      </c>
      <c r="T1912" s="146"/>
      <c r="U1912" s="122"/>
      <c r="W1912" s="1"/>
      <c r="X1912" s="1"/>
      <c r="Y1912" s="1"/>
    </row>
    <row r="1913" spans="2:25">
      <c r="G1913" s="62" t="s">
        <v>200</v>
      </c>
      <c r="I1913" s="48"/>
      <c r="J1913" s="118"/>
      <c r="K1913" s="118"/>
      <c r="L1913" s="118"/>
      <c r="M1913" s="118"/>
      <c r="N1913" s="118"/>
      <c r="O1913" s="118"/>
      <c r="P1913" s="118"/>
      <c r="Q1913" s="118"/>
      <c r="R1913" s="118"/>
      <c r="S1913" s="173"/>
      <c r="T1913" s="151"/>
      <c r="U1913" s="122"/>
      <c r="W1913" s="1"/>
      <c r="X1913" s="1"/>
      <c r="Y1913" s="1"/>
    </row>
    <row r="1914" spans="2:25">
      <c r="G1914" s="62" t="s">
        <v>308</v>
      </c>
      <c r="I1914" s="48"/>
      <c r="J1914" s="118"/>
      <c r="K1914" s="118"/>
      <c r="L1914" s="118"/>
      <c r="M1914" s="118"/>
      <c r="N1914" s="118"/>
      <c r="O1914" s="118"/>
      <c r="P1914" s="118"/>
      <c r="Q1914" s="118"/>
      <c r="R1914" s="118"/>
      <c r="S1914" s="120"/>
      <c r="T1914" s="173"/>
      <c r="U1914" s="122"/>
      <c r="W1914" s="1"/>
      <c r="X1914" s="1"/>
      <c r="Y1914" s="1"/>
    </row>
    <row r="1915" spans="2:25">
      <c r="G1915" s="62" t="s">
        <v>307</v>
      </c>
      <c r="I1915" s="114"/>
      <c r="J1915" s="107"/>
      <c r="K1915" s="107"/>
      <c r="L1915" s="107"/>
      <c r="M1915" s="107"/>
      <c r="N1915" s="107"/>
      <c r="O1915" s="107"/>
      <c r="P1915" s="107"/>
      <c r="Q1915" s="107"/>
      <c r="R1915" s="107"/>
      <c r="S1915" s="107"/>
      <c r="T1915" s="173"/>
      <c r="U1915" s="456"/>
      <c r="W1915" s="1"/>
      <c r="X1915" s="1"/>
      <c r="Y1915" s="1"/>
    </row>
    <row r="1916" spans="2:25">
      <c r="G1916" s="62" t="s">
        <v>318</v>
      </c>
      <c r="I1916" s="114"/>
      <c r="J1916" s="107"/>
      <c r="K1916" s="107"/>
      <c r="L1916" s="107"/>
      <c r="M1916" s="107"/>
      <c r="N1916" s="107"/>
      <c r="O1916" s="107"/>
      <c r="P1916" s="107"/>
      <c r="Q1916" s="107"/>
      <c r="R1916" s="107"/>
      <c r="S1916" s="107"/>
      <c r="T1916" s="120"/>
      <c r="U1916" s="457"/>
      <c r="W1916" s="1"/>
      <c r="X1916" s="1"/>
      <c r="Y1916" s="1"/>
    </row>
    <row r="1917" spans="2:25">
      <c r="G1917" s="62" t="s">
        <v>319</v>
      </c>
      <c r="I1917" s="49"/>
      <c r="J1917" s="194"/>
      <c r="K1917" s="194"/>
      <c r="L1917" s="194"/>
      <c r="M1917" s="194"/>
      <c r="N1917" s="194"/>
      <c r="O1917" s="194"/>
      <c r="P1917" s="194"/>
      <c r="Q1917" s="194"/>
      <c r="R1917" s="194"/>
      <c r="S1917" s="194"/>
      <c r="T1917" s="194"/>
      <c r="U1917" s="458"/>
      <c r="W1917" s="1"/>
      <c r="X1917" s="1"/>
      <c r="Y1917" s="1"/>
    </row>
    <row r="1918" spans="2:25">
      <c r="B1918" s="1" t="s">
        <v>132</v>
      </c>
      <c r="G1918" s="26" t="s">
        <v>17</v>
      </c>
      <c r="I1918" s="7">
        <f xml:space="preserve"> I1894 - I1893</f>
        <v>-15341</v>
      </c>
      <c r="J1918" s="7">
        <f xml:space="preserve"> J1893 + J1896 - J1895 - J1894</f>
        <v>1204</v>
      </c>
      <c r="K1918" s="7">
        <f>K1895 - K1896 -K1897</f>
        <v>1962</v>
      </c>
      <c r="L1918" s="7">
        <f>L1897-L1898-L1899</f>
        <v>-1847</v>
      </c>
      <c r="M1918" s="7">
        <f>M1899-M1900-M1901</f>
        <v>2920</v>
      </c>
      <c r="N1918" s="7">
        <f>N1901-N1902-N1903</f>
        <v>11102</v>
      </c>
      <c r="O1918" s="7">
        <f>O1903-O1904-O1905</f>
        <v>0</v>
      </c>
      <c r="P1918" s="154">
        <f>P1905-P1906-P1907</f>
        <v>0</v>
      </c>
      <c r="Q1918" s="154">
        <f>Q1907-Q1908-Q1909</f>
        <v>0</v>
      </c>
      <c r="R1918" s="154">
        <f>R1912</f>
        <v>11418</v>
      </c>
      <c r="S1918" s="7">
        <f>S1911-S1912-S1913</f>
        <v>-11418</v>
      </c>
      <c r="T1918" s="7">
        <f>T1913-T1914-T1915</f>
        <v>0</v>
      </c>
      <c r="U1918" s="7">
        <f>U1913-U1914-U1915</f>
        <v>0</v>
      </c>
      <c r="W1918" s="1"/>
      <c r="X1918" s="1"/>
      <c r="Y1918" s="1"/>
    </row>
    <row r="1919" spans="2:25">
      <c r="G1919" s="6"/>
      <c r="I1919" s="154"/>
      <c r="J1919" s="154"/>
      <c r="K1919" s="154"/>
      <c r="L1919" s="154"/>
      <c r="M1919" s="154"/>
      <c r="N1919" s="154"/>
      <c r="O1919" s="154"/>
      <c r="P1919" s="154"/>
      <c r="Q1919" s="154"/>
      <c r="R1919" s="154"/>
      <c r="S1919" s="154"/>
      <c r="T1919" s="154"/>
      <c r="U1919" s="154"/>
      <c r="W1919" s="1"/>
      <c r="X1919" s="1"/>
      <c r="Y1919" s="1"/>
    </row>
    <row r="1920" spans="2:25">
      <c r="G1920" s="26" t="s">
        <v>12</v>
      </c>
      <c r="H1920" s="57"/>
      <c r="I1920" s="155"/>
      <c r="J1920" s="156"/>
      <c r="K1920" s="156"/>
      <c r="L1920" s="156"/>
      <c r="M1920" s="156"/>
      <c r="N1920" s="156"/>
      <c r="O1920" s="156"/>
      <c r="P1920" s="156"/>
      <c r="Q1920" s="156"/>
      <c r="R1920" s="156"/>
      <c r="S1920" s="156"/>
      <c r="T1920" s="156"/>
      <c r="U1920" s="267"/>
      <c r="W1920" s="1"/>
      <c r="X1920" s="1"/>
      <c r="Y1920" s="1"/>
    </row>
    <row r="1921" spans="1:25">
      <c r="G1921" s="6"/>
      <c r="I1921" s="154"/>
      <c r="J1921" s="154"/>
      <c r="K1921" s="154"/>
      <c r="L1921" s="154"/>
      <c r="M1921" s="154"/>
      <c r="N1921" s="154"/>
      <c r="O1921" s="154"/>
      <c r="P1921" s="154"/>
      <c r="Q1921" s="154"/>
      <c r="R1921" s="154"/>
      <c r="S1921" s="154"/>
      <c r="T1921" s="154"/>
      <c r="U1921" s="154"/>
      <c r="W1921" s="1"/>
      <c r="X1921" s="1"/>
      <c r="Y1921" s="1"/>
    </row>
    <row r="1922" spans="1:25" ht="18.75">
      <c r="C1922" s="1" t="s">
        <v>132</v>
      </c>
      <c r="D1922" s="1" t="s">
        <v>133</v>
      </c>
      <c r="E1922" s="1" t="s">
        <v>107</v>
      </c>
      <c r="F1922" s="9" t="s">
        <v>26</v>
      </c>
      <c r="H1922" s="57"/>
      <c r="I1922" s="157">
        <f t="shared" ref="I1922:S1922" si="835" xml:space="preserve"> I1879 + I1884 - I1890 + I1918 + I1920</f>
        <v>0</v>
      </c>
      <c r="J1922" s="158">
        <f t="shared" si="835"/>
        <v>15341</v>
      </c>
      <c r="K1922" s="158">
        <f t="shared" si="835"/>
        <v>14137</v>
      </c>
      <c r="L1922" s="158">
        <f t="shared" si="835"/>
        <v>12175</v>
      </c>
      <c r="M1922" s="158">
        <f t="shared" si="835"/>
        <v>14022</v>
      </c>
      <c r="N1922" s="158">
        <f t="shared" si="835"/>
        <v>25020</v>
      </c>
      <c r="O1922" s="158">
        <f t="shared" si="835"/>
        <v>12396</v>
      </c>
      <c r="P1922" s="158">
        <f t="shared" si="835"/>
        <v>13065</v>
      </c>
      <c r="Q1922" s="158">
        <f t="shared" si="835"/>
        <v>7010.0255567593495</v>
      </c>
      <c r="R1922" s="158">
        <f t="shared" si="835"/>
        <v>28620.552182546271</v>
      </c>
      <c r="S1922" s="158">
        <f t="shared" si="835"/>
        <v>8302</v>
      </c>
      <c r="T1922" s="158">
        <f t="shared" ref="T1922:U1922" si="836" xml:space="preserve"> T1879 + T1884 - T1890 + T1918 + T1920</f>
        <v>15483</v>
      </c>
      <c r="U1922" s="268">
        <f t="shared" si="836"/>
        <v>18209.977482412709</v>
      </c>
      <c r="W1922" s="1"/>
      <c r="X1922" s="1"/>
      <c r="Y1922" s="1"/>
    </row>
    <row r="1923" spans="1:25">
      <c r="G1923" s="6"/>
      <c r="I1923" s="7"/>
      <c r="J1923" s="7"/>
      <c r="K1923" s="7"/>
      <c r="L1923" s="23"/>
      <c r="M1923" s="23"/>
      <c r="N1923" s="23"/>
      <c r="O1923" s="23"/>
      <c r="P1923" s="23"/>
      <c r="Q1923" s="23"/>
      <c r="R1923" s="23"/>
      <c r="S1923" s="282"/>
      <c r="T1923" s="23"/>
      <c r="U1923" s="23"/>
      <c r="W1923" s="1"/>
      <c r="X1923" s="1"/>
      <c r="Y1923" s="1"/>
    </row>
    <row r="1924" spans="1:25" ht="15.75" thickBot="1">
      <c r="W1924" s="1"/>
      <c r="X1924" s="1"/>
      <c r="Y1924" s="1"/>
    </row>
    <row r="1925" spans="1:25" ht="15.75" thickBot="1">
      <c r="F1925" s="8"/>
      <c r="G1925" s="8"/>
      <c r="H1925" s="8"/>
      <c r="I1925" s="8"/>
      <c r="J1925" s="8"/>
      <c r="K1925" s="8"/>
      <c r="L1925" s="8"/>
      <c r="M1925" s="8"/>
      <c r="N1925" s="8"/>
      <c r="O1925" s="8"/>
      <c r="P1925" s="8"/>
      <c r="Q1925" s="8"/>
      <c r="R1925" s="8"/>
      <c r="S1925" s="290"/>
      <c r="T1925" s="8"/>
      <c r="U1925" s="8"/>
      <c r="W1925" s="1"/>
      <c r="X1925" s="1"/>
      <c r="Y1925" s="1"/>
    </row>
    <row r="1926" spans="1:25" ht="21.75" thickBot="1">
      <c r="F1926" s="13" t="s">
        <v>4</v>
      </c>
      <c r="G1926" s="13"/>
      <c r="H1926" s="185" t="s">
        <v>258</v>
      </c>
      <c r="I1926" s="183"/>
      <c r="W1926" s="1"/>
      <c r="X1926" s="1"/>
      <c r="Y1926" s="1"/>
    </row>
    <row r="1927" spans="1:25">
      <c r="W1927" s="1"/>
      <c r="X1927" s="1"/>
      <c r="Y1927" s="1"/>
    </row>
    <row r="1928" spans="1:25" ht="18.75">
      <c r="F1928" s="9" t="s">
        <v>21</v>
      </c>
      <c r="G1928" s="9"/>
      <c r="I1928" s="2">
        <v>2011</v>
      </c>
      <c r="J1928" s="2">
        <f>I1928+1</f>
        <v>2012</v>
      </c>
      <c r="K1928" s="2">
        <f t="shared" ref="K1928" si="837">J1928+1</f>
        <v>2013</v>
      </c>
      <c r="L1928" s="2">
        <f t="shared" ref="L1928" si="838">K1928+1</f>
        <v>2014</v>
      </c>
      <c r="M1928" s="2">
        <f t="shared" ref="M1928" si="839">L1928+1</f>
        <v>2015</v>
      </c>
      <c r="N1928" s="2">
        <f t="shared" ref="N1928" si="840">M1928+1</f>
        <v>2016</v>
      </c>
      <c r="O1928" s="2">
        <f t="shared" ref="O1928" si="841">N1928+1</f>
        <v>2017</v>
      </c>
      <c r="P1928" s="2">
        <f t="shared" ref="P1928" si="842">O1928+1</f>
        <v>2018</v>
      </c>
      <c r="Q1928" s="2">
        <f t="shared" ref="Q1928" si="843">P1928+1</f>
        <v>2019</v>
      </c>
      <c r="R1928" s="2">
        <f t="shared" ref="R1928" si="844">Q1928+1</f>
        <v>2020</v>
      </c>
      <c r="S1928" s="2">
        <f>R1928+1</f>
        <v>2021</v>
      </c>
      <c r="T1928" s="2">
        <f>S1928+1</f>
        <v>2022</v>
      </c>
      <c r="U1928" s="2">
        <f>T1928+1</f>
        <v>2023</v>
      </c>
      <c r="W1928" s="1"/>
      <c r="X1928" s="1"/>
      <c r="Y1928" s="1"/>
    </row>
    <row r="1929" spans="1:25">
      <c r="G1929" s="62" t="str">
        <f>"Total MWh Produced / Purchased from " &amp; H1926</f>
        <v xml:space="preserve">Total MWh Produced / Purchased from McFadden Ridge </v>
      </c>
      <c r="H1929" s="57"/>
      <c r="I1929" s="3"/>
      <c r="J1929" s="4"/>
      <c r="K1929" s="4"/>
      <c r="L1929" s="4"/>
      <c r="M1929" s="4"/>
      <c r="N1929" s="4"/>
      <c r="O1929" s="4"/>
      <c r="P1929" s="4"/>
      <c r="Q1929" s="4"/>
      <c r="R1929" s="4"/>
      <c r="S1929" s="4">
        <v>102523</v>
      </c>
      <c r="T1929" s="4">
        <v>115716</v>
      </c>
      <c r="U1929" s="5">
        <v>103546</v>
      </c>
      <c r="W1929" s="1"/>
      <c r="X1929" s="1"/>
      <c r="Y1929" s="1"/>
    </row>
    <row r="1930" spans="1:25">
      <c r="G1930" s="62" t="s">
        <v>25</v>
      </c>
      <c r="H1930" s="57"/>
      <c r="I1930" s="269"/>
      <c r="J1930" s="41"/>
      <c r="K1930" s="41"/>
      <c r="L1930" s="41"/>
      <c r="M1930" s="41"/>
      <c r="N1930" s="41"/>
      <c r="O1930" s="41"/>
      <c r="P1930" s="41"/>
      <c r="Q1930" s="41"/>
      <c r="R1930" s="41"/>
      <c r="S1930" s="309">
        <v>1</v>
      </c>
      <c r="T1930" s="41">
        <v>1</v>
      </c>
      <c r="U1930" s="41">
        <v>1</v>
      </c>
      <c r="W1930" s="1"/>
      <c r="X1930" s="1"/>
      <c r="Y1930" s="1"/>
    </row>
    <row r="1931" spans="1:25">
      <c r="G1931" s="62" t="s">
        <v>20</v>
      </c>
      <c r="H1931" s="57"/>
      <c r="I1931" s="270"/>
      <c r="J1931" s="36"/>
      <c r="K1931" s="36"/>
      <c r="L1931" s="36"/>
      <c r="M1931" s="36"/>
      <c r="N1931" s="36"/>
      <c r="O1931" s="36"/>
      <c r="P1931" s="36"/>
      <c r="Q1931" s="36"/>
      <c r="R1931" s="36"/>
      <c r="S1931" s="310">
        <f>S2</f>
        <v>7.9696892166366717E-2</v>
      </c>
      <c r="T1931" s="36">
        <f>T2</f>
        <v>7.8737918965874246E-2</v>
      </c>
      <c r="U1931" s="36">
        <f>U2</f>
        <v>7.8407467372863096E-2</v>
      </c>
      <c r="W1931" s="1"/>
      <c r="X1931" s="1"/>
      <c r="Y1931" s="1"/>
    </row>
    <row r="1932" spans="1:25">
      <c r="A1932" s="1" t="s">
        <v>223</v>
      </c>
      <c r="G1932" s="26" t="s">
        <v>22</v>
      </c>
      <c r="H1932" s="6"/>
      <c r="I1932" s="30">
        <v>0</v>
      </c>
      <c r="J1932" s="30">
        <v>0</v>
      </c>
      <c r="K1932" s="30">
        <v>0</v>
      </c>
      <c r="L1932" s="30">
        <v>0</v>
      </c>
      <c r="M1932" s="30">
        <v>0</v>
      </c>
      <c r="N1932" s="161">
        <v>0</v>
      </c>
      <c r="O1932" s="161">
        <v>0</v>
      </c>
      <c r="P1932" s="161">
        <v>0</v>
      </c>
      <c r="Q1932" s="161">
        <f>Q1929*Q1931</f>
        <v>0</v>
      </c>
      <c r="R1932" s="161">
        <f>R1929*R1931</f>
        <v>0</v>
      </c>
      <c r="S1932" s="161">
        <f>ROUNDDOWN(S1929*S1931,0)</f>
        <v>8170</v>
      </c>
      <c r="T1932" s="161">
        <f>T1929*T1931</f>
        <v>9111.237031055105</v>
      </c>
      <c r="U1932" s="161">
        <f>U1929*U1931</f>
        <v>8118.779616590482</v>
      </c>
      <c r="W1932" s="1"/>
      <c r="X1932" s="1"/>
      <c r="Y1932" s="1"/>
    </row>
    <row r="1933" spans="1:25">
      <c r="I1933" s="29"/>
      <c r="J1933" s="29"/>
      <c r="K1933" s="29"/>
      <c r="L1933" s="29"/>
      <c r="M1933" s="29"/>
      <c r="N1933" s="20"/>
      <c r="O1933" s="20"/>
      <c r="P1933" s="20"/>
      <c r="Q1933" s="20"/>
      <c r="R1933" s="20"/>
      <c r="S1933" s="292"/>
      <c r="T1933" s="20"/>
      <c r="U1933" s="20"/>
      <c r="W1933" s="1"/>
      <c r="X1933" s="1"/>
      <c r="Y1933" s="1"/>
    </row>
    <row r="1934" spans="1:25" ht="18.75">
      <c r="F1934" s="9" t="s">
        <v>118</v>
      </c>
      <c r="I1934" s="2">
        <v>2011</v>
      </c>
      <c r="J1934" s="2">
        <f>I1934+1</f>
        <v>2012</v>
      </c>
      <c r="K1934" s="2">
        <f t="shared" ref="K1934" si="845">J1934+1</f>
        <v>2013</v>
      </c>
      <c r="L1934" s="2">
        <f t="shared" ref="L1934" si="846">K1934+1</f>
        <v>2014</v>
      </c>
      <c r="M1934" s="2">
        <f t="shared" ref="M1934" si="847">L1934+1</f>
        <v>2015</v>
      </c>
      <c r="N1934" s="2">
        <f t="shared" ref="N1934" si="848">M1934+1</f>
        <v>2016</v>
      </c>
      <c r="O1934" s="2">
        <f t="shared" ref="O1934" si="849">N1934+1</f>
        <v>2017</v>
      </c>
      <c r="P1934" s="2">
        <f t="shared" ref="P1934" si="850">O1934+1</f>
        <v>2018</v>
      </c>
      <c r="Q1934" s="2">
        <f t="shared" ref="Q1934" si="851">P1934+1</f>
        <v>2019</v>
      </c>
      <c r="R1934" s="2">
        <f t="shared" ref="R1934" si="852">Q1934+1</f>
        <v>2020</v>
      </c>
      <c r="S1934" s="304">
        <f>R1934+1</f>
        <v>2021</v>
      </c>
      <c r="T1934" s="2">
        <f>S1934+1</f>
        <v>2022</v>
      </c>
      <c r="U1934" s="2">
        <f>T1934+1</f>
        <v>2023</v>
      </c>
      <c r="W1934" s="1"/>
      <c r="X1934" s="1"/>
      <c r="Y1934" s="1"/>
    </row>
    <row r="1935" spans="1:25">
      <c r="G1935" s="62" t="s">
        <v>10</v>
      </c>
      <c r="H1935" s="57"/>
      <c r="I1935" s="38">
        <f>IF($J43= "Eligible", I1932 * 'Facility Detail'!$G$3257, 0 )</f>
        <v>0</v>
      </c>
      <c r="J1935" s="11">
        <f>IF($J43= "Eligible", J1932 * 'Facility Detail'!$G$3257, 0 )</f>
        <v>0</v>
      </c>
      <c r="K1935" s="11">
        <f>IF($J43= "Eligible", K1932 * 'Facility Detail'!$G$3257, 0 )</f>
        <v>0</v>
      </c>
      <c r="L1935" s="11">
        <f>IF($J43= "Eligible", L1932 * 'Facility Detail'!$G$3257, 0 )</f>
        <v>0</v>
      </c>
      <c r="M1935" s="11">
        <f>IF($J43= "Eligible", M1932 * 'Facility Detail'!$G$3257, 0 )</f>
        <v>0</v>
      </c>
      <c r="N1935" s="11">
        <f>IF($J43= "Eligible", N1932 * 'Facility Detail'!$G$3257, 0 )</f>
        <v>0</v>
      </c>
      <c r="O1935" s="11">
        <f>IF($J43= "Eligible", O1932 * 'Facility Detail'!$G$3257, 0 )</f>
        <v>0</v>
      </c>
      <c r="P1935" s="11">
        <f>IF($J43= "Eligible", P1932 * 'Facility Detail'!$G$3257, 0 )</f>
        <v>0</v>
      </c>
      <c r="Q1935" s="11">
        <f>IF($J43= "Eligible", Q1932 * 'Facility Detail'!$G$3257, 0 )</f>
        <v>0</v>
      </c>
      <c r="R1935" s="11">
        <f>IF($J43= "Eligible", R1932 * 'Facility Detail'!$G$3257, 0 )</f>
        <v>0</v>
      </c>
      <c r="S1935" s="313">
        <f>IF($J43= "Eligible", S1932 * 'Facility Detail'!$G$3257, 0 )</f>
        <v>0</v>
      </c>
      <c r="T1935" s="11">
        <f>IF($J43= "Eligible", T1932 * 'Facility Detail'!$G$3257, 0 )</f>
        <v>0</v>
      </c>
      <c r="U1935" s="223">
        <f>IF($J43= "Eligible", U1932 * 'Facility Detail'!$G$3257, 0 )</f>
        <v>0</v>
      </c>
      <c r="W1935" s="1"/>
      <c r="X1935" s="1"/>
      <c r="Y1935" s="1"/>
    </row>
    <row r="1936" spans="1:25">
      <c r="G1936" s="62" t="s">
        <v>6</v>
      </c>
      <c r="H1936" s="57"/>
      <c r="I1936" s="39">
        <f t="shared" ref="I1936:U1936" si="853">IF($K43= "Eligible", I1932, 0 )</f>
        <v>0</v>
      </c>
      <c r="J1936" s="193">
        <f t="shared" si="853"/>
        <v>0</v>
      </c>
      <c r="K1936" s="193">
        <f t="shared" si="853"/>
        <v>0</v>
      </c>
      <c r="L1936" s="193">
        <f t="shared" si="853"/>
        <v>0</v>
      </c>
      <c r="M1936" s="193">
        <f t="shared" si="853"/>
        <v>0</v>
      </c>
      <c r="N1936" s="193">
        <f t="shared" si="853"/>
        <v>0</v>
      </c>
      <c r="O1936" s="193">
        <f t="shared" si="853"/>
        <v>0</v>
      </c>
      <c r="P1936" s="193">
        <f t="shared" si="853"/>
        <v>0</v>
      </c>
      <c r="Q1936" s="193">
        <f t="shared" si="853"/>
        <v>0</v>
      </c>
      <c r="R1936" s="193">
        <f t="shared" si="853"/>
        <v>0</v>
      </c>
      <c r="S1936" s="314">
        <f t="shared" si="853"/>
        <v>0</v>
      </c>
      <c r="T1936" s="193">
        <f t="shared" si="853"/>
        <v>0</v>
      </c>
      <c r="U1936" s="224">
        <f t="shared" si="853"/>
        <v>0</v>
      </c>
      <c r="W1936" s="1"/>
      <c r="X1936" s="1"/>
      <c r="Y1936" s="1"/>
    </row>
    <row r="1937" spans="6:25">
      <c r="G1937" s="26" t="s">
        <v>120</v>
      </c>
      <c r="H1937" s="6"/>
      <c r="I1937" s="32">
        <f>SUM(I1935:I1936)</f>
        <v>0</v>
      </c>
      <c r="J1937" s="33">
        <f t="shared" ref="J1937:S1937" si="854">SUM(J1935:J1936)</f>
        <v>0</v>
      </c>
      <c r="K1937" s="33">
        <f t="shared" si="854"/>
        <v>0</v>
      </c>
      <c r="L1937" s="33">
        <f t="shared" si="854"/>
        <v>0</v>
      </c>
      <c r="M1937" s="33">
        <f t="shared" si="854"/>
        <v>0</v>
      </c>
      <c r="N1937" s="33">
        <f t="shared" si="854"/>
        <v>0</v>
      </c>
      <c r="O1937" s="33">
        <f t="shared" si="854"/>
        <v>0</v>
      </c>
      <c r="P1937" s="33">
        <f t="shared" si="854"/>
        <v>0</v>
      </c>
      <c r="Q1937" s="33">
        <f t="shared" si="854"/>
        <v>0</v>
      </c>
      <c r="R1937" s="33">
        <f t="shared" si="854"/>
        <v>0</v>
      </c>
      <c r="S1937" s="315">
        <f t="shared" si="854"/>
        <v>0</v>
      </c>
      <c r="T1937" s="33">
        <f t="shared" ref="T1937:U1937" si="855">SUM(T1935:T1936)</f>
        <v>0</v>
      </c>
      <c r="U1937" s="33">
        <f t="shared" si="855"/>
        <v>0</v>
      </c>
      <c r="W1937" s="1"/>
      <c r="X1937" s="1"/>
      <c r="Y1937" s="1"/>
    </row>
    <row r="1938" spans="6:25">
      <c r="I1938" s="31"/>
      <c r="J1938" s="24"/>
      <c r="K1938" s="24"/>
      <c r="L1938" s="24"/>
      <c r="M1938" s="24"/>
      <c r="N1938" s="24"/>
      <c r="O1938" s="24"/>
      <c r="P1938" s="24"/>
      <c r="Q1938" s="24"/>
      <c r="R1938" s="24"/>
      <c r="S1938" s="316"/>
      <c r="T1938" s="24"/>
      <c r="U1938" s="24"/>
      <c r="W1938" s="1"/>
      <c r="X1938" s="1"/>
      <c r="Y1938" s="1"/>
    </row>
    <row r="1939" spans="6:25" ht="18.75">
      <c r="F1939" s="9" t="s">
        <v>30</v>
      </c>
      <c r="I1939" s="2">
        <v>2011</v>
      </c>
      <c r="J1939" s="2">
        <f>I1939+1</f>
        <v>2012</v>
      </c>
      <c r="K1939" s="2">
        <f t="shared" ref="K1939" si="856">J1939+1</f>
        <v>2013</v>
      </c>
      <c r="L1939" s="2">
        <f t="shared" ref="L1939" si="857">K1939+1</f>
        <v>2014</v>
      </c>
      <c r="M1939" s="2">
        <f t="shared" ref="M1939" si="858">L1939+1</f>
        <v>2015</v>
      </c>
      <c r="N1939" s="2">
        <f t="shared" ref="N1939" si="859">M1939+1</f>
        <v>2016</v>
      </c>
      <c r="O1939" s="2">
        <f t="shared" ref="O1939" si="860">N1939+1</f>
        <v>2017</v>
      </c>
      <c r="P1939" s="2">
        <f t="shared" ref="P1939" si="861">O1939+1</f>
        <v>2018</v>
      </c>
      <c r="Q1939" s="2">
        <f t="shared" ref="Q1939" si="862">P1939+1</f>
        <v>2019</v>
      </c>
      <c r="R1939" s="2">
        <f t="shared" ref="R1939" si="863">Q1939+1</f>
        <v>2020</v>
      </c>
      <c r="S1939" s="304">
        <f>R1939+1</f>
        <v>2021</v>
      </c>
      <c r="T1939" s="2">
        <f>S1939+1</f>
        <v>2022</v>
      </c>
      <c r="U1939" s="2">
        <f>T1939+1</f>
        <v>2023</v>
      </c>
      <c r="W1939" s="1"/>
      <c r="X1939" s="1"/>
      <c r="Y1939" s="1"/>
    </row>
    <row r="1940" spans="6:25">
      <c r="G1940" s="62" t="s">
        <v>47</v>
      </c>
      <c r="H1940" s="57"/>
      <c r="I1940" s="71"/>
      <c r="J1940" s="72"/>
      <c r="K1940" s="72"/>
      <c r="L1940" s="72"/>
      <c r="M1940" s="72"/>
      <c r="N1940" s="72"/>
      <c r="O1940" s="72"/>
      <c r="P1940" s="72"/>
      <c r="Q1940" s="72"/>
      <c r="R1940" s="72"/>
      <c r="S1940" s="317"/>
      <c r="T1940" s="72"/>
      <c r="U1940" s="73"/>
      <c r="W1940" s="1"/>
      <c r="X1940" s="1"/>
      <c r="Y1940" s="1"/>
    </row>
    <row r="1941" spans="6:25">
      <c r="G1941" s="63" t="s">
        <v>23</v>
      </c>
      <c r="H1941" s="135"/>
      <c r="I1941" s="74"/>
      <c r="J1941" s="75"/>
      <c r="K1941" s="75"/>
      <c r="L1941" s="75"/>
      <c r="M1941" s="75"/>
      <c r="N1941" s="75"/>
      <c r="O1941" s="75"/>
      <c r="P1941" s="75"/>
      <c r="Q1941" s="75"/>
      <c r="R1941" s="75"/>
      <c r="S1941" s="318"/>
      <c r="T1941" s="75"/>
      <c r="U1941" s="76"/>
      <c r="W1941" s="1"/>
      <c r="X1941" s="1"/>
      <c r="Y1941" s="1"/>
    </row>
    <row r="1942" spans="6:25">
      <c r="G1942" s="63" t="s">
        <v>89</v>
      </c>
      <c r="H1942" s="134"/>
      <c r="I1942" s="43"/>
      <c r="J1942" s="44"/>
      <c r="K1942" s="44"/>
      <c r="L1942" s="44"/>
      <c r="M1942" s="44"/>
      <c r="N1942" s="44"/>
      <c r="O1942" s="44"/>
      <c r="P1942" s="44"/>
      <c r="Q1942" s="44"/>
      <c r="R1942" s="44"/>
      <c r="S1942" s="319"/>
      <c r="T1942" s="44"/>
      <c r="U1942" s="45"/>
      <c r="W1942" s="1"/>
      <c r="X1942" s="1"/>
      <c r="Y1942" s="1"/>
    </row>
    <row r="1943" spans="6:25">
      <c r="G1943" s="26" t="s">
        <v>90</v>
      </c>
      <c r="I1943" s="7">
        <v>0</v>
      </c>
      <c r="J1943" s="7">
        <v>0</v>
      </c>
      <c r="K1943" s="7">
        <v>0</v>
      </c>
      <c r="L1943" s="7">
        <v>0</v>
      </c>
      <c r="M1943" s="7">
        <v>0</v>
      </c>
      <c r="N1943" s="7">
        <v>0</v>
      </c>
      <c r="O1943" s="7">
        <v>0</v>
      </c>
      <c r="P1943" s="7">
        <v>0</v>
      </c>
      <c r="Q1943" s="7">
        <v>0</v>
      </c>
      <c r="R1943" s="7">
        <v>0</v>
      </c>
      <c r="S1943" s="320">
        <v>0</v>
      </c>
      <c r="T1943" s="7">
        <v>0</v>
      </c>
      <c r="U1943" s="7">
        <v>0</v>
      </c>
      <c r="W1943" s="1"/>
      <c r="X1943" s="1"/>
      <c r="Y1943" s="1"/>
    </row>
    <row r="1944" spans="6:25">
      <c r="G1944" s="6"/>
      <c r="I1944" s="7"/>
      <c r="J1944" s="7"/>
      <c r="K1944" s="7"/>
      <c r="L1944" s="23"/>
      <c r="M1944" s="23"/>
      <c r="N1944" s="23"/>
      <c r="O1944" s="23"/>
      <c r="P1944" s="23"/>
      <c r="Q1944" s="23"/>
      <c r="R1944" s="23"/>
      <c r="S1944" s="282"/>
      <c r="T1944" s="23"/>
      <c r="U1944" s="23"/>
      <c r="W1944" s="1"/>
      <c r="X1944" s="1"/>
      <c r="Y1944" s="1"/>
    </row>
    <row r="1945" spans="6:25" ht="18.75">
      <c r="F1945" s="9" t="s">
        <v>100</v>
      </c>
      <c r="I1945" s="2">
        <f>'Facility Detail'!$G$3260</f>
        <v>2011</v>
      </c>
      <c r="J1945" s="2">
        <f>I1945+1</f>
        <v>2012</v>
      </c>
      <c r="K1945" s="2">
        <f t="shared" ref="K1945" si="864">J1945+1</f>
        <v>2013</v>
      </c>
      <c r="L1945" s="2">
        <f t="shared" ref="L1945" si="865">K1945+1</f>
        <v>2014</v>
      </c>
      <c r="M1945" s="2">
        <f t="shared" ref="M1945" si="866">L1945+1</f>
        <v>2015</v>
      </c>
      <c r="N1945" s="2">
        <f t="shared" ref="N1945" si="867">M1945+1</f>
        <v>2016</v>
      </c>
      <c r="O1945" s="2">
        <f t="shared" ref="O1945" si="868">N1945+1</f>
        <v>2017</v>
      </c>
      <c r="P1945" s="2">
        <f t="shared" ref="P1945" si="869">O1945+1</f>
        <v>2018</v>
      </c>
      <c r="Q1945" s="2">
        <f t="shared" ref="Q1945" si="870">P1945+1</f>
        <v>2019</v>
      </c>
      <c r="R1945" s="2">
        <f t="shared" ref="R1945" si="871">Q1945+1</f>
        <v>2020</v>
      </c>
      <c r="S1945" s="2">
        <f>R1945+1</f>
        <v>2021</v>
      </c>
      <c r="T1945" s="2">
        <f>S1945+1</f>
        <v>2022</v>
      </c>
      <c r="U1945" s="2">
        <f>T1945+1</f>
        <v>2023</v>
      </c>
      <c r="W1945" s="1"/>
      <c r="X1945" s="1"/>
      <c r="Y1945" s="1"/>
    </row>
    <row r="1946" spans="6:25">
      <c r="G1946" s="62" t="s">
        <v>68</v>
      </c>
      <c r="H1946" s="57"/>
      <c r="I1946" s="3"/>
      <c r="J1946" s="46">
        <f>I1946</f>
        <v>0</v>
      </c>
      <c r="K1946" s="106"/>
      <c r="L1946" s="106"/>
      <c r="M1946" s="106"/>
      <c r="N1946" s="106"/>
      <c r="O1946" s="106"/>
      <c r="P1946" s="106"/>
      <c r="Q1946" s="106"/>
      <c r="R1946" s="106"/>
      <c r="S1946" s="106"/>
      <c r="T1946" s="217"/>
      <c r="U1946" s="47"/>
      <c r="W1946" s="1"/>
      <c r="X1946" s="1"/>
      <c r="Y1946" s="1"/>
    </row>
    <row r="1947" spans="6:25">
      <c r="G1947" s="62" t="s">
        <v>69</v>
      </c>
      <c r="H1947" s="57"/>
      <c r="I1947" s="127">
        <f>J1947</f>
        <v>0</v>
      </c>
      <c r="J1947" s="10"/>
      <c r="K1947" s="60"/>
      <c r="L1947" s="60"/>
      <c r="M1947" s="60"/>
      <c r="N1947" s="60"/>
      <c r="O1947" s="60"/>
      <c r="P1947" s="60"/>
      <c r="Q1947" s="60"/>
      <c r="R1947" s="60"/>
      <c r="S1947" s="60"/>
      <c r="T1947" s="218"/>
      <c r="U1947" s="128"/>
      <c r="W1947" s="1"/>
      <c r="X1947" s="1"/>
      <c r="Y1947" s="1"/>
    </row>
    <row r="1948" spans="6:25">
      <c r="G1948" s="62" t="s">
        <v>70</v>
      </c>
      <c r="H1948" s="57"/>
      <c r="I1948" s="48"/>
      <c r="J1948" s="10">
        <f>J1932</f>
        <v>0</v>
      </c>
      <c r="K1948" s="56">
        <f>J1948</f>
        <v>0</v>
      </c>
      <c r="L1948" s="60"/>
      <c r="M1948" s="60"/>
      <c r="N1948" s="60"/>
      <c r="O1948" s="60"/>
      <c r="P1948" s="60"/>
      <c r="Q1948" s="60"/>
      <c r="R1948" s="60"/>
      <c r="S1948" s="60"/>
      <c r="T1948" s="218"/>
      <c r="U1948" s="128"/>
      <c r="W1948" s="1"/>
      <c r="X1948" s="1"/>
      <c r="Y1948" s="1"/>
    </row>
    <row r="1949" spans="6:25">
      <c r="G1949" s="62" t="s">
        <v>71</v>
      </c>
      <c r="H1949" s="57"/>
      <c r="I1949" s="48"/>
      <c r="J1949" s="56">
        <f>K1949</f>
        <v>0</v>
      </c>
      <c r="K1949" s="10"/>
      <c r="L1949" s="60"/>
      <c r="M1949" s="60"/>
      <c r="N1949" s="60"/>
      <c r="O1949" s="60"/>
      <c r="P1949" s="60"/>
      <c r="Q1949" s="60"/>
      <c r="R1949" s="60"/>
      <c r="S1949" s="60"/>
      <c r="T1949" s="218"/>
      <c r="U1949" s="128"/>
      <c r="W1949" s="1"/>
      <c r="X1949" s="1"/>
      <c r="Y1949" s="1"/>
    </row>
    <row r="1950" spans="6:25">
      <c r="G1950" s="62" t="s">
        <v>170</v>
      </c>
      <c r="I1950" s="48"/>
      <c r="J1950" s="118"/>
      <c r="K1950" s="10">
        <f>K1932</f>
        <v>0</v>
      </c>
      <c r="L1950" s="119">
        <f>K1950</f>
        <v>0</v>
      </c>
      <c r="M1950" s="60"/>
      <c r="N1950" s="60"/>
      <c r="O1950" s="60"/>
      <c r="P1950" s="60"/>
      <c r="Q1950" s="60"/>
      <c r="R1950" s="60"/>
      <c r="S1950" s="60"/>
      <c r="T1950" s="146"/>
      <c r="U1950" s="122"/>
      <c r="W1950" s="1"/>
      <c r="X1950" s="1"/>
      <c r="Y1950" s="1"/>
    </row>
    <row r="1951" spans="6:25">
      <c r="G1951" s="62" t="s">
        <v>171</v>
      </c>
      <c r="I1951" s="48"/>
      <c r="J1951" s="118"/>
      <c r="K1951" s="56">
        <f>L1951</f>
        <v>0</v>
      </c>
      <c r="L1951" s="10"/>
      <c r="M1951" s="60"/>
      <c r="N1951" s="60"/>
      <c r="O1951" s="60"/>
      <c r="P1951" s="60"/>
      <c r="Q1951" s="60"/>
      <c r="R1951" s="60"/>
      <c r="S1951" s="60"/>
      <c r="T1951" s="146"/>
      <c r="U1951" s="122"/>
      <c r="W1951" s="1"/>
      <c r="X1951" s="1"/>
      <c r="Y1951" s="1"/>
    </row>
    <row r="1952" spans="6:25">
      <c r="G1952" s="62" t="s">
        <v>172</v>
      </c>
      <c r="I1952" s="48"/>
      <c r="J1952" s="118"/>
      <c r="K1952" s="118"/>
      <c r="L1952" s="10">
        <f>L1932</f>
        <v>0</v>
      </c>
      <c r="M1952" s="119">
        <f>L1952</f>
        <v>0</v>
      </c>
      <c r="N1952" s="118"/>
      <c r="O1952" s="60"/>
      <c r="P1952" s="60"/>
      <c r="Q1952" s="60"/>
      <c r="R1952" s="60"/>
      <c r="S1952" s="60"/>
      <c r="T1952" s="146"/>
      <c r="U1952" s="122"/>
      <c r="W1952" s="1"/>
      <c r="X1952" s="1"/>
      <c r="Y1952" s="1"/>
    </row>
    <row r="1953" spans="7:25">
      <c r="G1953" s="62" t="s">
        <v>173</v>
      </c>
      <c r="I1953" s="48"/>
      <c r="J1953" s="118"/>
      <c r="K1953" s="118"/>
      <c r="L1953" s="56"/>
      <c r="M1953" s="10"/>
      <c r="N1953" s="118"/>
      <c r="O1953" s="60"/>
      <c r="P1953" s="60"/>
      <c r="Q1953" s="60"/>
      <c r="R1953" s="60"/>
      <c r="S1953" s="60"/>
      <c r="T1953" s="146"/>
      <c r="U1953" s="122"/>
      <c r="W1953" s="1"/>
      <c r="X1953" s="1"/>
      <c r="Y1953" s="1"/>
    </row>
    <row r="1954" spans="7:25">
      <c r="G1954" s="62" t="s">
        <v>174</v>
      </c>
      <c r="I1954" s="48"/>
      <c r="J1954" s="118"/>
      <c r="K1954" s="118"/>
      <c r="L1954" s="118"/>
      <c r="M1954" s="10">
        <v>0</v>
      </c>
      <c r="N1954" s="119">
        <f>M1954</f>
        <v>0</v>
      </c>
      <c r="O1954" s="60"/>
      <c r="P1954" s="60"/>
      <c r="Q1954" s="60"/>
      <c r="R1954" s="60"/>
      <c r="S1954" s="60"/>
      <c r="T1954" s="146"/>
      <c r="U1954" s="122"/>
      <c r="W1954" s="1"/>
      <c r="X1954" s="1"/>
      <c r="Y1954" s="1"/>
    </row>
    <row r="1955" spans="7:25">
      <c r="G1955" s="62" t="s">
        <v>175</v>
      </c>
      <c r="I1955" s="48"/>
      <c r="J1955" s="118"/>
      <c r="K1955" s="118"/>
      <c r="L1955" s="118"/>
      <c r="M1955" s="56"/>
      <c r="N1955" s="10"/>
      <c r="O1955" s="60"/>
      <c r="P1955" s="60"/>
      <c r="Q1955" s="60"/>
      <c r="R1955" s="60"/>
      <c r="S1955" s="60"/>
      <c r="T1955" s="146"/>
      <c r="U1955" s="122"/>
      <c r="W1955" s="1"/>
      <c r="X1955" s="1"/>
      <c r="Y1955" s="1"/>
    </row>
    <row r="1956" spans="7:25">
      <c r="G1956" s="62" t="s">
        <v>176</v>
      </c>
      <c r="I1956" s="48"/>
      <c r="J1956" s="118"/>
      <c r="K1956" s="118"/>
      <c r="L1956" s="118"/>
      <c r="M1956" s="118"/>
      <c r="N1956" s="149">
        <f>N1932</f>
        <v>0</v>
      </c>
      <c r="O1956" s="120">
        <f>N1956</f>
        <v>0</v>
      </c>
      <c r="P1956" s="60"/>
      <c r="Q1956" s="60"/>
      <c r="R1956" s="60"/>
      <c r="S1956" s="60"/>
      <c r="T1956" s="146"/>
      <c r="U1956" s="122"/>
      <c r="W1956" s="1"/>
      <c r="X1956" s="1"/>
      <c r="Y1956" s="1"/>
    </row>
    <row r="1957" spans="7:25">
      <c r="G1957" s="62" t="s">
        <v>167</v>
      </c>
      <c r="I1957" s="48"/>
      <c r="J1957" s="118"/>
      <c r="K1957" s="118"/>
      <c r="L1957" s="118"/>
      <c r="M1957" s="118"/>
      <c r="N1957" s="150"/>
      <c r="O1957" s="121"/>
      <c r="P1957" s="60"/>
      <c r="Q1957" s="60"/>
      <c r="R1957" s="60"/>
      <c r="S1957" s="60"/>
      <c r="T1957" s="146"/>
      <c r="U1957" s="122"/>
      <c r="W1957" s="1"/>
      <c r="X1957" s="1"/>
      <c r="Y1957" s="1"/>
    </row>
    <row r="1958" spans="7:25">
      <c r="G1958" s="62" t="s">
        <v>168</v>
      </c>
      <c r="I1958" s="48"/>
      <c r="J1958" s="118"/>
      <c r="K1958" s="118"/>
      <c r="L1958" s="118"/>
      <c r="M1958" s="118"/>
      <c r="N1958" s="118"/>
      <c r="O1958" s="121">
        <f>O1932</f>
        <v>0</v>
      </c>
      <c r="P1958" s="120">
        <f>O1958</f>
        <v>0</v>
      </c>
      <c r="Q1958" s="60"/>
      <c r="R1958" s="60"/>
      <c r="S1958" s="60"/>
      <c r="T1958" s="146"/>
      <c r="U1958" s="122"/>
      <c r="W1958" s="1"/>
      <c r="X1958" s="1"/>
      <c r="Y1958" s="1"/>
    </row>
    <row r="1959" spans="7:25">
      <c r="G1959" s="62" t="s">
        <v>185</v>
      </c>
      <c r="I1959" s="48"/>
      <c r="J1959" s="118"/>
      <c r="K1959" s="118"/>
      <c r="L1959" s="118"/>
      <c r="M1959" s="118"/>
      <c r="N1959" s="118"/>
      <c r="O1959" s="120"/>
      <c r="P1959" s="121"/>
      <c r="Q1959" s="60"/>
      <c r="R1959" s="60"/>
      <c r="S1959" s="60"/>
      <c r="T1959" s="146"/>
      <c r="U1959" s="122"/>
      <c r="W1959" s="1"/>
      <c r="X1959" s="1"/>
      <c r="Y1959" s="1"/>
    </row>
    <row r="1960" spans="7:25">
      <c r="G1960" s="62" t="s">
        <v>186</v>
      </c>
      <c r="I1960" s="48"/>
      <c r="J1960" s="118"/>
      <c r="K1960" s="118"/>
      <c r="L1960" s="118"/>
      <c r="M1960" s="118"/>
      <c r="N1960" s="118"/>
      <c r="O1960" s="118"/>
      <c r="P1960" s="121"/>
      <c r="Q1960" s="56">
        <f>P1960</f>
        <v>0</v>
      </c>
      <c r="R1960" s="60"/>
      <c r="S1960" s="60"/>
      <c r="T1960" s="146"/>
      <c r="U1960" s="122"/>
      <c r="W1960" s="1"/>
      <c r="X1960" s="1"/>
      <c r="Y1960" s="1"/>
    </row>
    <row r="1961" spans="7:25">
      <c r="G1961" s="62" t="s">
        <v>187</v>
      </c>
      <c r="I1961" s="48"/>
      <c r="J1961" s="118"/>
      <c r="K1961" s="118"/>
      <c r="L1961" s="118"/>
      <c r="M1961" s="118"/>
      <c r="N1961" s="118"/>
      <c r="O1961" s="118"/>
      <c r="P1961" s="120"/>
      <c r="Q1961" s="306"/>
      <c r="R1961" s="60"/>
      <c r="S1961" s="60"/>
      <c r="T1961" s="146"/>
      <c r="U1961" s="122"/>
      <c r="W1961" s="1"/>
      <c r="X1961" s="1"/>
      <c r="Y1961" s="1"/>
    </row>
    <row r="1962" spans="7:25">
      <c r="G1962" s="62" t="s">
        <v>188</v>
      </c>
      <c r="I1962" s="48"/>
      <c r="J1962" s="118"/>
      <c r="K1962" s="118"/>
      <c r="L1962" s="118"/>
      <c r="M1962" s="118"/>
      <c r="N1962" s="118"/>
      <c r="O1962" s="118"/>
      <c r="P1962" s="118"/>
      <c r="Q1962" s="121"/>
      <c r="R1962" s="151">
        <f>Q1962</f>
        <v>0</v>
      </c>
      <c r="S1962" s="60"/>
      <c r="T1962" s="146"/>
      <c r="U1962" s="122"/>
      <c r="W1962" s="1"/>
      <c r="X1962" s="1"/>
      <c r="Y1962" s="1"/>
    </row>
    <row r="1963" spans="7:25">
      <c r="G1963" s="62" t="s">
        <v>189</v>
      </c>
      <c r="I1963" s="48"/>
      <c r="J1963" s="118"/>
      <c r="K1963" s="118"/>
      <c r="L1963" s="118"/>
      <c r="M1963" s="118"/>
      <c r="N1963" s="118"/>
      <c r="O1963" s="118"/>
      <c r="P1963" s="118"/>
      <c r="Q1963" s="151">
        <f>R1932</f>
        <v>0</v>
      </c>
      <c r="R1963" s="173">
        <f>Q1963</f>
        <v>0</v>
      </c>
      <c r="S1963" s="60"/>
      <c r="T1963" s="146"/>
      <c r="U1963" s="122"/>
      <c r="W1963" s="1"/>
      <c r="X1963" s="1"/>
      <c r="Y1963" s="1"/>
    </row>
    <row r="1964" spans="7:25">
      <c r="G1964" s="62" t="s">
        <v>190</v>
      </c>
      <c r="I1964" s="48"/>
      <c r="J1964" s="118"/>
      <c r="K1964" s="118"/>
      <c r="L1964" s="118"/>
      <c r="M1964" s="118"/>
      <c r="N1964" s="118"/>
      <c r="O1964" s="118"/>
      <c r="P1964" s="118"/>
      <c r="Q1964" s="118"/>
      <c r="R1964" s="173"/>
      <c r="S1964" s="151">
        <f>R1964</f>
        <v>0</v>
      </c>
      <c r="T1964" s="146"/>
      <c r="U1964" s="122"/>
      <c r="W1964" s="1"/>
      <c r="X1964" s="1"/>
      <c r="Y1964" s="1"/>
    </row>
    <row r="1965" spans="7:25">
      <c r="G1965" s="62" t="s">
        <v>199</v>
      </c>
      <c r="I1965" s="48"/>
      <c r="J1965" s="118"/>
      <c r="K1965" s="118"/>
      <c r="L1965" s="118"/>
      <c r="M1965" s="118"/>
      <c r="N1965" s="118"/>
      <c r="O1965" s="118"/>
      <c r="P1965" s="118"/>
      <c r="Q1965" s="118"/>
      <c r="R1965" s="120"/>
      <c r="S1965" s="173">
        <v>0</v>
      </c>
      <c r="T1965" s="146"/>
      <c r="U1965" s="122"/>
      <c r="W1965" s="1"/>
      <c r="X1965" s="1"/>
      <c r="Y1965" s="1"/>
    </row>
    <row r="1966" spans="7:25">
      <c r="G1966" s="62" t="s">
        <v>200</v>
      </c>
      <c r="I1966" s="48"/>
      <c r="J1966" s="118"/>
      <c r="K1966" s="118"/>
      <c r="L1966" s="118"/>
      <c r="M1966" s="118"/>
      <c r="N1966" s="118"/>
      <c r="O1966" s="118"/>
      <c r="P1966" s="118"/>
      <c r="Q1966" s="118"/>
      <c r="R1966" s="118"/>
      <c r="S1966" s="173">
        <v>0</v>
      </c>
      <c r="T1966" s="151">
        <f>S1966</f>
        <v>0</v>
      </c>
      <c r="U1966" s="122"/>
      <c r="W1966" s="1"/>
      <c r="X1966" s="1"/>
      <c r="Y1966" s="1"/>
    </row>
    <row r="1967" spans="7:25">
      <c r="G1967" s="62" t="s">
        <v>308</v>
      </c>
      <c r="I1967" s="48"/>
      <c r="J1967" s="118"/>
      <c r="K1967" s="118"/>
      <c r="L1967" s="118"/>
      <c r="M1967" s="118"/>
      <c r="N1967" s="118"/>
      <c r="O1967" s="118"/>
      <c r="P1967" s="118"/>
      <c r="Q1967" s="118"/>
      <c r="R1967" s="118"/>
      <c r="S1967" s="120">
        <f>T1967</f>
        <v>0</v>
      </c>
      <c r="T1967" s="173">
        <v>0</v>
      </c>
      <c r="U1967" s="122"/>
      <c r="W1967" s="1"/>
      <c r="X1967" s="1"/>
      <c r="Y1967" s="1"/>
    </row>
    <row r="1968" spans="7:25">
      <c r="G1968" s="62" t="s">
        <v>307</v>
      </c>
      <c r="I1968" s="114"/>
      <c r="J1968" s="107"/>
      <c r="K1968" s="107"/>
      <c r="L1968" s="107"/>
      <c r="M1968" s="107"/>
      <c r="N1968" s="107"/>
      <c r="O1968" s="107"/>
      <c r="P1968" s="107"/>
      <c r="Q1968" s="107"/>
      <c r="R1968" s="107"/>
      <c r="S1968" s="107"/>
      <c r="T1968" s="173">
        <v>0</v>
      </c>
      <c r="U1968" s="456">
        <f>T1968</f>
        <v>0</v>
      </c>
      <c r="W1968" s="1"/>
      <c r="X1968" s="1"/>
      <c r="Y1968" s="1"/>
    </row>
    <row r="1969" spans="2:25">
      <c r="G1969" s="62" t="s">
        <v>318</v>
      </c>
      <c r="I1969" s="114"/>
      <c r="J1969" s="107"/>
      <c r="K1969" s="107"/>
      <c r="L1969" s="107"/>
      <c r="M1969" s="107"/>
      <c r="N1969" s="107"/>
      <c r="O1969" s="107"/>
      <c r="P1969" s="107"/>
      <c r="Q1969" s="107"/>
      <c r="R1969" s="107"/>
      <c r="S1969" s="107"/>
      <c r="T1969" s="120">
        <f>U1969</f>
        <v>0</v>
      </c>
      <c r="U1969" s="457">
        <v>0</v>
      </c>
      <c r="W1969" s="1"/>
      <c r="X1969" s="1"/>
      <c r="Y1969" s="1"/>
    </row>
    <row r="1970" spans="2:25">
      <c r="G1970" s="62" t="s">
        <v>319</v>
      </c>
      <c r="I1970" s="49"/>
      <c r="J1970" s="194"/>
      <c r="K1970" s="194"/>
      <c r="L1970" s="194"/>
      <c r="M1970" s="194"/>
      <c r="N1970" s="194"/>
      <c r="O1970" s="194"/>
      <c r="P1970" s="194"/>
      <c r="Q1970" s="194"/>
      <c r="R1970" s="194"/>
      <c r="S1970" s="194"/>
      <c r="T1970" s="194"/>
      <c r="U1970" s="458">
        <v>0</v>
      </c>
      <c r="W1970" s="1"/>
      <c r="X1970" s="1"/>
      <c r="Y1970" s="1"/>
    </row>
    <row r="1971" spans="2:25">
      <c r="B1971" s="1" t="s">
        <v>223</v>
      </c>
      <c r="G1971" s="26" t="s">
        <v>17</v>
      </c>
      <c r="I1971" s="7">
        <f xml:space="preserve"> I1952 - I1951</f>
        <v>0</v>
      </c>
      <c r="J1971" s="7">
        <f xml:space="preserve"> J1951 + J1954 - J1953 - J1952</f>
        <v>0</v>
      </c>
      <c r="K1971" s="7">
        <f>K1953 - K1954</f>
        <v>0</v>
      </c>
      <c r="L1971" s="7">
        <f>L1953 - L1954</f>
        <v>0</v>
      </c>
      <c r="M1971" s="7">
        <f>M1952-M1953-M1954</f>
        <v>0</v>
      </c>
      <c r="N1971" s="7">
        <f>N1954-N1955-N1956</f>
        <v>0</v>
      </c>
      <c r="O1971" s="7">
        <f>O1956-O1957-O1958</f>
        <v>0</v>
      </c>
      <c r="P1971" s="154">
        <f>P1958-P1959-P1960</f>
        <v>0</v>
      </c>
      <c r="Q1971" s="154">
        <f>Q1960+Q1963-Q1962-Q1961</f>
        <v>0</v>
      </c>
      <c r="R1971" s="154">
        <f>R1962-R1963+R1965</f>
        <v>0</v>
      </c>
      <c r="S1971" s="7">
        <f>S1964-S1965+S1966-S1967</f>
        <v>0</v>
      </c>
      <c r="T1971" s="7">
        <f>T1966-T1967-T1968+T1969</f>
        <v>0</v>
      </c>
      <c r="U1971" s="7">
        <f>U1968-U1969-U1970</f>
        <v>0</v>
      </c>
      <c r="W1971" s="1"/>
      <c r="X1971" s="1"/>
      <c r="Y1971" s="1"/>
    </row>
    <row r="1972" spans="2:25">
      <c r="G1972" s="6"/>
      <c r="I1972" s="154"/>
      <c r="J1972" s="154"/>
      <c r="K1972" s="154"/>
      <c r="L1972" s="154"/>
      <c r="M1972" s="154"/>
      <c r="N1972" s="154"/>
      <c r="O1972" s="154"/>
      <c r="P1972" s="154"/>
      <c r="Q1972" s="154"/>
      <c r="R1972" s="154"/>
      <c r="S1972" s="297"/>
      <c r="T1972" s="154"/>
      <c r="U1972" s="154"/>
      <c r="W1972" s="1"/>
      <c r="X1972" s="1"/>
      <c r="Y1972" s="1"/>
    </row>
    <row r="1973" spans="2:25">
      <c r="G1973" s="26" t="s">
        <v>12</v>
      </c>
      <c r="H1973" s="57"/>
      <c r="I1973" s="155"/>
      <c r="J1973" s="156"/>
      <c r="K1973" s="156"/>
      <c r="L1973" s="156"/>
      <c r="M1973" s="156"/>
      <c r="N1973" s="156"/>
      <c r="O1973" s="156"/>
      <c r="P1973" s="156"/>
      <c r="Q1973" s="156"/>
      <c r="R1973" s="156"/>
      <c r="S1973" s="156"/>
      <c r="T1973" s="156"/>
      <c r="U1973" s="267"/>
      <c r="W1973" s="1"/>
      <c r="X1973" s="1"/>
      <c r="Y1973" s="1"/>
    </row>
    <row r="1974" spans="2:25">
      <c r="G1974" s="6"/>
      <c r="I1974" s="154"/>
      <c r="J1974" s="154"/>
      <c r="K1974" s="154"/>
      <c r="L1974" s="154"/>
      <c r="M1974" s="154"/>
      <c r="N1974" s="154"/>
      <c r="O1974" s="154"/>
      <c r="P1974" s="154"/>
      <c r="Q1974" s="154"/>
      <c r="R1974" s="154"/>
      <c r="S1974" s="154"/>
      <c r="T1974" s="154"/>
      <c r="U1974" s="154"/>
      <c r="W1974" s="1"/>
      <c r="X1974" s="1"/>
      <c r="Y1974" s="1"/>
    </row>
    <row r="1975" spans="2:25" ht="18.75">
      <c r="C1975" s="1" t="s">
        <v>223</v>
      </c>
      <c r="D1975" s="1" t="s">
        <v>244</v>
      </c>
      <c r="E1975" s="1" t="s">
        <v>107</v>
      </c>
      <c r="F1975" s="9" t="s">
        <v>26</v>
      </c>
      <c r="H1975" s="57"/>
      <c r="I1975" s="157">
        <f t="shared" ref="I1975:S1975" si="872" xml:space="preserve"> I1932 + I1937 - I1943 + I1971 + I1973</f>
        <v>0</v>
      </c>
      <c r="J1975" s="158">
        <f t="shared" si="872"/>
        <v>0</v>
      </c>
      <c r="K1975" s="158">
        <f t="shared" si="872"/>
        <v>0</v>
      </c>
      <c r="L1975" s="158">
        <f t="shared" si="872"/>
        <v>0</v>
      </c>
      <c r="M1975" s="158">
        <f t="shared" si="872"/>
        <v>0</v>
      </c>
      <c r="N1975" s="158">
        <f t="shared" si="872"/>
        <v>0</v>
      </c>
      <c r="O1975" s="158">
        <f t="shared" si="872"/>
        <v>0</v>
      </c>
      <c r="P1975" s="158">
        <f t="shared" si="872"/>
        <v>0</v>
      </c>
      <c r="Q1975" s="158">
        <f t="shared" si="872"/>
        <v>0</v>
      </c>
      <c r="R1975" s="158">
        <f t="shared" si="872"/>
        <v>0</v>
      </c>
      <c r="S1975" s="158">
        <f t="shared" si="872"/>
        <v>8170</v>
      </c>
      <c r="T1975" s="158">
        <f t="shared" ref="T1975:U1975" si="873" xml:space="preserve"> T1932 + T1937 - T1943 + T1971 + T1973</f>
        <v>9111.237031055105</v>
      </c>
      <c r="U1975" s="268">
        <f t="shared" si="873"/>
        <v>8118.779616590482</v>
      </c>
      <c r="W1975" s="1"/>
      <c r="X1975" s="1"/>
      <c r="Y1975" s="1"/>
    </row>
    <row r="1976" spans="2:25" ht="15.75" thickBot="1">
      <c r="W1976" s="1"/>
      <c r="X1976" s="1"/>
      <c r="Y1976" s="1"/>
    </row>
    <row r="1977" spans="2:25">
      <c r="F1977" s="8"/>
      <c r="G1977" s="8"/>
      <c r="H1977" s="8"/>
      <c r="I1977" s="8"/>
      <c r="J1977" s="8"/>
      <c r="K1977" s="8"/>
      <c r="L1977" s="8"/>
      <c r="M1977" s="8"/>
      <c r="N1977" s="8"/>
      <c r="O1977" s="8"/>
      <c r="P1977" s="8"/>
      <c r="Q1977" s="8"/>
      <c r="R1977" s="8"/>
      <c r="S1977" s="290"/>
      <c r="T1977" s="8"/>
      <c r="U1977" s="8"/>
      <c r="W1977" s="1"/>
      <c r="X1977" s="1"/>
      <c r="Y1977" s="1"/>
    </row>
    <row r="1978" spans="2:25" ht="15.75" thickBot="1">
      <c r="W1978" s="1"/>
      <c r="X1978" s="1"/>
      <c r="Y1978" s="1"/>
    </row>
    <row r="1979" spans="2:25" ht="21.75" thickBot="1">
      <c r="F1979" s="13" t="s">
        <v>4</v>
      </c>
      <c r="G1979" s="13"/>
      <c r="H1979" s="185" t="str">
        <f>G44</f>
        <v>Meadow Creek Wind Farm - Five Pine Project - REC Only</v>
      </c>
      <c r="I1979" s="198"/>
      <c r="J1979" s="199"/>
      <c r="K1979" s="174"/>
      <c r="W1979" s="1"/>
      <c r="X1979" s="1"/>
      <c r="Y1979" s="1"/>
    </row>
    <row r="1980" spans="2:25">
      <c r="W1980" s="1"/>
      <c r="X1980" s="1"/>
      <c r="Y1980" s="1"/>
    </row>
    <row r="1981" spans="2:25" ht="18.75">
      <c r="F1981" s="9" t="s">
        <v>21</v>
      </c>
      <c r="G1981" s="9"/>
      <c r="I1981" s="2">
        <f>'Facility Detail'!$G$3260</f>
        <v>2011</v>
      </c>
      <c r="J1981" s="2">
        <f>I1981+1</f>
        <v>2012</v>
      </c>
      <c r="K1981" s="2">
        <f>J1981+1</f>
        <v>2013</v>
      </c>
      <c r="L1981" s="2">
        <f t="shared" ref="L1981:R1981" si="874">K1981+1</f>
        <v>2014</v>
      </c>
      <c r="M1981" s="2">
        <f t="shared" si="874"/>
        <v>2015</v>
      </c>
      <c r="N1981" s="2">
        <f t="shared" si="874"/>
        <v>2016</v>
      </c>
      <c r="O1981" s="2">
        <f t="shared" si="874"/>
        <v>2017</v>
      </c>
      <c r="P1981" s="2">
        <f t="shared" si="874"/>
        <v>2018</v>
      </c>
      <c r="Q1981" s="2">
        <f t="shared" si="874"/>
        <v>2019</v>
      </c>
      <c r="R1981" s="2">
        <f t="shared" si="874"/>
        <v>2020</v>
      </c>
      <c r="S1981" s="304">
        <f>R1981+1</f>
        <v>2021</v>
      </c>
      <c r="T1981" s="2">
        <f>S1981+1</f>
        <v>2022</v>
      </c>
      <c r="U1981" s="2">
        <f>T1981+1</f>
        <v>2023</v>
      </c>
      <c r="W1981" s="1"/>
      <c r="X1981" s="1"/>
      <c r="Y1981" s="1"/>
    </row>
    <row r="1982" spans="2:25">
      <c r="G1982" s="62" t="str">
        <f>"Total MWh Produced / Purchased from " &amp; H1979</f>
        <v>Total MWh Produced / Purchased from Meadow Creek Wind Farm - Five Pine Project - REC Only</v>
      </c>
      <c r="H1982" s="57"/>
      <c r="I1982" s="3"/>
      <c r="J1982" s="4"/>
      <c r="K1982" s="4"/>
      <c r="L1982" s="4"/>
      <c r="M1982" s="4"/>
      <c r="N1982" s="4">
        <f>2260+27459</f>
        <v>29719</v>
      </c>
      <c r="O1982" s="4"/>
      <c r="P1982" s="4"/>
      <c r="Q1982" s="4"/>
      <c r="R1982" s="4"/>
      <c r="S1982" s="308"/>
      <c r="T1982" s="4"/>
      <c r="U1982" s="5"/>
      <c r="W1982" s="1"/>
      <c r="X1982" s="1"/>
      <c r="Y1982" s="1"/>
    </row>
    <row r="1983" spans="2:25">
      <c r="G1983" s="62" t="s">
        <v>25</v>
      </c>
      <c r="H1983" s="57"/>
      <c r="I1983" s="269"/>
      <c r="J1983" s="41"/>
      <c r="K1983" s="41"/>
      <c r="L1983" s="41"/>
      <c r="M1983" s="41"/>
      <c r="N1983" s="41">
        <v>1</v>
      </c>
      <c r="O1983" s="41"/>
      <c r="P1983" s="41"/>
      <c r="Q1983" s="41"/>
      <c r="R1983" s="41"/>
      <c r="S1983" s="309"/>
      <c r="T1983" s="41"/>
      <c r="U1983" s="42"/>
      <c r="W1983" s="1"/>
      <c r="X1983" s="1"/>
      <c r="Y1983" s="1"/>
    </row>
    <row r="1984" spans="2:25">
      <c r="G1984" s="62" t="s">
        <v>20</v>
      </c>
      <c r="H1984" s="57"/>
      <c r="I1984" s="270"/>
      <c r="J1984" s="36"/>
      <c r="K1984" s="36"/>
      <c r="L1984" s="36"/>
      <c r="M1984" s="36"/>
      <c r="N1984" s="36">
        <v>1</v>
      </c>
      <c r="O1984" s="36"/>
      <c r="P1984" s="36"/>
      <c r="Q1984" s="36"/>
      <c r="R1984" s="36"/>
      <c r="S1984" s="310"/>
      <c r="T1984" s="36"/>
      <c r="U1984" s="37"/>
      <c r="W1984" s="1"/>
      <c r="X1984" s="1"/>
      <c r="Y1984" s="1"/>
    </row>
    <row r="1985" spans="1:25">
      <c r="A1985" s="1" t="s">
        <v>294</v>
      </c>
      <c r="G1985" s="26" t="s">
        <v>22</v>
      </c>
      <c r="H1985" s="6"/>
      <c r="I1985" s="30">
        <f xml:space="preserve"> I1982 * I1983 * I1984</f>
        <v>0</v>
      </c>
      <c r="J1985" s="30">
        <f xml:space="preserve"> J1982 * J1983 * J1984</f>
        <v>0</v>
      </c>
      <c r="K1985" s="30">
        <f xml:space="preserve"> K1982 * K1983 * K1984</f>
        <v>0</v>
      </c>
      <c r="L1985" s="30">
        <f t="shared" ref="L1985:M1985" si="875" xml:space="preserve"> L1982 * L1983 * L1984</f>
        <v>0</v>
      </c>
      <c r="M1985" s="30">
        <f t="shared" si="875"/>
        <v>0</v>
      </c>
      <c r="N1985" s="161">
        <v>29719</v>
      </c>
      <c r="O1985" s="161">
        <f t="shared" ref="O1985:S1985" si="876" xml:space="preserve"> O1982 * O1983 * O1984</f>
        <v>0</v>
      </c>
      <c r="P1985" s="161">
        <f t="shared" si="876"/>
        <v>0</v>
      </c>
      <c r="Q1985" s="161">
        <f t="shared" si="876"/>
        <v>0</v>
      </c>
      <c r="R1985" s="161">
        <f t="shared" si="876"/>
        <v>0</v>
      </c>
      <c r="S1985" s="311">
        <f t="shared" si="876"/>
        <v>0</v>
      </c>
      <c r="T1985" s="161">
        <f t="shared" ref="T1985:U1985" si="877" xml:space="preserve"> T1982 * T1983 * T1984</f>
        <v>0</v>
      </c>
      <c r="U1985" s="161">
        <f t="shared" si="877"/>
        <v>0</v>
      </c>
      <c r="W1985" s="1"/>
      <c r="X1985" s="1"/>
      <c r="Y1985" s="1"/>
    </row>
    <row r="1986" spans="1:25">
      <c r="I1986" s="29"/>
      <c r="J1986" s="29"/>
      <c r="K1986" s="29"/>
      <c r="L1986" s="29"/>
      <c r="M1986" s="29"/>
      <c r="N1986" s="20"/>
      <c r="O1986" s="20"/>
      <c r="P1986" s="20"/>
      <c r="Q1986" s="20"/>
      <c r="R1986" s="20"/>
      <c r="S1986" s="312"/>
      <c r="T1986" s="20"/>
      <c r="U1986" s="20"/>
      <c r="W1986" s="1"/>
      <c r="X1986" s="1"/>
      <c r="Y1986" s="1"/>
    </row>
    <row r="1987" spans="1:25" ht="18.75">
      <c r="F1987" s="9" t="s">
        <v>118</v>
      </c>
      <c r="I1987" s="2">
        <f>'Facility Detail'!$G$3260</f>
        <v>2011</v>
      </c>
      <c r="J1987" s="2">
        <f>I1987+1</f>
        <v>2012</v>
      </c>
      <c r="K1987" s="2">
        <f>J1987+1</f>
        <v>2013</v>
      </c>
      <c r="L1987" s="2">
        <f t="shared" ref="L1987:R1987" si="878">K1987+1</f>
        <v>2014</v>
      </c>
      <c r="M1987" s="2">
        <f t="shared" si="878"/>
        <v>2015</v>
      </c>
      <c r="N1987" s="2">
        <f t="shared" si="878"/>
        <v>2016</v>
      </c>
      <c r="O1987" s="2">
        <f t="shared" si="878"/>
        <v>2017</v>
      </c>
      <c r="P1987" s="2">
        <f t="shared" si="878"/>
        <v>2018</v>
      </c>
      <c r="Q1987" s="2">
        <f t="shared" si="878"/>
        <v>2019</v>
      </c>
      <c r="R1987" s="2">
        <f t="shared" si="878"/>
        <v>2020</v>
      </c>
      <c r="S1987" s="304">
        <f>R1987+1</f>
        <v>2021</v>
      </c>
      <c r="T1987" s="2">
        <f>S1987+1</f>
        <v>2022</v>
      </c>
      <c r="U1987" s="2">
        <f>T1987+1</f>
        <v>2023</v>
      </c>
      <c r="W1987" s="1"/>
      <c r="X1987" s="1"/>
      <c r="Y1987" s="1"/>
    </row>
    <row r="1988" spans="1:25">
      <c r="G1988" s="62" t="s">
        <v>10</v>
      </c>
      <c r="H1988" s="57"/>
      <c r="I1988" s="38">
        <f>IF($J44= "Eligible", I1985 * 'Facility Detail'!$G$3257, 0 )</f>
        <v>0</v>
      </c>
      <c r="J1988" s="11">
        <f>IF($J44= "Eligible", J1985 * 'Facility Detail'!$G$3257, 0 )</f>
        <v>0</v>
      </c>
      <c r="K1988" s="11">
        <f>IF($J44= "Eligible", K1985 * 'Facility Detail'!$G$3257, 0 )</f>
        <v>0</v>
      </c>
      <c r="L1988" s="11">
        <f>IF($J44= "Eligible", L1985 * 'Facility Detail'!$G$3257, 0 )</f>
        <v>0</v>
      </c>
      <c r="M1988" s="11">
        <f>IF($J44= "Eligible", M1985 * 'Facility Detail'!$G$3257, 0 )</f>
        <v>0</v>
      </c>
      <c r="N1988" s="11">
        <f>IF($J44= "Eligible", N1985 * 'Facility Detail'!$G$3257, 0 )</f>
        <v>0</v>
      </c>
      <c r="O1988" s="11">
        <f>IF($J44= "Eligible", O1985 * 'Facility Detail'!$G$3257, 0 )</f>
        <v>0</v>
      </c>
      <c r="P1988" s="11">
        <f>IF($J44= "Eligible", P1985 * 'Facility Detail'!$G$3257, 0 )</f>
        <v>0</v>
      </c>
      <c r="Q1988" s="11">
        <f>IF($J44= "Eligible", Q1985 * 'Facility Detail'!$G$3257, 0 )</f>
        <v>0</v>
      </c>
      <c r="R1988" s="11">
        <f>IF($J44= "Eligible", R1985 * 'Facility Detail'!$G$3257, 0 )</f>
        <v>0</v>
      </c>
      <c r="S1988" s="313">
        <f>IF($J44= "Eligible", S1985 * 'Facility Detail'!$G$3257, 0 )</f>
        <v>0</v>
      </c>
      <c r="T1988" s="11">
        <f>IF($J44= "Eligible", T1985 * 'Facility Detail'!$G$3257, 0 )</f>
        <v>0</v>
      </c>
      <c r="U1988" s="223">
        <f>IF($J44= "Eligible", U1985 * 'Facility Detail'!$G$3257, 0 )</f>
        <v>0</v>
      </c>
      <c r="W1988" s="1"/>
      <c r="X1988" s="1"/>
      <c r="Y1988" s="1"/>
    </row>
    <row r="1989" spans="1:25">
      <c r="G1989" s="62" t="s">
        <v>6</v>
      </c>
      <c r="H1989" s="57"/>
      <c r="I1989" s="39">
        <f t="shared" ref="I1989:U1989" si="879">IF($K44= "Eligible", I1985, 0 )</f>
        <v>0</v>
      </c>
      <c r="J1989" s="193">
        <f t="shared" si="879"/>
        <v>0</v>
      </c>
      <c r="K1989" s="193">
        <f t="shared" si="879"/>
        <v>0</v>
      </c>
      <c r="L1989" s="193">
        <f t="shared" si="879"/>
        <v>0</v>
      </c>
      <c r="M1989" s="193">
        <f t="shared" si="879"/>
        <v>0</v>
      </c>
      <c r="N1989" s="193">
        <f t="shared" si="879"/>
        <v>0</v>
      </c>
      <c r="O1989" s="193">
        <f t="shared" si="879"/>
        <v>0</v>
      </c>
      <c r="P1989" s="193">
        <f t="shared" si="879"/>
        <v>0</v>
      </c>
      <c r="Q1989" s="193">
        <f t="shared" si="879"/>
        <v>0</v>
      </c>
      <c r="R1989" s="193">
        <f t="shared" si="879"/>
        <v>0</v>
      </c>
      <c r="S1989" s="314">
        <f t="shared" si="879"/>
        <v>0</v>
      </c>
      <c r="T1989" s="193">
        <f t="shared" si="879"/>
        <v>0</v>
      </c>
      <c r="U1989" s="224">
        <f t="shared" si="879"/>
        <v>0</v>
      </c>
      <c r="W1989" s="1"/>
      <c r="X1989" s="1"/>
      <c r="Y1989" s="1"/>
    </row>
    <row r="1990" spans="1:25">
      <c r="G1990" s="26" t="s">
        <v>120</v>
      </c>
      <c r="H1990" s="6"/>
      <c r="I1990" s="32">
        <f>SUM(I1988:I1989)</f>
        <v>0</v>
      </c>
      <c r="J1990" s="33">
        <f>SUM(J1988:J1989)</f>
        <v>0</v>
      </c>
      <c r="K1990" s="33">
        <f>SUM(K1988:K1989)</f>
        <v>0</v>
      </c>
      <c r="L1990" s="33">
        <f t="shared" ref="L1990:S1990" si="880">SUM(L1988:L1989)</f>
        <v>0</v>
      </c>
      <c r="M1990" s="33">
        <f t="shared" si="880"/>
        <v>0</v>
      </c>
      <c r="N1990" s="33">
        <f t="shared" si="880"/>
        <v>0</v>
      </c>
      <c r="O1990" s="33">
        <f t="shared" si="880"/>
        <v>0</v>
      </c>
      <c r="P1990" s="33">
        <f t="shared" si="880"/>
        <v>0</v>
      </c>
      <c r="Q1990" s="33">
        <f t="shared" si="880"/>
        <v>0</v>
      </c>
      <c r="R1990" s="33">
        <f t="shared" si="880"/>
        <v>0</v>
      </c>
      <c r="S1990" s="315">
        <f t="shared" si="880"/>
        <v>0</v>
      </c>
      <c r="T1990" s="33">
        <f t="shared" ref="T1990:U1990" si="881">SUM(T1988:T1989)</f>
        <v>0</v>
      </c>
      <c r="U1990" s="33">
        <f t="shared" si="881"/>
        <v>0</v>
      </c>
      <c r="W1990" s="1"/>
      <c r="X1990" s="1"/>
      <c r="Y1990" s="1"/>
    </row>
    <row r="1991" spans="1:25">
      <c r="I1991" s="31"/>
      <c r="J1991" s="24"/>
      <c r="K1991" s="24"/>
      <c r="L1991" s="24"/>
      <c r="M1991" s="24"/>
      <c r="N1991" s="24"/>
      <c r="O1991" s="24"/>
      <c r="P1991" s="24"/>
      <c r="Q1991" s="24"/>
      <c r="R1991" s="24"/>
      <c r="S1991" s="316"/>
      <c r="T1991" s="24"/>
      <c r="U1991" s="24"/>
      <c r="W1991" s="1"/>
      <c r="X1991" s="1"/>
      <c r="Y1991" s="1"/>
    </row>
    <row r="1992" spans="1:25" ht="18.75">
      <c r="F1992" s="9" t="s">
        <v>30</v>
      </c>
      <c r="I1992" s="2">
        <f>'Facility Detail'!$G$3260</f>
        <v>2011</v>
      </c>
      <c r="J1992" s="2">
        <f>I1992+1</f>
        <v>2012</v>
      </c>
      <c r="K1992" s="2">
        <f>J1992+1</f>
        <v>2013</v>
      </c>
      <c r="L1992" s="2">
        <f t="shared" ref="L1992:R1992" si="882">K1992+1</f>
        <v>2014</v>
      </c>
      <c r="M1992" s="2">
        <f t="shared" si="882"/>
        <v>2015</v>
      </c>
      <c r="N1992" s="2">
        <f t="shared" si="882"/>
        <v>2016</v>
      </c>
      <c r="O1992" s="2">
        <f t="shared" si="882"/>
        <v>2017</v>
      </c>
      <c r="P1992" s="2">
        <f t="shared" si="882"/>
        <v>2018</v>
      </c>
      <c r="Q1992" s="2">
        <f t="shared" si="882"/>
        <v>2019</v>
      </c>
      <c r="R1992" s="2">
        <f t="shared" si="882"/>
        <v>2020</v>
      </c>
      <c r="S1992" s="304">
        <f>R1992+1</f>
        <v>2021</v>
      </c>
      <c r="T1992" s="2">
        <f>S1992+1</f>
        <v>2022</v>
      </c>
      <c r="U1992" s="2">
        <f>T1992+1</f>
        <v>2023</v>
      </c>
      <c r="W1992" s="1"/>
      <c r="X1992" s="1"/>
      <c r="Y1992" s="1"/>
    </row>
    <row r="1993" spans="1:25">
      <c r="G1993" s="62" t="s">
        <v>47</v>
      </c>
      <c r="H1993" s="57"/>
      <c r="I1993" s="71"/>
      <c r="J1993" s="72"/>
      <c r="K1993" s="72"/>
      <c r="L1993" s="72"/>
      <c r="M1993" s="72"/>
      <c r="N1993" s="72"/>
      <c r="O1993" s="72"/>
      <c r="P1993" s="72"/>
      <c r="Q1993" s="72"/>
      <c r="R1993" s="72"/>
      <c r="S1993" s="317"/>
      <c r="T1993" s="72"/>
      <c r="U1993" s="73"/>
      <c r="W1993" s="1"/>
      <c r="X1993" s="1"/>
      <c r="Y1993" s="1"/>
    </row>
    <row r="1994" spans="1:25">
      <c r="G1994" s="63" t="s">
        <v>23</v>
      </c>
      <c r="H1994" s="135"/>
      <c r="I1994" s="74"/>
      <c r="J1994" s="75"/>
      <c r="K1994" s="75"/>
      <c r="L1994" s="75"/>
      <c r="M1994" s="75"/>
      <c r="N1994" s="75"/>
      <c r="O1994" s="75"/>
      <c r="P1994" s="75"/>
      <c r="Q1994" s="75"/>
      <c r="R1994" s="75"/>
      <c r="S1994" s="318"/>
      <c r="T1994" s="75"/>
      <c r="U1994" s="76"/>
      <c r="W1994" s="1"/>
      <c r="X1994" s="1"/>
      <c r="Y1994" s="1"/>
    </row>
    <row r="1995" spans="1:25">
      <c r="G1995" s="63" t="s">
        <v>89</v>
      </c>
      <c r="H1995" s="134"/>
      <c r="I1995" s="43"/>
      <c r="J1995" s="44"/>
      <c r="K1995" s="44"/>
      <c r="L1995" s="44"/>
      <c r="M1995" s="44"/>
      <c r="N1995" s="44"/>
      <c r="O1995" s="44"/>
      <c r="P1995" s="44"/>
      <c r="Q1995" s="44"/>
      <c r="R1995" s="44"/>
      <c r="S1995" s="319"/>
      <c r="T1995" s="44"/>
      <c r="U1995" s="45"/>
      <c r="W1995" s="1"/>
      <c r="X1995" s="1"/>
      <c r="Y1995" s="1"/>
    </row>
    <row r="1996" spans="1:25">
      <c r="G1996" s="26" t="s">
        <v>90</v>
      </c>
      <c r="I1996" s="7">
        <f>SUM(I1993:I1995)</f>
        <v>0</v>
      </c>
      <c r="J1996" s="7">
        <f>SUM(J1993:J1995)</f>
        <v>0</v>
      </c>
      <c r="K1996" s="7">
        <f>SUM(K1993:K1995)</f>
        <v>0</v>
      </c>
      <c r="L1996" s="7">
        <f t="shared" ref="L1996:S1996" si="883">SUM(L1993:L1995)</f>
        <v>0</v>
      </c>
      <c r="M1996" s="7">
        <f t="shared" si="883"/>
        <v>0</v>
      </c>
      <c r="N1996" s="7">
        <f t="shared" si="883"/>
        <v>0</v>
      </c>
      <c r="O1996" s="7">
        <f t="shared" si="883"/>
        <v>0</v>
      </c>
      <c r="P1996" s="7">
        <f t="shared" si="883"/>
        <v>0</v>
      </c>
      <c r="Q1996" s="7">
        <f t="shared" si="883"/>
        <v>0</v>
      </c>
      <c r="R1996" s="7">
        <f t="shared" si="883"/>
        <v>0</v>
      </c>
      <c r="S1996" s="320">
        <f t="shared" si="883"/>
        <v>0</v>
      </c>
      <c r="T1996" s="7">
        <f t="shared" ref="T1996:U1996" si="884">SUM(T1993:T1995)</f>
        <v>0</v>
      </c>
      <c r="U1996" s="7">
        <f t="shared" si="884"/>
        <v>0</v>
      </c>
      <c r="W1996" s="1"/>
      <c r="X1996" s="1"/>
      <c r="Y1996" s="1"/>
    </row>
    <row r="1997" spans="1:25">
      <c r="G1997" s="6"/>
      <c r="I1997" s="7"/>
      <c r="J1997" s="7"/>
      <c r="K1997" s="7"/>
      <c r="L1997" s="7"/>
      <c r="M1997" s="7"/>
      <c r="N1997" s="7"/>
      <c r="O1997" s="7"/>
      <c r="P1997" s="7"/>
      <c r="Q1997" s="7"/>
      <c r="R1997" s="7"/>
      <c r="S1997" s="320"/>
      <c r="T1997" s="7"/>
      <c r="U1997" s="7"/>
      <c r="W1997" s="1"/>
      <c r="X1997" s="1"/>
      <c r="Y1997" s="1"/>
    </row>
    <row r="1998" spans="1:25" ht="18.75">
      <c r="F1998" s="9" t="s">
        <v>100</v>
      </c>
      <c r="I1998" s="2">
        <f>'Facility Detail'!$G$3260</f>
        <v>2011</v>
      </c>
      <c r="J1998" s="2">
        <f>I1998+1</f>
        <v>2012</v>
      </c>
      <c r="K1998" s="2">
        <f>J1998+1</f>
        <v>2013</v>
      </c>
      <c r="L1998" s="2">
        <f t="shared" ref="L1998:R1998" si="885">K1998+1</f>
        <v>2014</v>
      </c>
      <c r="M1998" s="2">
        <f t="shared" si="885"/>
        <v>2015</v>
      </c>
      <c r="N1998" s="2">
        <f t="shared" si="885"/>
        <v>2016</v>
      </c>
      <c r="O1998" s="2">
        <f t="shared" si="885"/>
        <v>2017</v>
      </c>
      <c r="P1998" s="2">
        <f t="shared" si="885"/>
        <v>2018</v>
      </c>
      <c r="Q1998" s="2">
        <f t="shared" si="885"/>
        <v>2019</v>
      </c>
      <c r="R1998" s="2">
        <f t="shared" si="885"/>
        <v>2020</v>
      </c>
      <c r="S1998" s="304">
        <f>R1998+1</f>
        <v>2021</v>
      </c>
      <c r="T1998" s="2">
        <f>S1998+1</f>
        <v>2022</v>
      </c>
      <c r="U1998" s="2">
        <f>T1998+1</f>
        <v>2023</v>
      </c>
      <c r="W1998" s="1"/>
      <c r="X1998" s="1"/>
      <c r="Y1998" s="1"/>
    </row>
    <row r="1999" spans="1:25">
      <c r="G1999" s="62" t="s">
        <v>68</v>
      </c>
      <c r="H1999" s="57"/>
      <c r="I1999" s="3"/>
      <c r="J1999" s="46">
        <f>I1999</f>
        <v>0</v>
      </c>
      <c r="K1999" s="106"/>
      <c r="L1999" s="106"/>
      <c r="M1999" s="106"/>
      <c r="N1999" s="106"/>
      <c r="O1999" s="106"/>
      <c r="P1999" s="106"/>
      <c r="Q1999" s="106"/>
      <c r="R1999" s="106"/>
      <c r="S1999" s="322"/>
      <c r="T1999" s="106"/>
      <c r="U1999" s="47"/>
      <c r="W1999" s="1"/>
      <c r="X1999" s="1"/>
      <c r="Y1999" s="1"/>
    </row>
    <row r="2000" spans="1:25">
      <c r="G2000" s="62" t="s">
        <v>69</v>
      </c>
      <c r="H2000" s="57"/>
      <c r="I2000" s="127">
        <f>J2000</f>
        <v>0</v>
      </c>
      <c r="J2000" s="10"/>
      <c r="K2000" s="60"/>
      <c r="L2000" s="60"/>
      <c r="M2000" s="60"/>
      <c r="N2000" s="60"/>
      <c r="O2000" s="60"/>
      <c r="P2000" s="60"/>
      <c r="Q2000" s="60"/>
      <c r="R2000" s="60"/>
      <c r="S2000" s="330"/>
      <c r="T2000" s="60"/>
      <c r="U2000" s="128"/>
      <c r="W2000" s="1"/>
      <c r="X2000" s="1"/>
      <c r="Y2000" s="1"/>
    </row>
    <row r="2001" spans="2:25">
      <c r="G2001" s="62" t="s">
        <v>70</v>
      </c>
      <c r="H2001" s="57"/>
      <c r="I2001" s="48"/>
      <c r="J2001" s="10">
        <f>J1985</f>
        <v>0</v>
      </c>
      <c r="K2001" s="56">
        <f>J2001</f>
        <v>0</v>
      </c>
      <c r="L2001" s="60"/>
      <c r="M2001" s="60"/>
      <c r="N2001" s="60"/>
      <c r="O2001" s="60"/>
      <c r="P2001" s="60"/>
      <c r="Q2001" s="60"/>
      <c r="R2001" s="60"/>
      <c r="S2001" s="330"/>
      <c r="T2001" s="60"/>
      <c r="U2001" s="128"/>
      <c r="W2001" s="1"/>
      <c r="X2001" s="1"/>
      <c r="Y2001" s="1"/>
    </row>
    <row r="2002" spans="2:25">
      <c r="G2002" s="62" t="s">
        <v>71</v>
      </c>
      <c r="H2002" s="57"/>
      <c r="I2002" s="48"/>
      <c r="J2002" s="56">
        <f>K2002</f>
        <v>0</v>
      </c>
      <c r="K2002" s="126"/>
      <c r="L2002" s="60"/>
      <c r="M2002" s="60"/>
      <c r="N2002" s="60"/>
      <c r="O2002" s="60"/>
      <c r="P2002" s="60"/>
      <c r="Q2002" s="60"/>
      <c r="R2002" s="60"/>
      <c r="S2002" s="330"/>
      <c r="T2002" s="60"/>
      <c r="U2002" s="128"/>
      <c r="W2002" s="1"/>
      <c r="X2002" s="1"/>
      <c r="Y2002" s="1"/>
    </row>
    <row r="2003" spans="2:25">
      <c r="G2003" s="62" t="s">
        <v>170</v>
      </c>
      <c r="I2003" s="48"/>
      <c r="J2003" s="118"/>
      <c r="K2003" s="10">
        <f>K1985</f>
        <v>0</v>
      </c>
      <c r="L2003" s="119">
        <f>K2003</f>
        <v>0</v>
      </c>
      <c r="M2003" s="60"/>
      <c r="N2003" s="60"/>
      <c r="O2003" s="60"/>
      <c r="P2003" s="60"/>
      <c r="Q2003" s="60"/>
      <c r="R2003" s="60"/>
      <c r="S2003" s="330"/>
      <c r="T2003" s="60"/>
      <c r="U2003" s="128"/>
      <c r="W2003" s="1"/>
      <c r="X2003" s="1"/>
      <c r="Y2003" s="1"/>
    </row>
    <row r="2004" spans="2:25">
      <c r="G2004" s="62" t="s">
        <v>171</v>
      </c>
      <c r="I2004" s="48"/>
      <c r="J2004" s="118"/>
      <c r="K2004" s="56">
        <f>L2004</f>
        <v>0</v>
      </c>
      <c r="L2004" s="10"/>
      <c r="M2004" s="60"/>
      <c r="N2004" s="60"/>
      <c r="O2004" s="60"/>
      <c r="P2004" s="60"/>
      <c r="Q2004" s="60"/>
      <c r="R2004" s="60"/>
      <c r="S2004" s="330"/>
      <c r="T2004" s="60"/>
      <c r="U2004" s="128"/>
      <c r="W2004" s="1"/>
      <c r="X2004" s="1"/>
      <c r="Y2004" s="1"/>
    </row>
    <row r="2005" spans="2:25">
      <c r="G2005" s="62" t="s">
        <v>172</v>
      </c>
      <c r="I2005" s="48"/>
      <c r="J2005" s="118"/>
      <c r="K2005" s="118"/>
      <c r="L2005" s="10">
        <f>L1985</f>
        <v>0</v>
      </c>
      <c r="M2005" s="119">
        <f>L2005</f>
        <v>0</v>
      </c>
      <c r="N2005" s="118">
        <f>M2005</f>
        <v>0</v>
      </c>
      <c r="O2005" s="118"/>
      <c r="P2005" s="118"/>
      <c r="Q2005" s="118"/>
      <c r="R2005" s="118"/>
      <c r="S2005" s="324"/>
      <c r="T2005" s="118"/>
      <c r="U2005" s="122"/>
      <c r="W2005" s="1"/>
      <c r="X2005" s="1"/>
      <c r="Y2005" s="1"/>
    </row>
    <row r="2006" spans="2:25">
      <c r="G2006" s="62" t="s">
        <v>173</v>
      </c>
      <c r="I2006" s="48"/>
      <c r="J2006" s="118"/>
      <c r="K2006" s="118"/>
      <c r="L2006" s="120"/>
      <c r="M2006" s="121"/>
      <c r="N2006" s="118"/>
      <c r="O2006" s="118"/>
      <c r="P2006" s="118"/>
      <c r="Q2006" s="118"/>
      <c r="R2006" s="118"/>
      <c r="S2006" s="324"/>
      <c r="T2006" s="118"/>
      <c r="U2006" s="122"/>
      <c r="W2006" s="1"/>
      <c r="X2006" s="1"/>
      <c r="Y2006" s="1"/>
    </row>
    <row r="2007" spans="2:25">
      <c r="G2007" s="62" t="s">
        <v>174</v>
      </c>
      <c r="I2007" s="48"/>
      <c r="J2007" s="118"/>
      <c r="K2007" s="118"/>
      <c r="L2007" s="118"/>
      <c r="M2007" s="121">
        <v>0</v>
      </c>
      <c r="N2007" s="119">
        <f>M2007</f>
        <v>0</v>
      </c>
      <c r="O2007" s="118"/>
      <c r="P2007" s="118"/>
      <c r="Q2007" s="118"/>
      <c r="R2007" s="118"/>
      <c r="S2007" s="324"/>
      <c r="T2007" s="118"/>
      <c r="U2007" s="122"/>
      <c r="W2007" s="1"/>
      <c r="X2007" s="1"/>
      <c r="Y2007" s="1"/>
    </row>
    <row r="2008" spans="2:25">
      <c r="G2008" s="62" t="s">
        <v>175</v>
      </c>
      <c r="I2008" s="48"/>
      <c r="J2008" s="118"/>
      <c r="K2008" s="118"/>
      <c r="L2008" s="118"/>
      <c r="M2008" s="56"/>
      <c r="N2008" s="121"/>
      <c r="O2008" s="119"/>
      <c r="P2008" s="118"/>
      <c r="Q2008" s="118"/>
      <c r="R2008" s="118"/>
      <c r="S2008" s="324"/>
      <c r="T2008" s="118"/>
      <c r="U2008" s="122"/>
      <c r="W2008" s="1"/>
      <c r="X2008" s="1"/>
      <c r="Y2008" s="1"/>
    </row>
    <row r="2009" spans="2:25">
      <c r="G2009" s="62" t="s">
        <v>176</v>
      </c>
      <c r="I2009" s="48"/>
      <c r="J2009" s="118"/>
      <c r="K2009" s="118"/>
      <c r="L2009" s="118"/>
      <c r="M2009" s="118"/>
      <c r="N2009" s="121">
        <f>N1985</f>
        <v>29719</v>
      </c>
      <c r="O2009" s="121">
        <f>N2009</f>
        <v>29719</v>
      </c>
      <c r="P2009" s="119"/>
      <c r="Q2009" s="118"/>
      <c r="R2009" s="118"/>
      <c r="S2009" s="324"/>
      <c r="T2009" s="118"/>
      <c r="U2009" s="122"/>
      <c r="W2009" s="1"/>
      <c r="X2009" s="1"/>
      <c r="Y2009" s="1"/>
    </row>
    <row r="2010" spans="2:25">
      <c r="G2010" s="62" t="s">
        <v>167</v>
      </c>
      <c r="I2010" s="48"/>
      <c r="J2010" s="118"/>
      <c r="K2010" s="118"/>
      <c r="L2010" s="118"/>
      <c r="M2010" s="118"/>
      <c r="N2010" s="119"/>
      <c r="O2010" s="121"/>
      <c r="P2010" s="121"/>
      <c r="Q2010" s="118"/>
      <c r="R2010" s="118"/>
      <c r="S2010" s="324"/>
      <c r="T2010" s="118"/>
      <c r="U2010" s="122"/>
      <c r="W2010" s="1"/>
      <c r="X2010" s="1"/>
      <c r="Y2010" s="1"/>
    </row>
    <row r="2011" spans="2:25">
      <c r="G2011" s="62" t="s">
        <v>168</v>
      </c>
      <c r="I2011" s="49"/>
      <c r="J2011" s="108"/>
      <c r="K2011" s="108"/>
      <c r="L2011" s="108"/>
      <c r="M2011" s="108"/>
      <c r="N2011" s="108"/>
      <c r="O2011" s="193"/>
      <c r="P2011" s="123"/>
      <c r="Q2011" s="193"/>
      <c r="R2011" s="108"/>
      <c r="S2011" s="325"/>
      <c r="T2011" s="108"/>
      <c r="U2011" s="459"/>
      <c r="W2011" s="1"/>
      <c r="X2011" s="1"/>
      <c r="Y2011" s="1"/>
    </row>
    <row r="2012" spans="2:25">
      <c r="B2012" s="1" t="s">
        <v>294</v>
      </c>
      <c r="G2012" s="26" t="s">
        <v>17</v>
      </c>
      <c r="I2012" s="138">
        <f xml:space="preserve"> I2005 - I2004</f>
        <v>0</v>
      </c>
      <c r="J2012" s="138">
        <f xml:space="preserve"> J2004 + J2007 - J2006 - J2005</f>
        <v>0</v>
      </c>
      <c r="K2012" s="138">
        <f>K2006 - K2007</f>
        <v>0</v>
      </c>
      <c r="L2012" s="138">
        <f t="shared" ref="L2012" si="886">L2006 - L2007</f>
        <v>0</v>
      </c>
      <c r="M2012" s="23">
        <f>M2005-M2006-M2007</f>
        <v>0</v>
      </c>
      <c r="N2012" s="23">
        <f>N2007-N2008-N2009</f>
        <v>-29719</v>
      </c>
      <c r="O2012" s="23">
        <f>O2009-O2010-O2011</f>
        <v>29719</v>
      </c>
      <c r="P2012" s="23">
        <f>P2011</f>
        <v>0</v>
      </c>
      <c r="Q2012" s="23">
        <f t="shared" ref="Q2012:S2012" si="887">Q2011</f>
        <v>0</v>
      </c>
      <c r="R2012" s="23">
        <f t="shared" si="887"/>
        <v>0</v>
      </c>
      <c r="S2012" s="321">
        <f t="shared" si="887"/>
        <v>0</v>
      </c>
      <c r="T2012" s="23">
        <f t="shared" ref="T2012:U2012" si="888">T2011</f>
        <v>0</v>
      </c>
      <c r="U2012" s="23">
        <f t="shared" si="888"/>
        <v>0</v>
      </c>
      <c r="W2012" s="1"/>
      <c r="X2012" s="1"/>
      <c r="Y2012" s="1"/>
    </row>
    <row r="2013" spans="2:25">
      <c r="G2013" s="6"/>
      <c r="I2013" s="7"/>
      <c r="J2013" s="7"/>
      <c r="K2013" s="7"/>
      <c r="L2013" s="7"/>
      <c r="M2013" s="162"/>
      <c r="N2013" s="162"/>
      <c r="O2013" s="162"/>
      <c r="P2013" s="162"/>
      <c r="Q2013" s="162"/>
      <c r="R2013" s="162"/>
      <c r="S2013" s="335"/>
      <c r="T2013" s="162"/>
      <c r="U2013" s="162"/>
      <c r="W2013" s="1"/>
      <c r="X2013" s="1"/>
      <c r="Y2013" s="1"/>
    </row>
    <row r="2014" spans="2:25">
      <c r="G2014" s="26" t="s">
        <v>12</v>
      </c>
      <c r="H2014" s="57"/>
      <c r="I2014" s="155"/>
      <c r="J2014" s="156"/>
      <c r="K2014" s="156"/>
      <c r="L2014" s="156"/>
      <c r="M2014" s="156"/>
      <c r="N2014" s="156"/>
      <c r="O2014" s="156"/>
      <c r="P2014" s="156"/>
      <c r="Q2014" s="156"/>
      <c r="R2014" s="156"/>
      <c r="S2014" s="326"/>
      <c r="T2014" s="156"/>
      <c r="U2014" s="267"/>
      <c r="W2014" s="1"/>
      <c r="X2014" s="1"/>
      <c r="Y2014" s="1"/>
    </row>
    <row r="2015" spans="2:25">
      <c r="G2015" s="6"/>
      <c r="I2015" s="154"/>
      <c r="J2015" s="154"/>
      <c r="K2015" s="154"/>
      <c r="L2015" s="154"/>
      <c r="M2015" s="154"/>
      <c r="N2015" s="154"/>
      <c r="O2015" s="154"/>
      <c r="P2015" s="154"/>
      <c r="Q2015" s="154"/>
      <c r="R2015" s="154"/>
      <c r="S2015" s="327"/>
      <c r="T2015" s="154"/>
      <c r="U2015" s="154"/>
      <c r="W2015" s="1"/>
      <c r="X2015" s="1"/>
      <c r="Y2015" s="1"/>
    </row>
    <row r="2016" spans="2:25" ht="18.75">
      <c r="C2016" s="1" t="s">
        <v>294</v>
      </c>
      <c r="D2016" s="1" t="s">
        <v>295</v>
      </c>
      <c r="E2016" s="1" t="s">
        <v>107</v>
      </c>
      <c r="F2016" s="9" t="s">
        <v>26</v>
      </c>
      <c r="H2016" s="57"/>
      <c r="I2016" s="157">
        <f xml:space="preserve"> I1985 + I1990 - I1996 + I2012 + I2014</f>
        <v>0</v>
      </c>
      <c r="J2016" s="158">
        <f xml:space="preserve"> J1985 + J1990 - J1996 + J2012 + J2014</f>
        <v>0</v>
      </c>
      <c r="K2016" s="158">
        <f xml:space="preserve"> K1985 + K1990 - K1996 + K2012 + K2014</f>
        <v>0</v>
      </c>
      <c r="L2016" s="158">
        <f t="shared" ref="L2016:S2016" si="889" xml:space="preserve"> L1985 + L1990 - L1996 + L2012 + L2014</f>
        <v>0</v>
      </c>
      <c r="M2016" s="158">
        <f t="shared" si="889"/>
        <v>0</v>
      </c>
      <c r="N2016" s="158">
        <f t="shared" si="889"/>
        <v>0</v>
      </c>
      <c r="O2016" s="158">
        <f t="shared" si="889"/>
        <v>29719</v>
      </c>
      <c r="P2016" s="158">
        <f t="shared" si="889"/>
        <v>0</v>
      </c>
      <c r="Q2016" s="158">
        <f t="shared" si="889"/>
        <v>0</v>
      </c>
      <c r="R2016" s="158">
        <f t="shared" si="889"/>
        <v>0</v>
      </c>
      <c r="S2016" s="328">
        <f t="shared" si="889"/>
        <v>0</v>
      </c>
      <c r="T2016" s="158">
        <f t="shared" ref="T2016:U2016" si="890" xml:space="preserve"> T1985 + T1990 - T1996 + T2012 + T2014</f>
        <v>0</v>
      </c>
      <c r="U2016" s="268">
        <f t="shared" si="890"/>
        <v>0</v>
      </c>
      <c r="W2016" s="1"/>
      <c r="X2016" s="1"/>
      <c r="Y2016" s="1"/>
    </row>
    <row r="2017" spans="1:25">
      <c r="G2017" s="6"/>
      <c r="I2017" s="7"/>
      <c r="J2017" s="7"/>
      <c r="K2017" s="7"/>
      <c r="L2017" s="23"/>
      <c r="M2017" s="23"/>
      <c r="N2017" s="23"/>
      <c r="O2017" s="23"/>
      <c r="P2017" s="23"/>
      <c r="Q2017" s="23"/>
      <c r="R2017" s="23"/>
      <c r="S2017" s="282"/>
      <c r="T2017" s="23"/>
      <c r="U2017" s="23"/>
      <c r="W2017" s="1"/>
      <c r="X2017" s="1"/>
      <c r="Y2017" s="1"/>
    </row>
    <row r="2018" spans="1:25" ht="15.75" thickBot="1">
      <c r="W2018" s="1"/>
      <c r="X2018" s="1"/>
      <c r="Y2018" s="1"/>
    </row>
    <row r="2019" spans="1:25">
      <c r="F2019" s="8"/>
      <c r="G2019" s="8"/>
      <c r="H2019" s="8"/>
      <c r="I2019" s="8"/>
      <c r="J2019" s="8"/>
      <c r="K2019" s="8"/>
      <c r="L2019" s="8"/>
      <c r="M2019" s="8"/>
      <c r="N2019" s="8"/>
      <c r="O2019" s="8"/>
      <c r="P2019" s="8"/>
      <c r="Q2019" s="8"/>
      <c r="R2019" s="8"/>
      <c r="S2019" s="290"/>
      <c r="T2019" s="8"/>
      <c r="U2019" s="8"/>
      <c r="W2019" s="1"/>
      <c r="X2019" s="1"/>
      <c r="Y2019" s="1"/>
    </row>
    <row r="2020" spans="1:25" ht="15.75" thickBot="1">
      <c r="W2020" s="1"/>
      <c r="X2020" s="1"/>
      <c r="Y2020" s="1"/>
    </row>
    <row r="2021" spans="1:25" ht="21.75" thickBot="1">
      <c r="F2021" s="13" t="s">
        <v>4</v>
      </c>
      <c r="G2021" s="13"/>
      <c r="H2021" s="185" t="str">
        <f>G45</f>
        <v>Meadow Creek Wind Farm - North Point Wind Farm - REC Only</v>
      </c>
      <c r="I2021" s="186"/>
      <c r="J2021" s="197"/>
      <c r="K2021" s="197"/>
      <c r="L2021" s="174"/>
      <c r="W2021" s="1"/>
      <c r="X2021" s="1"/>
      <c r="Y2021" s="1"/>
    </row>
    <row r="2022" spans="1:25">
      <c r="W2022" s="1"/>
      <c r="X2022" s="1"/>
      <c r="Y2022" s="1"/>
    </row>
    <row r="2023" spans="1:25" ht="18.75">
      <c r="F2023" s="9" t="s">
        <v>21</v>
      </c>
      <c r="G2023" s="9"/>
      <c r="I2023" s="2">
        <f>'Facility Detail'!$G$3260</f>
        <v>2011</v>
      </c>
      <c r="J2023" s="2">
        <f>I2023+1</f>
        <v>2012</v>
      </c>
      <c r="K2023" s="2">
        <f t="shared" ref="K2023:R2023" si="891">J2023+1</f>
        <v>2013</v>
      </c>
      <c r="L2023" s="2">
        <f t="shared" si="891"/>
        <v>2014</v>
      </c>
      <c r="M2023" s="2">
        <f t="shared" si="891"/>
        <v>2015</v>
      </c>
      <c r="N2023" s="2">
        <f t="shared" si="891"/>
        <v>2016</v>
      </c>
      <c r="O2023" s="2">
        <f t="shared" si="891"/>
        <v>2017</v>
      </c>
      <c r="P2023" s="2">
        <f t="shared" si="891"/>
        <v>2018</v>
      </c>
      <c r="Q2023" s="2">
        <f t="shared" si="891"/>
        <v>2019</v>
      </c>
      <c r="R2023" s="2">
        <f t="shared" si="891"/>
        <v>2020</v>
      </c>
      <c r="S2023" s="304">
        <f>R2023+1</f>
        <v>2021</v>
      </c>
      <c r="T2023" s="2">
        <f>S2023+1</f>
        <v>2022</v>
      </c>
      <c r="U2023" s="2">
        <f>T2023+1</f>
        <v>2023</v>
      </c>
      <c r="W2023" s="1"/>
      <c r="X2023" s="1"/>
      <c r="Y2023" s="1"/>
    </row>
    <row r="2024" spans="1:25">
      <c r="G2024" s="62" t="str">
        <f>"Total MWh Produced / Purchased from " &amp; H2021</f>
        <v>Total MWh Produced / Purchased from Meadow Creek Wind Farm - North Point Wind Farm - REC Only</v>
      </c>
      <c r="H2024" s="57"/>
      <c r="I2024" s="3"/>
      <c r="J2024" s="4"/>
      <c r="K2024" s="4"/>
      <c r="L2024" s="4"/>
      <c r="M2024" s="4"/>
      <c r="N2024" s="4">
        <v>2644</v>
      </c>
      <c r="O2024" s="4"/>
      <c r="P2024" s="4"/>
      <c r="Q2024" s="4"/>
      <c r="R2024" s="4"/>
      <c r="S2024" s="308"/>
      <c r="T2024" s="4"/>
      <c r="U2024" s="5"/>
      <c r="W2024" s="1"/>
      <c r="X2024" s="1"/>
      <c r="Y2024" s="1"/>
    </row>
    <row r="2025" spans="1:25">
      <c r="G2025" s="62" t="s">
        <v>25</v>
      </c>
      <c r="H2025" s="57"/>
      <c r="I2025" s="269"/>
      <c r="J2025" s="41"/>
      <c r="K2025" s="41"/>
      <c r="L2025" s="41"/>
      <c r="M2025" s="41"/>
      <c r="N2025" s="41">
        <v>1</v>
      </c>
      <c r="O2025" s="41"/>
      <c r="P2025" s="41"/>
      <c r="Q2025" s="41"/>
      <c r="R2025" s="41"/>
      <c r="S2025" s="309"/>
      <c r="T2025" s="41"/>
      <c r="U2025" s="42"/>
      <c r="W2025" s="1"/>
      <c r="X2025" s="1"/>
      <c r="Y2025" s="1"/>
    </row>
    <row r="2026" spans="1:25">
      <c r="G2026" s="62" t="s">
        <v>20</v>
      </c>
      <c r="H2026" s="57"/>
      <c r="I2026" s="270"/>
      <c r="J2026" s="36"/>
      <c r="K2026" s="36"/>
      <c r="L2026" s="36"/>
      <c r="M2026" s="36"/>
      <c r="N2026" s="36">
        <v>1</v>
      </c>
      <c r="O2026" s="36"/>
      <c r="P2026" s="36"/>
      <c r="Q2026" s="36"/>
      <c r="R2026" s="36"/>
      <c r="S2026" s="310"/>
      <c r="T2026" s="36"/>
      <c r="U2026" s="37"/>
      <c r="W2026" s="1"/>
      <c r="X2026" s="1"/>
      <c r="Y2026" s="1"/>
    </row>
    <row r="2027" spans="1:25">
      <c r="A2027" s="1" t="s">
        <v>296</v>
      </c>
      <c r="G2027" s="26" t="s">
        <v>22</v>
      </c>
      <c r="H2027" s="6"/>
      <c r="I2027" s="30">
        <v>0</v>
      </c>
      <c r="J2027" s="30">
        <v>0</v>
      </c>
      <c r="K2027" s="30">
        <v>0</v>
      </c>
      <c r="L2027" s="30">
        <v>0</v>
      </c>
      <c r="M2027" s="30">
        <v>0</v>
      </c>
      <c r="N2027" s="161">
        <v>2644</v>
      </c>
      <c r="O2027" s="161">
        <v>0</v>
      </c>
      <c r="P2027" s="161">
        <v>0</v>
      </c>
      <c r="Q2027" s="161">
        <v>0</v>
      </c>
      <c r="R2027" s="161">
        <v>0</v>
      </c>
      <c r="S2027" s="311">
        <v>0</v>
      </c>
      <c r="T2027" s="161">
        <v>0</v>
      </c>
      <c r="U2027" s="161">
        <v>0</v>
      </c>
      <c r="W2027" s="1"/>
      <c r="X2027" s="1"/>
      <c r="Y2027" s="1"/>
    </row>
    <row r="2028" spans="1:25">
      <c r="I2028" s="29"/>
      <c r="J2028" s="29"/>
      <c r="K2028" s="29"/>
      <c r="L2028" s="29"/>
      <c r="M2028" s="29"/>
      <c r="N2028" s="20"/>
      <c r="O2028" s="20"/>
      <c r="P2028" s="20"/>
      <c r="Q2028" s="20"/>
      <c r="R2028" s="20"/>
      <c r="S2028" s="312"/>
      <c r="T2028" s="20"/>
      <c r="U2028" s="20"/>
      <c r="W2028" s="1"/>
      <c r="X2028" s="1"/>
      <c r="Y2028" s="1"/>
    </row>
    <row r="2029" spans="1:25" ht="18.75">
      <c r="F2029" s="9" t="s">
        <v>118</v>
      </c>
      <c r="I2029" s="2">
        <f>'Facility Detail'!$G$3260</f>
        <v>2011</v>
      </c>
      <c r="J2029" s="2">
        <f>I2029+1</f>
        <v>2012</v>
      </c>
      <c r="K2029" s="2">
        <f t="shared" ref="K2029:R2029" si="892">J2029+1</f>
        <v>2013</v>
      </c>
      <c r="L2029" s="2">
        <f t="shared" si="892"/>
        <v>2014</v>
      </c>
      <c r="M2029" s="2">
        <f t="shared" si="892"/>
        <v>2015</v>
      </c>
      <c r="N2029" s="2">
        <f t="shared" si="892"/>
        <v>2016</v>
      </c>
      <c r="O2029" s="2">
        <f t="shared" si="892"/>
        <v>2017</v>
      </c>
      <c r="P2029" s="2">
        <f t="shared" si="892"/>
        <v>2018</v>
      </c>
      <c r="Q2029" s="2">
        <f t="shared" si="892"/>
        <v>2019</v>
      </c>
      <c r="R2029" s="2">
        <f t="shared" si="892"/>
        <v>2020</v>
      </c>
      <c r="S2029" s="304">
        <f>R2029+1</f>
        <v>2021</v>
      </c>
      <c r="T2029" s="2">
        <f>S2029+1</f>
        <v>2022</v>
      </c>
      <c r="U2029" s="2">
        <f>T2029+1</f>
        <v>2023</v>
      </c>
      <c r="W2029" s="1"/>
      <c r="X2029" s="1"/>
      <c r="Y2029" s="1"/>
    </row>
    <row r="2030" spans="1:25">
      <c r="G2030" s="62" t="s">
        <v>10</v>
      </c>
      <c r="H2030" s="57"/>
      <c r="I2030" s="38">
        <f>IF($J45= "Eligible", I2027 * 'Facility Detail'!$G$3257, 0 )</f>
        <v>0</v>
      </c>
      <c r="J2030" s="11">
        <v>0</v>
      </c>
      <c r="K2030" s="11">
        <v>0</v>
      </c>
      <c r="L2030" s="11">
        <v>0</v>
      </c>
      <c r="M2030" s="11">
        <v>0</v>
      </c>
      <c r="N2030" s="11">
        <v>0</v>
      </c>
      <c r="O2030" s="11">
        <v>0</v>
      </c>
      <c r="P2030" s="11">
        <v>0</v>
      </c>
      <c r="Q2030" s="11">
        <v>0</v>
      </c>
      <c r="R2030" s="11">
        <v>0</v>
      </c>
      <c r="S2030" s="313">
        <v>0</v>
      </c>
      <c r="T2030" s="11">
        <v>0</v>
      </c>
      <c r="U2030" s="223">
        <v>0</v>
      </c>
      <c r="W2030" s="1"/>
      <c r="X2030" s="1"/>
      <c r="Y2030" s="1"/>
    </row>
    <row r="2031" spans="1:25">
      <c r="G2031" s="62" t="s">
        <v>6</v>
      </c>
      <c r="H2031" s="57"/>
      <c r="I2031" s="39">
        <f>IF($K45= "Eligible", I2027, 0 )</f>
        <v>0</v>
      </c>
      <c r="J2031" s="193">
        <v>0</v>
      </c>
      <c r="K2031" s="193">
        <v>0</v>
      </c>
      <c r="L2031" s="193">
        <v>0</v>
      </c>
      <c r="M2031" s="193">
        <v>0</v>
      </c>
      <c r="N2031" s="193">
        <v>0</v>
      </c>
      <c r="O2031" s="193">
        <v>0</v>
      </c>
      <c r="P2031" s="193">
        <v>0</v>
      </c>
      <c r="Q2031" s="193">
        <v>0</v>
      </c>
      <c r="R2031" s="193">
        <v>0</v>
      </c>
      <c r="S2031" s="314">
        <v>0</v>
      </c>
      <c r="T2031" s="193">
        <v>0</v>
      </c>
      <c r="U2031" s="224">
        <v>0</v>
      </c>
      <c r="W2031" s="1"/>
      <c r="X2031" s="1"/>
      <c r="Y2031" s="1"/>
    </row>
    <row r="2032" spans="1:25">
      <c r="G2032" s="26" t="s">
        <v>120</v>
      </c>
      <c r="H2032" s="6"/>
      <c r="I2032" s="32">
        <v>0</v>
      </c>
      <c r="J2032" s="33">
        <v>0</v>
      </c>
      <c r="K2032" s="33">
        <v>0</v>
      </c>
      <c r="L2032" s="33">
        <v>0</v>
      </c>
      <c r="M2032" s="33">
        <v>0</v>
      </c>
      <c r="N2032" s="33">
        <v>0</v>
      </c>
      <c r="O2032" s="33">
        <v>0</v>
      </c>
      <c r="P2032" s="33">
        <v>0</v>
      </c>
      <c r="Q2032" s="33">
        <v>0</v>
      </c>
      <c r="R2032" s="33">
        <v>0</v>
      </c>
      <c r="S2032" s="315">
        <v>0</v>
      </c>
      <c r="T2032" s="33">
        <v>0</v>
      </c>
      <c r="U2032" s="33">
        <v>0</v>
      </c>
      <c r="W2032" s="1"/>
      <c r="X2032" s="1"/>
      <c r="Y2032" s="1"/>
    </row>
    <row r="2033" spans="6:25">
      <c r="I2033" s="31"/>
      <c r="J2033" s="24"/>
      <c r="K2033" s="24"/>
      <c r="L2033" s="24"/>
      <c r="M2033" s="24"/>
      <c r="N2033" s="24"/>
      <c r="O2033" s="24"/>
      <c r="P2033" s="24"/>
      <c r="Q2033" s="24"/>
      <c r="R2033" s="24"/>
      <c r="S2033" s="316"/>
      <c r="T2033" s="24"/>
      <c r="U2033" s="24"/>
      <c r="W2033" s="1"/>
      <c r="X2033" s="1"/>
      <c r="Y2033" s="1"/>
    </row>
    <row r="2034" spans="6:25" ht="18.75">
      <c r="F2034" s="9" t="s">
        <v>30</v>
      </c>
      <c r="I2034" s="2">
        <f>'Facility Detail'!$G$3260</f>
        <v>2011</v>
      </c>
      <c r="J2034" s="2">
        <f>I2034+1</f>
        <v>2012</v>
      </c>
      <c r="K2034" s="2">
        <f t="shared" ref="K2034:R2034" si="893">J2034+1</f>
        <v>2013</v>
      </c>
      <c r="L2034" s="2">
        <f t="shared" si="893"/>
        <v>2014</v>
      </c>
      <c r="M2034" s="2">
        <f t="shared" si="893"/>
        <v>2015</v>
      </c>
      <c r="N2034" s="2">
        <f t="shared" si="893"/>
        <v>2016</v>
      </c>
      <c r="O2034" s="2">
        <f t="shared" si="893"/>
        <v>2017</v>
      </c>
      <c r="P2034" s="2">
        <f t="shared" si="893"/>
        <v>2018</v>
      </c>
      <c r="Q2034" s="2">
        <f t="shared" si="893"/>
        <v>2019</v>
      </c>
      <c r="R2034" s="2">
        <f t="shared" si="893"/>
        <v>2020</v>
      </c>
      <c r="S2034" s="304">
        <f>R2034+1</f>
        <v>2021</v>
      </c>
      <c r="T2034" s="2">
        <f>S2034+1</f>
        <v>2022</v>
      </c>
      <c r="U2034" s="2">
        <f>T2034+1</f>
        <v>2023</v>
      </c>
      <c r="W2034" s="1"/>
      <c r="X2034" s="1"/>
      <c r="Y2034" s="1"/>
    </row>
    <row r="2035" spans="6:25">
      <c r="G2035" s="62" t="s">
        <v>47</v>
      </c>
      <c r="H2035" s="57"/>
      <c r="I2035" s="71"/>
      <c r="J2035" s="72"/>
      <c r="K2035" s="72"/>
      <c r="L2035" s="72"/>
      <c r="M2035" s="72"/>
      <c r="N2035" s="72"/>
      <c r="O2035" s="72"/>
      <c r="P2035" s="72"/>
      <c r="Q2035" s="72"/>
      <c r="R2035" s="72"/>
      <c r="S2035" s="317"/>
      <c r="T2035" s="72"/>
      <c r="U2035" s="73"/>
      <c r="W2035" s="1"/>
      <c r="X2035" s="1"/>
      <c r="Y2035" s="1"/>
    </row>
    <row r="2036" spans="6:25">
      <c r="G2036" s="63" t="s">
        <v>23</v>
      </c>
      <c r="H2036" s="135"/>
      <c r="I2036" s="74"/>
      <c r="J2036" s="75"/>
      <c r="K2036" s="75"/>
      <c r="L2036" s="75"/>
      <c r="M2036" s="75"/>
      <c r="N2036" s="75"/>
      <c r="O2036" s="75"/>
      <c r="P2036" s="75"/>
      <c r="Q2036" s="75"/>
      <c r="R2036" s="75"/>
      <c r="S2036" s="318"/>
      <c r="T2036" s="75"/>
      <c r="U2036" s="76"/>
      <c r="W2036" s="1"/>
      <c r="X2036" s="1"/>
      <c r="Y2036" s="1"/>
    </row>
    <row r="2037" spans="6:25">
      <c r="G2037" s="63" t="s">
        <v>89</v>
      </c>
      <c r="H2037" s="134"/>
      <c r="I2037" s="43"/>
      <c r="J2037" s="44"/>
      <c r="K2037" s="44"/>
      <c r="L2037" s="44"/>
      <c r="M2037" s="44"/>
      <c r="N2037" s="44"/>
      <c r="O2037" s="44"/>
      <c r="P2037" s="44"/>
      <c r="Q2037" s="44"/>
      <c r="R2037" s="44"/>
      <c r="S2037" s="319"/>
      <c r="T2037" s="44"/>
      <c r="U2037" s="45"/>
      <c r="W2037" s="1"/>
      <c r="X2037" s="1"/>
      <c r="Y2037" s="1"/>
    </row>
    <row r="2038" spans="6:25">
      <c r="G2038" s="26" t="s">
        <v>90</v>
      </c>
      <c r="I2038" s="7">
        <v>0</v>
      </c>
      <c r="J2038" s="7">
        <v>0</v>
      </c>
      <c r="K2038" s="7">
        <v>0</v>
      </c>
      <c r="L2038" s="7">
        <v>0</v>
      </c>
      <c r="M2038" s="7">
        <v>0</v>
      </c>
      <c r="N2038" s="7">
        <v>0</v>
      </c>
      <c r="O2038" s="7">
        <v>0</v>
      </c>
      <c r="P2038" s="7">
        <v>0</v>
      </c>
      <c r="Q2038" s="7">
        <v>0</v>
      </c>
      <c r="R2038" s="7">
        <v>0</v>
      </c>
      <c r="S2038" s="320">
        <v>0</v>
      </c>
      <c r="T2038" s="7">
        <v>0</v>
      </c>
      <c r="U2038" s="7">
        <v>0</v>
      </c>
      <c r="W2038" s="1"/>
      <c r="X2038" s="1"/>
      <c r="Y2038" s="1"/>
    </row>
    <row r="2039" spans="6:25">
      <c r="G2039" s="6"/>
      <c r="I2039" s="7"/>
      <c r="J2039" s="7"/>
      <c r="K2039" s="7"/>
      <c r="L2039" s="23"/>
      <c r="M2039" s="23"/>
      <c r="N2039" s="23"/>
      <c r="O2039" s="23"/>
      <c r="P2039" s="23"/>
      <c r="Q2039" s="23"/>
      <c r="R2039" s="23"/>
      <c r="S2039" s="321"/>
      <c r="T2039" s="23"/>
      <c r="U2039" s="23"/>
      <c r="W2039" s="1"/>
      <c r="X2039" s="1"/>
      <c r="Y2039" s="1"/>
    </row>
    <row r="2040" spans="6:25" ht="18.75">
      <c r="F2040" s="9" t="s">
        <v>100</v>
      </c>
      <c r="I2040" s="2">
        <f>'Facility Detail'!$G$3260</f>
        <v>2011</v>
      </c>
      <c r="J2040" s="2">
        <f>I2040+1</f>
        <v>2012</v>
      </c>
      <c r="K2040" s="2">
        <f t="shared" ref="K2040:R2040" si="894">J2040+1</f>
        <v>2013</v>
      </c>
      <c r="L2040" s="2">
        <f t="shared" si="894"/>
        <v>2014</v>
      </c>
      <c r="M2040" s="2">
        <f t="shared" si="894"/>
        <v>2015</v>
      </c>
      <c r="N2040" s="2">
        <f t="shared" si="894"/>
        <v>2016</v>
      </c>
      <c r="O2040" s="2">
        <f t="shared" si="894"/>
        <v>2017</v>
      </c>
      <c r="P2040" s="2">
        <f t="shared" si="894"/>
        <v>2018</v>
      </c>
      <c r="Q2040" s="2">
        <f t="shared" si="894"/>
        <v>2019</v>
      </c>
      <c r="R2040" s="2">
        <f t="shared" si="894"/>
        <v>2020</v>
      </c>
      <c r="S2040" s="304">
        <f>R2040+1</f>
        <v>2021</v>
      </c>
      <c r="T2040" s="2">
        <f>S2040+1</f>
        <v>2022</v>
      </c>
      <c r="U2040" s="2">
        <f>T2040+1</f>
        <v>2023</v>
      </c>
      <c r="W2040" s="1"/>
      <c r="X2040" s="1"/>
      <c r="Y2040" s="1"/>
    </row>
    <row r="2041" spans="6:25">
      <c r="G2041" s="62" t="s">
        <v>68</v>
      </c>
      <c r="H2041" s="57"/>
      <c r="I2041" s="200"/>
      <c r="J2041" s="55">
        <f>I2041</f>
        <v>0</v>
      </c>
      <c r="K2041" s="201"/>
      <c r="L2041" s="201"/>
      <c r="M2041" s="201"/>
      <c r="N2041" s="201"/>
      <c r="O2041" s="201"/>
      <c r="P2041" s="201"/>
      <c r="Q2041" s="201"/>
      <c r="R2041" s="201"/>
      <c r="S2041" s="336"/>
      <c r="T2041" s="201"/>
      <c r="U2041" s="273"/>
      <c r="W2041" s="1"/>
      <c r="X2041" s="1"/>
      <c r="Y2041" s="1"/>
    </row>
    <row r="2042" spans="6:25">
      <c r="G2042" s="62" t="s">
        <v>69</v>
      </c>
      <c r="H2042" s="57"/>
      <c r="I2042" s="202">
        <f>J2042</f>
        <v>0</v>
      </c>
      <c r="J2042" s="203"/>
      <c r="K2042" s="204"/>
      <c r="L2042" s="204"/>
      <c r="M2042" s="204"/>
      <c r="N2042" s="204"/>
      <c r="O2042" s="204"/>
      <c r="P2042" s="204"/>
      <c r="Q2042" s="204"/>
      <c r="R2042" s="204"/>
      <c r="S2042" s="337"/>
      <c r="T2042" s="204"/>
      <c r="U2042" s="274"/>
      <c r="W2042" s="1"/>
      <c r="X2042" s="1"/>
      <c r="Y2042" s="1"/>
    </row>
    <row r="2043" spans="6:25">
      <c r="G2043" s="62" t="s">
        <v>70</v>
      </c>
      <c r="H2043" s="57"/>
      <c r="I2043" s="205"/>
      <c r="J2043" s="203">
        <f>J2027</f>
        <v>0</v>
      </c>
      <c r="K2043" s="206">
        <f>J2043</f>
        <v>0</v>
      </c>
      <c r="L2043" s="204"/>
      <c r="M2043" s="204"/>
      <c r="N2043" s="204"/>
      <c r="O2043" s="204"/>
      <c r="P2043" s="204"/>
      <c r="Q2043" s="204"/>
      <c r="R2043" s="204"/>
      <c r="S2043" s="337"/>
      <c r="T2043" s="204"/>
      <c r="U2043" s="274"/>
      <c r="W2043" s="1"/>
      <c r="X2043" s="1"/>
      <c r="Y2043" s="1"/>
    </row>
    <row r="2044" spans="6:25">
      <c r="G2044" s="62" t="s">
        <v>71</v>
      </c>
      <c r="H2044" s="57"/>
      <c r="I2044" s="205"/>
      <c r="J2044" s="206">
        <f>K2044</f>
        <v>0</v>
      </c>
      <c r="K2044" s="207"/>
      <c r="L2044" s="204"/>
      <c r="M2044" s="204"/>
      <c r="N2044" s="204"/>
      <c r="O2044" s="204"/>
      <c r="P2044" s="204"/>
      <c r="Q2044" s="204"/>
      <c r="R2044" s="204"/>
      <c r="S2044" s="337"/>
      <c r="T2044" s="204"/>
      <c r="U2044" s="274"/>
      <c r="W2044" s="1"/>
      <c r="X2044" s="1"/>
      <c r="Y2044" s="1"/>
    </row>
    <row r="2045" spans="6:25">
      <c r="G2045" s="62" t="s">
        <v>170</v>
      </c>
      <c r="I2045" s="205"/>
      <c r="J2045" s="208"/>
      <c r="K2045" s="203">
        <f>K2027</f>
        <v>0</v>
      </c>
      <c r="L2045" s="209">
        <f>K2045</f>
        <v>0</v>
      </c>
      <c r="M2045" s="204"/>
      <c r="N2045" s="204"/>
      <c r="O2045" s="204"/>
      <c r="P2045" s="204"/>
      <c r="Q2045" s="204"/>
      <c r="R2045" s="204"/>
      <c r="S2045" s="337"/>
      <c r="T2045" s="204"/>
      <c r="U2045" s="274"/>
      <c r="W2045" s="1"/>
      <c r="X2045" s="1"/>
      <c r="Y2045" s="1"/>
    </row>
    <row r="2046" spans="6:25">
      <c r="G2046" s="62" t="s">
        <v>171</v>
      </c>
      <c r="I2046" s="205"/>
      <c r="J2046" s="208"/>
      <c r="K2046" s="206">
        <f>L2046</f>
        <v>0</v>
      </c>
      <c r="L2046" s="203"/>
      <c r="M2046" s="204"/>
      <c r="N2046" s="204"/>
      <c r="O2046" s="204"/>
      <c r="P2046" s="204"/>
      <c r="Q2046" s="204"/>
      <c r="R2046" s="204"/>
      <c r="S2046" s="337"/>
      <c r="T2046" s="204"/>
      <c r="U2046" s="274"/>
      <c r="W2046" s="1"/>
      <c r="X2046" s="1"/>
      <c r="Y2046" s="1"/>
    </row>
    <row r="2047" spans="6:25">
      <c r="G2047" s="62" t="s">
        <v>172</v>
      </c>
      <c r="I2047" s="205"/>
      <c r="J2047" s="208"/>
      <c r="K2047" s="208"/>
      <c r="L2047" s="203">
        <f>L2027</f>
        <v>0</v>
      </c>
      <c r="M2047" s="209">
        <f>L2047</f>
        <v>0</v>
      </c>
      <c r="N2047" s="208">
        <f>M2047</f>
        <v>0</v>
      </c>
      <c r="O2047" s="208"/>
      <c r="P2047" s="208"/>
      <c r="Q2047" s="208"/>
      <c r="R2047" s="208"/>
      <c r="S2047" s="338"/>
      <c r="T2047" s="208"/>
      <c r="U2047" s="275"/>
      <c r="W2047" s="1"/>
      <c r="X2047" s="1"/>
      <c r="Y2047" s="1"/>
    </row>
    <row r="2048" spans="6:25">
      <c r="G2048" s="62" t="s">
        <v>173</v>
      </c>
      <c r="I2048" s="205"/>
      <c r="J2048" s="208"/>
      <c r="K2048" s="208"/>
      <c r="L2048" s="210"/>
      <c r="M2048" s="211"/>
      <c r="N2048" s="208"/>
      <c r="O2048" s="208"/>
      <c r="P2048" s="208"/>
      <c r="Q2048" s="208"/>
      <c r="R2048" s="208"/>
      <c r="S2048" s="338"/>
      <c r="T2048" s="208"/>
      <c r="U2048" s="275"/>
      <c r="W2048" s="1"/>
      <c r="X2048" s="1"/>
      <c r="Y2048" s="1"/>
    </row>
    <row r="2049" spans="2:25">
      <c r="G2049" s="62" t="s">
        <v>174</v>
      </c>
      <c r="I2049" s="205"/>
      <c r="J2049" s="208"/>
      <c r="K2049" s="208"/>
      <c r="L2049" s="208"/>
      <c r="M2049" s="211">
        <v>0</v>
      </c>
      <c r="N2049" s="209">
        <f>M2049</f>
        <v>0</v>
      </c>
      <c r="O2049" s="208"/>
      <c r="P2049" s="208"/>
      <c r="Q2049" s="208"/>
      <c r="R2049" s="208"/>
      <c r="S2049" s="338"/>
      <c r="T2049" s="208"/>
      <c r="U2049" s="275"/>
      <c r="W2049" s="1"/>
      <c r="X2049" s="1"/>
      <c r="Y2049" s="1"/>
    </row>
    <row r="2050" spans="2:25">
      <c r="G2050" s="62" t="s">
        <v>175</v>
      </c>
      <c r="I2050" s="205"/>
      <c r="J2050" s="208"/>
      <c r="K2050" s="208"/>
      <c r="L2050" s="208"/>
      <c r="M2050" s="206"/>
      <c r="N2050" s="211"/>
      <c r="O2050" s="208"/>
      <c r="P2050" s="208"/>
      <c r="Q2050" s="208"/>
      <c r="R2050" s="208"/>
      <c r="S2050" s="338"/>
      <c r="T2050" s="208"/>
      <c r="U2050" s="275"/>
      <c r="W2050" s="1"/>
      <c r="X2050" s="1"/>
      <c r="Y2050" s="1"/>
    </row>
    <row r="2051" spans="2:25">
      <c r="G2051" s="62" t="s">
        <v>176</v>
      </c>
      <c r="I2051" s="205"/>
      <c r="J2051" s="208"/>
      <c r="K2051" s="208"/>
      <c r="L2051" s="208"/>
      <c r="M2051" s="208"/>
      <c r="N2051" s="211">
        <f>N2027</f>
        <v>2644</v>
      </c>
      <c r="O2051" s="209">
        <f>N2051</f>
        <v>2644</v>
      </c>
      <c r="P2051" s="208"/>
      <c r="Q2051" s="208"/>
      <c r="R2051" s="208"/>
      <c r="S2051" s="338"/>
      <c r="T2051" s="208"/>
      <c r="U2051" s="275"/>
      <c r="W2051" s="1"/>
      <c r="X2051" s="1"/>
      <c r="Y2051" s="1"/>
    </row>
    <row r="2052" spans="2:25">
      <c r="G2052" s="62" t="s">
        <v>167</v>
      </c>
      <c r="I2052" s="205"/>
      <c r="J2052" s="208"/>
      <c r="K2052" s="208"/>
      <c r="L2052" s="208"/>
      <c r="M2052" s="208"/>
      <c r="N2052" s="212"/>
      <c r="O2052" s="211"/>
      <c r="P2052" s="208"/>
      <c r="Q2052" s="208"/>
      <c r="R2052" s="208"/>
      <c r="S2052" s="338"/>
      <c r="T2052" s="208"/>
      <c r="U2052" s="275"/>
      <c r="W2052" s="1"/>
      <c r="X2052" s="1"/>
      <c r="Y2052" s="1"/>
    </row>
    <row r="2053" spans="2:25">
      <c r="G2053" s="62" t="s">
        <v>168</v>
      </c>
      <c r="I2053" s="213"/>
      <c r="J2053" s="214"/>
      <c r="K2053" s="214"/>
      <c r="L2053" s="214"/>
      <c r="M2053" s="214"/>
      <c r="N2053" s="214"/>
      <c r="O2053" s="276"/>
      <c r="P2053" s="277"/>
      <c r="Q2053" s="214"/>
      <c r="R2053" s="214"/>
      <c r="S2053" s="339"/>
      <c r="T2053" s="214"/>
      <c r="U2053" s="278"/>
      <c r="W2053" s="1"/>
      <c r="X2053" s="1"/>
      <c r="Y2053" s="1"/>
    </row>
    <row r="2054" spans="2:25">
      <c r="B2054" s="1" t="s">
        <v>296</v>
      </c>
      <c r="G2054" s="26" t="s">
        <v>17</v>
      </c>
      <c r="I2054" s="154">
        <f xml:space="preserve"> I2047 - I2046</f>
        <v>0</v>
      </c>
      <c r="J2054" s="154">
        <f xml:space="preserve"> J2046 + J2049 - J2048 - J2047</f>
        <v>0</v>
      </c>
      <c r="K2054" s="154">
        <f>K2048 - K2049</f>
        <v>0</v>
      </c>
      <c r="L2054" s="154">
        <f t="shared" ref="L2054" si="895">L2048 - L2049</f>
        <v>0</v>
      </c>
      <c r="M2054" s="154">
        <f>M2047-M2048-M2049</f>
        <v>0</v>
      </c>
      <c r="N2054" s="163">
        <f>N2049-N2050-N2051</f>
        <v>-2644</v>
      </c>
      <c r="O2054" s="163">
        <f>O2051-O2052-O2053</f>
        <v>2644</v>
      </c>
      <c r="P2054" s="163">
        <f>P2053</f>
        <v>0</v>
      </c>
      <c r="Q2054" s="163">
        <f t="shared" ref="Q2054:S2054" si="896">Q2053</f>
        <v>0</v>
      </c>
      <c r="R2054" s="163">
        <f t="shared" si="896"/>
        <v>0</v>
      </c>
      <c r="S2054" s="340">
        <f t="shared" si="896"/>
        <v>0</v>
      </c>
      <c r="T2054" s="163">
        <f t="shared" ref="T2054:U2054" si="897">T2053</f>
        <v>0</v>
      </c>
      <c r="U2054" s="163">
        <f t="shared" si="897"/>
        <v>0</v>
      </c>
      <c r="W2054" s="1"/>
      <c r="X2054" s="1"/>
      <c r="Y2054" s="1"/>
    </row>
    <row r="2055" spans="2:25">
      <c r="G2055" s="6"/>
      <c r="I2055" s="154"/>
      <c r="J2055" s="154"/>
      <c r="K2055" s="154"/>
      <c r="L2055" s="154"/>
      <c r="M2055" s="154"/>
      <c r="N2055" s="154"/>
      <c r="O2055" s="154"/>
      <c r="P2055" s="154"/>
      <c r="Q2055" s="154"/>
      <c r="R2055" s="154"/>
      <c r="S2055" s="327"/>
      <c r="T2055" s="154"/>
      <c r="U2055" s="154"/>
      <c r="W2055" s="1"/>
      <c r="X2055" s="1"/>
      <c r="Y2055" s="1"/>
    </row>
    <row r="2056" spans="2:25">
      <c r="G2056" s="26" t="s">
        <v>12</v>
      </c>
      <c r="H2056" s="57"/>
      <c r="I2056" s="155"/>
      <c r="J2056" s="156"/>
      <c r="K2056" s="156"/>
      <c r="L2056" s="156"/>
      <c r="M2056" s="156"/>
      <c r="N2056" s="156"/>
      <c r="O2056" s="156"/>
      <c r="P2056" s="156"/>
      <c r="Q2056" s="156"/>
      <c r="R2056" s="156"/>
      <c r="S2056" s="326"/>
      <c r="T2056" s="156"/>
      <c r="U2056" s="267"/>
      <c r="W2056" s="1"/>
      <c r="X2056" s="1"/>
      <c r="Y2056" s="1"/>
    </row>
    <row r="2057" spans="2:25">
      <c r="G2057" s="6"/>
      <c r="I2057" s="154"/>
      <c r="J2057" s="154"/>
      <c r="K2057" s="154"/>
      <c r="L2057" s="154"/>
      <c r="M2057" s="154"/>
      <c r="N2057" s="154"/>
      <c r="O2057" s="154"/>
      <c r="P2057" s="154"/>
      <c r="Q2057" s="154"/>
      <c r="R2057" s="154"/>
      <c r="S2057" s="327"/>
      <c r="T2057" s="154"/>
      <c r="U2057" s="154"/>
      <c r="W2057" s="1"/>
      <c r="X2057" s="1"/>
      <c r="Y2057" s="1"/>
    </row>
    <row r="2058" spans="2:25" ht="18.75">
      <c r="C2058" s="1" t="s">
        <v>296</v>
      </c>
      <c r="D2058" s="1" t="s">
        <v>297</v>
      </c>
      <c r="E2058" s="1" t="s">
        <v>107</v>
      </c>
      <c r="F2058" s="9" t="s">
        <v>26</v>
      </c>
      <c r="H2058" s="57"/>
      <c r="I2058" s="157">
        <f xml:space="preserve"> I2027 + I2032 - I2038 + I2054 + I2056</f>
        <v>0</v>
      </c>
      <c r="J2058" s="158">
        <f xml:space="preserve"> J2027 + J2032 - J2038 + J2054 + J2056</f>
        <v>0</v>
      </c>
      <c r="K2058" s="158">
        <f xml:space="preserve"> K2027 + K2032 - K2038 + K2054 + K2056</f>
        <v>0</v>
      </c>
      <c r="L2058" s="158">
        <f t="shared" ref="L2058:S2058" si="898" xml:space="preserve"> L2027 + L2032 - L2038 + L2054 + L2056</f>
        <v>0</v>
      </c>
      <c r="M2058" s="158">
        <f t="shared" si="898"/>
        <v>0</v>
      </c>
      <c r="N2058" s="158">
        <f t="shared" si="898"/>
        <v>0</v>
      </c>
      <c r="O2058" s="158">
        <f t="shared" si="898"/>
        <v>2644</v>
      </c>
      <c r="P2058" s="158">
        <f t="shared" si="898"/>
        <v>0</v>
      </c>
      <c r="Q2058" s="158">
        <f t="shared" si="898"/>
        <v>0</v>
      </c>
      <c r="R2058" s="158">
        <f t="shared" si="898"/>
        <v>0</v>
      </c>
      <c r="S2058" s="328">
        <f t="shared" si="898"/>
        <v>0</v>
      </c>
      <c r="T2058" s="158">
        <f t="shared" ref="T2058:U2058" si="899" xml:space="preserve"> T2027 + T2032 - T2038 + T2054 + T2056</f>
        <v>0</v>
      </c>
      <c r="U2058" s="268">
        <f t="shared" si="899"/>
        <v>0</v>
      </c>
      <c r="W2058" s="1"/>
      <c r="X2058" s="1"/>
      <c r="Y2058" s="1"/>
    </row>
    <row r="2059" spans="2:25">
      <c r="G2059" s="6"/>
      <c r="I2059" s="7"/>
      <c r="J2059" s="7"/>
      <c r="K2059" s="7"/>
      <c r="L2059" s="23"/>
      <c r="M2059" s="23"/>
      <c r="N2059" s="23"/>
      <c r="O2059" s="23"/>
      <c r="P2059" s="23"/>
      <c r="Q2059" s="23"/>
      <c r="R2059" s="23"/>
      <c r="S2059" s="321"/>
      <c r="T2059" s="23"/>
      <c r="U2059" s="23"/>
      <c r="W2059" s="1"/>
      <c r="X2059" s="1"/>
      <c r="Y2059" s="1"/>
    </row>
    <row r="2060" spans="2:25" ht="15.75" thickBot="1">
      <c r="S2060" s="333"/>
      <c r="W2060" s="1"/>
      <c r="X2060" s="1"/>
      <c r="Y2060" s="1"/>
    </row>
    <row r="2061" spans="2:25" s="341" customFormat="1" thickBot="1">
      <c r="F2061" s="437"/>
      <c r="G2061" s="437"/>
      <c r="H2061" s="437"/>
      <c r="I2061" s="437"/>
      <c r="J2061" s="437"/>
      <c r="K2061" s="437"/>
      <c r="L2061" s="437"/>
      <c r="M2061" s="437"/>
      <c r="N2061" s="437"/>
      <c r="O2061" s="437"/>
      <c r="P2061" s="437"/>
      <c r="Q2061" s="437"/>
      <c r="R2061" s="437"/>
      <c r="S2061" s="438"/>
      <c r="T2061" s="437"/>
      <c r="U2061" s="437"/>
    </row>
    <row r="2062" spans="2:25" s="341" customFormat="1" ht="21" thickBot="1">
      <c r="F2062" s="349" t="s">
        <v>4</v>
      </c>
      <c r="G2062" s="349"/>
      <c r="H2062" s="350" t="s">
        <v>259</v>
      </c>
      <c r="I2062" s="439"/>
      <c r="J2062" s="351"/>
      <c r="K2062" s="351"/>
      <c r="L2062" s="351"/>
      <c r="M2062" s="351"/>
      <c r="N2062" s="351"/>
      <c r="O2062" s="351"/>
      <c r="P2062" s="351"/>
      <c r="Q2062" s="351"/>
      <c r="R2062" s="351"/>
      <c r="S2062" s="436"/>
      <c r="T2062" s="351"/>
      <c r="U2062" s="351"/>
    </row>
    <row r="2063" spans="2:25" s="341" customFormat="1" ht="14.25">
      <c r="F2063" s="351"/>
      <c r="G2063" s="351"/>
      <c r="H2063" s="351"/>
      <c r="I2063" s="351"/>
      <c r="J2063" s="351"/>
      <c r="K2063" s="351"/>
      <c r="L2063" s="351"/>
      <c r="M2063" s="351"/>
      <c r="N2063" s="351"/>
      <c r="O2063" s="351"/>
      <c r="P2063" s="351"/>
      <c r="Q2063" s="351"/>
      <c r="R2063" s="351"/>
      <c r="S2063" s="436"/>
      <c r="T2063" s="351"/>
      <c r="U2063" s="351"/>
    </row>
    <row r="2064" spans="2:25" s="341" customFormat="1" ht="18">
      <c r="F2064" s="352" t="s">
        <v>21</v>
      </c>
      <c r="G2064" s="352"/>
      <c r="H2064" s="351"/>
      <c r="I2064" s="360">
        <v>2011</v>
      </c>
      <c r="J2064" s="360">
        <f>I2064+1</f>
        <v>2012</v>
      </c>
      <c r="K2064" s="360">
        <f t="shared" ref="K2064" si="900">J2064+1</f>
        <v>2013</v>
      </c>
      <c r="L2064" s="360">
        <f t="shared" ref="L2064" si="901">K2064+1</f>
        <v>2014</v>
      </c>
      <c r="M2064" s="360">
        <f t="shared" ref="M2064" si="902">L2064+1</f>
        <v>2015</v>
      </c>
      <c r="N2064" s="360">
        <f t="shared" ref="N2064" si="903">M2064+1</f>
        <v>2016</v>
      </c>
      <c r="O2064" s="360">
        <f t="shared" ref="O2064" si="904">N2064+1</f>
        <v>2017</v>
      </c>
      <c r="P2064" s="360">
        <f t="shared" ref="P2064" si="905">O2064+1</f>
        <v>2018</v>
      </c>
      <c r="Q2064" s="360">
        <f t="shared" ref="Q2064" si="906">P2064+1</f>
        <v>2019</v>
      </c>
      <c r="R2064" s="360">
        <f t="shared" ref="R2064" si="907">Q2064+1</f>
        <v>2020</v>
      </c>
      <c r="S2064" s="360">
        <f>R2064+1</f>
        <v>2021</v>
      </c>
      <c r="T2064" s="360">
        <f>S2064+1</f>
        <v>2022</v>
      </c>
      <c r="U2064" s="360">
        <f>T2064+1</f>
        <v>2023</v>
      </c>
    </row>
    <row r="2065" spans="1:21" s="341" customFormat="1" ht="14.25">
      <c r="F2065" s="351"/>
      <c r="G2065" s="353" t="str">
        <f>"Total MWh Produced / Purchased from " &amp; H2062</f>
        <v>Total MWh Produced / Purchased from Mountain Wind I</v>
      </c>
      <c r="H2065" s="354"/>
      <c r="I2065" s="362"/>
      <c r="J2065" s="363"/>
      <c r="K2065" s="363"/>
      <c r="L2065" s="363"/>
      <c r="M2065" s="363"/>
      <c r="N2065" s="363"/>
      <c r="O2065" s="363"/>
      <c r="P2065" s="363"/>
      <c r="Q2065" s="363"/>
      <c r="R2065" s="363"/>
      <c r="S2065" s="363">
        <v>158073</v>
      </c>
      <c r="T2065" s="363">
        <v>0</v>
      </c>
      <c r="U2065" s="460">
        <v>0</v>
      </c>
    </row>
    <row r="2066" spans="1:21" s="341" customFormat="1" ht="14.25">
      <c r="F2066" s="351"/>
      <c r="G2066" s="353" t="s">
        <v>25</v>
      </c>
      <c r="H2066" s="354"/>
      <c r="I2066" s="365"/>
      <c r="J2066" s="366"/>
      <c r="K2066" s="366"/>
      <c r="L2066" s="366"/>
      <c r="M2066" s="366"/>
      <c r="N2066" s="366"/>
      <c r="O2066" s="366"/>
      <c r="P2066" s="366"/>
      <c r="Q2066" s="366"/>
      <c r="R2066" s="366"/>
      <c r="S2066" s="366">
        <v>1</v>
      </c>
      <c r="T2066" s="366">
        <v>1</v>
      </c>
      <c r="U2066" s="366">
        <v>1</v>
      </c>
    </row>
    <row r="2067" spans="1:21" s="341" customFormat="1" ht="14.25">
      <c r="F2067" s="351"/>
      <c r="G2067" s="353" t="s">
        <v>20</v>
      </c>
      <c r="H2067" s="354"/>
      <c r="I2067" s="368"/>
      <c r="J2067" s="369"/>
      <c r="K2067" s="369"/>
      <c r="L2067" s="369"/>
      <c r="M2067" s="369"/>
      <c r="N2067" s="369"/>
      <c r="O2067" s="369"/>
      <c r="P2067" s="369"/>
      <c r="Q2067" s="369"/>
      <c r="R2067" s="369"/>
      <c r="S2067" s="369">
        <v>0</v>
      </c>
      <c r="T2067" s="369">
        <v>0</v>
      </c>
      <c r="U2067" s="369">
        <v>0</v>
      </c>
    </row>
    <row r="2068" spans="1:21" s="341" customFormat="1" ht="14.25">
      <c r="A2068" s="489" t="s">
        <v>224</v>
      </c>
      <c r="F2068" s="351"/>
      <c r="G2068" s="355" t="s">
        <v>22</v>
      </c>
      <c r="H2068" s="356"/>
      <c r="I2068" s="371">
        <v>0</v>
      </c>
      <c r="J2068" s="371">
        <v>0</v>
      </c>
      <c r="K2068" s="371">
        <v>0</v>
      </c>
      <c r="L2068" s="371">
        <v>0</v>
      </c>
      <c r="M2068" s="371">
        <v>0</v>
      </c>
      <c r="N2068" s="372">
        <v>0</v>
      </c>
      <c r="O2068" s="372">
        <v>0</v>
      </c>
      <c r="P2068" s="372">
        <v>0</v>
      </c>
      <c r="Q2068" s="372">
        <f>Q2065*Q2067</f>
        <v>0</v>
      </c>
      <c r="R2068" s="372">
        <f>R2065*R2067</f>
        <v>0</v>
      </c>
      <c r="S2068" s="372">
        <f>S2065*S2067</f>
        <v>0</v>
      </c>
      <c r="T2068" s="372">
        <f>T2065*T2067</f>
        <v>0</v>
      </c>
      <c r="U2068" s="372">
        <f>U2065*U2067</f>
        <v>0</v>
      </c>
    </row>
    <row r="2069" spans="1:21" s="341" customFormat="1" ht="14.25">
      <c r="F2069" s="351"/>
      <c r="G2069" s="351"/>
      <c r="H2069" s="351"/>
      <c r="I2069" s="374"/>
      <c r="J2069" s="374"/>
      <c r="K2069" s="374"/>
      <c r="L2069" s="374"/>
      <c r="M2069" s="374"/>
      <c r="N2069" s="375"/>
      <c r="O2069" s="375"/>
      <c r="P2069" s="375"/>
      <c r="Q2069" s="375"/>
      <c r="R2069" s="375"/>
      <c r="S2069" s="375"/>
      <c r="T2069" s="375"/>
      <c r="U2069" s="375"/>
    </row>
    <row r="2070" spans="1:21" s="341" customFormat="1" ht="18">
      <c r="F2070" s="352" t="s">
        <v>118</v>
      </c>
      <c r="G2070" s="351"/>
      <c r="H2070" s="351"/>
      <c r="I2070" s="360">
        <v>2011</v>
      </c>
      <c r="J2070" s="360">
        <f>I2070+1</f>
        <v>2012</v>
      </c>
      <c r="K2070" s="360">
        <f t="shared" ref="K2070" si="908">J2070+1</f>
        <v>2013</v>
      </c>
      <c r="L2070" s="360">
        <f t="shared" ref="L2070" si="909">K2070+1</f>
        <v>2014</v>
      </c>
      <c r="M2070" s="360">
        <f t="shared" ref="M2070" si="910">L2070+1</f>
        <v>2015</v>
      </c>
      <c r="N2070" s="360">
        <f t="shared" ref="N2070" si="911">M2070+1</f>
        <v>2016</v>
      </c>
      <c r="O2070" s="360">
        <f t="shared" ref="O2070" si="912">N2070+1</f>
        <v>2017</v>
      </c>
      <c r="P2070" s="360">
        <f t="shared" ref="P2070" si="913">O2070+1</f>
        <v>2018</v>
      </c>
      <c r="Q2070" s="360">
        <f t="shared" ref="Q2070" si="914">P2070+1</f>
        <v>2019</v>
      </c>
      <c r="R2070" s="440">
        <f t="shared" ref="R2070" si="915">Q2070+1</f>
        <v>2020</v>
      </c>
      <c r="S2070" s="360">
        <f>R2070+1</f>
        <v>2021</v>
      </c>
      <c r="T2070" s="360">
        <f>S2070+1</f>
        <v>2022</v>
      </c>
      <c r="U2070" s="360">
        <f>T2070+1</f>
        <v>2023</v>
      </c>
    </row>
    <row r="2071" spans="1:21" s="341" customFormat="1" ht="14.25">
      <c r="F2071" s="351"/>
      <c r="G2071" s="353" t="s">
        <v>10</v>
      </c>
      <c r="H2071" s="354"/>
      <c r="I2071" s="377">
        <f>IF($J46= "Eligible", I2068 * 'Facility Detail'!$G$3257, 0 )</f>
        <v>0</v>
      </c>
      <c r="J2071" s="378">
        <f>IF($J46= "Eligible", J2068 * 'Facility Detail'!$G$3257, 0 )</f>
        <v>0</v>
      </c>
      <c r="K2071" s="378">
        <f>IF($J46= "Eligible", K2068 * 'Facility Detail'!$G$3257, 0 )</f>
        <v>0</v>
      </c>
      <c r="L2071" s="378">
        <f>IF($J46= "Eligible", L2068 * 'Facility Detail'!$G$3257, 0 )</f>
        <v>0</v>
      </c>
      <c r="M2071" s="378">
        <f>IF($J46= "Eligible", M2068 * 'Facility Detail'!$G$3257, 0 )</f>
        <v>0</v>
      </c>
      <c r="N2071" s="378">
        <f>IF($J46= "Eligible", N2068 * 'Facility Detail'!$G$3257, 0 )</f>
        <v>0</v>
      </c>
      <c r="O2071" s="378">
        <f>IF($J46= "Eligible", O2068 * 'Facility Detail'!$G$3257, 0 )</f>
        <v>0</v>
      </c>
      <c r="P2071" s="378">
        <f>IF($J46= "Eligible", P2068 * 'Facility Detail'!$G$3257, 0 )</f>
        <v>0</v>
      </c>
      <c r="Q2071" s="378">
        <f>IF($J46= "Eligible", Q2068 * 'Facility Detail'!$G$3257, 0 )</f>
        <v>0</v>
      </c>
      <c r="R2071" s="441">
        <f>IF($J46= "Eligible", R2068 * 'Facility Detail'!$G$3257, 0 )</f>
        <v>0</v>
      </c>
      <c r="S2071" s="378">
        <f>IF($J46= "Eligible", S2068 * 'Facility Detail'!$G$3257, 0 )</f>
        <v>0</v>
      </c>
      <c r="T2071" s="378">
        <f>IF($J46= "Eligible", T2068 * 'Facility Detail'!$G$3257, 0 )</f>
        <v>0</v>
      </c>
      <c r="U2071" s="462">
        <f>IF($J46= "Eligible", U2068 * 'Facility Detail'!$G$3257, 0 )</f>
        <v>0</v>
      </c>
    </row>
    <row r="2072" spans="1:21" s="341" customFormat="1" ht="14.25">
      <c r="F2072" s="351"/>
      <c r="G2072" s="353" t="s">
        <v>6</v>
      </c>
      <c r="H2072" s="354"/>
      <c r="I2072" s="380">
        <f t="shared" ref="I2072:U2072" si="916">IF($K46= "Eligible", I2068, 0 )</f>
        <v>0</v>
      </c>
      <c r="J2072" s="381">
        <f t="shared" si="916"/>
        <v>0</v>
      </c>
      <c r="K2072" s="381">
        <f t="shared" si="916"/>
        <v>0</v>
      </c>
      <c r="L2072" s="381">
        <f t="shared" si="916"/>
        <v>0</v>
      </c>
      <c r="M2072" s="381">
        <f t="shared" si="916"/>
        <v>0</v>
      </c>
      <c r="N2072" s="381">
        <f t="shared" si="916"/>
        <v>0</v>
      </c>
      <c r="O2072" s="381">
        <f t="shared" si="916"/>
        <v>0</v>
      </c>
      <c r="P2072" s="381">
        <f t="shared" si="916"/>
        <v>0</v>
      </c>
      <c r="Q2072" s="381">
        <f t="shared" si="916"/>
        <v>0</v>
      </c>
      <c r="R2072" s="442">
        <f t="shared" si="916"/>
        <v>0</v>
      </c>
      <c r="S2072" s="381">
        <f t="shared" si="916"/>
        <v>0</v>
      </c>
      <c r="T2072" s="381">
        <f t="shared" si="916"/>
        <v>0</v>
      </c>
      <c r="U2072" s="463">
        <f t="shared" si="916"/>
        <v>0</v>
      </c>
    </row>
    <row r="2073" spans="1:21" s="341" customFormat="1" ht="14.25">
      <c r="F2073" s="351"/>
      <c r="G2073" s="355" t="s">
        <v>120</v>
      </c>
      <c r="H2073" s="356"/>
      <c r="I2073" s="383">
        <f>SUM(I2071:I2072)</f>
        <v>0</v>
      </c>
      <c r="J2073" s="384">
        <f t="shared" ref="J2073:S2073" si="917">SUM(J2071:J2072)</f>
        <v>0</v>
      </c>
      <c r="K2073" s="384">
        <f t="shared" si="917"/>
        <v>0</v>
      </c>
      <c r="L2073" s="384">
        <f t="shared" si="917"/>
        <v>0</v>
      </c>
      <c r="M2073" s="384">
        <f t="shared" si="917"/>
        <v>0</v>
      </c>
      <c r="N2073" s="384">
        <f t="shared" si="917"/>
        <v>0</v>
      </c>
      <c r="O2073" s="384">
        <f t="shared" si="917"/>
        <v>0</v>
      </c>
      <c r="P2073" s="384">
        <f t="shared" si="917"/>
        <v>0</v>
      </c>
      <c r="Q2073" s="384">
        <f t="shared" si="917"/>
        <v>0</v>
      </c>
      <c r="R2073" s="443">
        <f t="shared" si="917"/>
        <v>0</v>
      </c>
      <c r="S2073" s="384">
        <f t="shared" si="917"/>
        <v>0</v>
      </c>
      <c r="T2073" s="384">
        <f t="shared" ref="T2073:U2073" si="918">SUM(T2071:T2072)</f>
        <v>0</v>
      </c>
      <c r="U2073" s="384">
        <f t="shared" si="918"/>
        <v>0</v>
      </c>
    </row>
    <row r="2074" spans="1:21" s="341" customFormat="1" ht="14.25">
      <c r="F2074" s="351"/>
      <c r="G2074" s="351"/>
      <c r="H2074" s="351"/>
      <c r="I2074" s="386"/>
      <c r="J2074" s="387"/>
      <c r="K2074" s="387"/>
      <c r="L2074" s="387"/>
      <c r="M2074" s="387"/>
      <c r="N2074" s="387"/>
      <c r="O2074" s="387"/>
      <c r="P2074" s="387"/>
      <c r="Q2074" s="387"/>
      <c r="R2074" s="444"/>
      <c r="S2074" s="387"/>
      <c r="T2074" s="387"/>
      <c r="U2074" s="387"/>
    </row>
    <row r="2075" spans="1:21" s="341" customFormat="1" ht="18">
      <c r="F2075" s="352" t="s">
        <v>30</v>
      </c>
      <c r="G2075" s="351"/>
      <c r="H2075" s="351"/>
      <c r="I2075" s="360">
        <v>2011</v>
      </c>
      <c r="J2075" s="360">
        <f>I2075+1</f>
        <v>2012</v>
      </c>
      <c r="K2075" s="360">
        <f t="shared" ref="K2075" si="919">J2075+1</f>
        <v>2013</v>
      </c>
      <c r="L2075" s="360">
        <f t="shared" ref="L2075" si="920">K2075+1</f>
        <v>2014</v>
      </c>
      <c r="M2075" s="360">
        <f t="shared" ref="M2075" si="921">L2075+1</f>
        <v>2015</v>
      </c>
      <c r="N2075" s="360">
        <f t="shared" ref="N2075" si="922">M2075+1</f>
        <v>2016</v>
      </c>
      <c r="O2075" s="360">
        <f t="shared" ref="O2075" si="923">N2075+1</f>
        <v>2017</v>
      </c>
      <c r="P2075" s="360">
        <f t="shared" ref="P2075" si="924">O2075+1</f>
        <v>2018</v>
      </c>
      <c r="Q2075" s="360">
        <f t="shared" ref="Q2075" si="925">P2075+1</f>
        <v>2019</v>
      </c>
      <c r="R2075" s="440">
        <f t="shared" ref="R2075" si="926">Q2075+1</f>
        <v>2020</v>
      </c>
      <c r="S2075" s="360">
        <f>R2075+1</f>
        <v>2021</v>
      </c>
      <c r="T2075" s="360">
        <f>S2075+1</f>
        <v>2022</v>
      </c>
      <c r="U2075" s="360">
        <f>T2075+1</f>
        <v>2023</v>
      </c>
    </row>
    <row r="2076" spans="1:21" s="341" customFormat="1" ht="14.25">
      <c r="F2076" s="351"/>
      <c r="G2076" s="353" t="s">
        <v>47</v>
      </c>
      <c r="H2076" s="354"/>
      <c r="I2076" s="389"/>
      <c r="J2076" s="390"/>
      <c r="K2076" s="390"/>
      <c r="L2076" s="390"/>
      <c r="M2076" s="390"/>
      <c r="N2076" s="390"/>
      <c r="O2076" s="390"/>
      <c r="P2076" s="390"/>
      <c r="Q2076" s="390"/>
      <c r="R2076" s="445"/>
      <c r="S2076" s="390"/>
      <c r="T2076" s="390"/>
      <c r="U2076" s="464"/>
    </row>
    <row r="2077" spans="1:21" s="341" customFormat="1" ht="14.25">
      <c r="F2077" s="351"/>
      <c r="G2077" s="357" t="s">
        <v>23</v>
      </c>
      <c r="H2077" s="358"/>
      <c r="I2077" s="392"/>
      <c r="J2077" s="393"/>
      <c r="K2077" s="393"/>
      <c r="L2077" s="393"/>
      <c r="M2077" s="393"/>
      <c r="N2077" s="393"/>
      <c r="O2077" s="393"/>
      <c r="P2077" s="393"/>
      <c r="Q2077" s="393"/>
      <c r="R2077" s="446"/>
      <c r="S2077" s="393"/>
      <c r="T2077" s="393"/>
      <c r="U2077" s="465"/>
    </row>
    <row r="2078" spans="1:21" s="341" customFormat="1" ht="14.25">
      <c r="F2078" s="351"/>
      <c r="G2078" s="357" t="s">
        <v>89</v>
      </c>
      <c r="H2078" s="359"/>
      <c r="I2078" s="395"/>
      <c r="J2078" s="396"/>
      <c r="K2078" s="396"/>
      <c r="L2078" s="396"/>
      <c r="M2078" s="396"/>
      <c r="N2078" s="396"/>
      <c r="O2078" s="396"/>
      <c r="P2078" s="396"/>
      <c r="Q2078" s="396"/>
      <c r="R2078" s="447"/>
      <c r="S2078" s="396"/>
      <c r="T2078" s="396"/>
      <c r="U2078" s="466"/>
    </row>
    <row r="2079" spans="1:21" s="341" customFormat="1" ht="14.25">
      <c r="F2079" s="351"/>
      <c r="G2079" s="355" t="s">
        <v>90</v>
      </c>
      <c r="H2079" s="351"/>
      <c r="I2079" s="398">
        <v>0</v>
      </c>
      <c r="J2079" s="398">
        <v>0</v>
      </c>
      <c r="K2079" s="398">
        <v>0</v>
      </c>
      <c r="L2079" s="398">
        <v>0</v>
      </c>
      <c r="M2079" s="398">
        <v>0</v>
      </c>
      <c r="N2079" s="398">
        <v>0</v>
      </c>
      <c r="O2079" s="398">
        <v>0</v>
      </c>
      <c r="P2079" s="398">
        <v>0</v>
      </c>
      <c r="Q2079" s="398">
        <v>0</v>
      </c>
      <c r="R2079" s="448">
        <v>0</v>
      </c>
      <c r="S2079" s="398">
        <v>0</v>
      </c>
      <c r="T2079" s="398">
        <v>0</v>
      </c>
      <c r="U2079" s="398">
        <v>0</v>
      </c>
    </row>
    <row r="2080" spans="1:21" s="341" customFormat="1" ht="14.25">
      <c r="F2080" s="351"/>
      <c r="G2080" s="356"/>
      <c r="H2080" s="351"/>
      <c r="I2080" s="398"/>
      <c r="J2080" s="398"/>
      <c r="K2080" s="398"/>
      <c r="L2080" s="400"/>
      <c r="M2080" s="400"/>
      <c r="N2080" s="400"/>
      <c r="O2080" s="400"/>
      <c r="P2080" s="400"/>
      <c r="Q2080" s="400"/>
      <c r="R2080" s="400"/>
      <c r="S2080" s="400"/>
      <c r="T2080" s="400"/>
      <c r="U2080" s="400"/>
    </row>
    <row r="2081" spans="6:21" s="341" customFormat="1" ht="18">
      <c r="F2081" s="352" t="s">
        <v>100</v>
      </c>
      <c r="G2081" s="351"/>
      <c r="H2081" s="351"/>
      <c r="I2081" s="360">
        <f>'Facility Detail'!$G$3260</f>
        <v>2011</v>
      </c>
      <c r="J2081" s="360">
        <f>I2081+1</f>
        <v>2012</v>
      </c>
      <c r="K2081" s="360">
        <f t="shared" ref="K2081" si="927">J2081+1</f>
        <v>2013</v>
      </c>
      <c r="L2081" s="360">
        <f t="shared" ref="L2081" si="928">K2081+1</f>
        <v>2014</v>
      </c>
      <c r="M2081" s="360">
        <f t="shared" ref="M2081" si="929">L2081+1</f>
        <v>2015</v>
      </c>
      <c r="N2081" s="360">
        <f t="shared" ref="N2081" si="930">M2081+1</f>
        <v>2016</v>
      </c>
      <c r="O2081" s="360">
        <f t="shared" ref="O2081" si="931">N2081+1</f>
        <v>2017</v>
      </c>
      <c r="P2081" s="360">
        <f t="shared" ref="P2081" si="932">O2081+1</f>
        <v>2018</v>
      </c>
      <c r="Q2081" s="360">
        <f t="shared" ref="Q2081" si="933">P2081+1</f>
        <v>2019</v>
      </c>
      <c r="R2081" s="360">
        <f t="shared" ref="R2081" si="934">Q2081+1</f>
        <v>2020</v>
      </c>
      <c r="S2081" s="360">
        <f>R2081+1</f>
        <v>2021</v>
      </c>
      <c r="T2081" s="360">
        <f>S2081+1</f>
        <v>2022</v>
      </c>
      <c r="U2081" s="360">
        <f>T2081+1</f>
        <v>2023</v>
      </c>
    </row>
    <row r="2082" spans="6:21" s="341" customFormat="1" ht="14.25">
      <c r="F2082" s="351"/>
      <c r="G2082" s="353" t="s">
        <v>68</v>
      </c>
      <c r="H2082" s="354"/>
      <c r="I2082" s="362"/>
      <c r="J2082" s="402">
        <f>I2082</f>
        <v>0</v>
      </c>
      <c r="K2082" s="403"/>
      <c r="L2082" s="403"/>
      <c r="M2082" s="403"/>
      <c r="N2082" s="403"/>
      <c r="O2082" s="403"/>
      <c r="P2082" s="403"/>
      <c r="Q2082" s="403"/>
      <c r="R2082" s="403"/>
      <c r="S2082" s="404"/>
      <c r="T2082" s="467"/>
      <c r="U2082" s="468"/>
    </row>
    <row r="2083" spans="6:21" s="341" customFormat="1" ht="14.25">
      <c r="F2083" s="351"/>
      <c r="G2083" s="353" t="s">
        <v>69</v>
      </c>
      <c r="H2083" s="354"/>
      <c r="I2083" s="405">
        <f>J2083</f>
        <v>0</v>
      </c>
      <c r="J2083" s="406"/>
      <c r="K2083" s="407"/>
      <c r="L2083" s="407"/>
      <c r="M2083" s="407"/>
      <c r="N2083" s="407"/>
      <c r="O2083" s="407"/>
      <c r="P2083" s="407"/>
      <c r="Q2083" s="407"/>
      <c r="R2083" s="407"/>
      <c r="S2083" s="408"/>
      <c r="T2083" s="469"/>
      <c r="U2083" s="470"/>
    </row>
    <row r="2084" spans="6:21" s="341" customFormat="1" ht="14.25">
      <c r="F2084" s="351"/>
      <c r="G2084" s="353" t="s">
        <v>70</v>
      </c>
      <c r="H2084" s="354"/>
      <c r="I2084" s="409"/>
      <c r="J2084" s="406">
        <f>J2068</f>
        <v>0</v>
      </c>
      <c r="K2084" s="410">
        <f>J2084</f>
        <v>0</v>
      </c>
      <c r="L2084" s="407"/>
      <c r="M2084" s="407"/>
      <c r="N2084" s="407"/>
      <c r="O2084" s="407"/>
      <c r="P2084" s="407"/>
      <c r="Q2084" s="407"/>
      <c r="R2084" s="407"/>
      <c r="S2084" s="408"/>
      <c r="T2084" s="469"/>
      <c r="U2084" s="470"/>
    </row>
    <row r="2085" spans="6:21" s="341" customFormat="1" ht="14.25">
      <c r="F2085" s="351"/>
      <c r="G2085" s="353" t="s">
        <v>71</v>
      </c>
      <c r="H2085" s="354"/>
      <c r="I2085" s="409"/>
      <c r="J2085" s="410">
        <f>K2085</f>
        <v>0</v>
      </c>
      <c r="K2085" s="406"/>
      <c r="L2085" s="407"/>
      <c r="M2085" s="407"/>
      <c r="N2085" s="407"/>
      <c r="O2085" s="407"/>
      <c r="P2085" s="407"/>
      <c r="Q2085" s="407"/>
      <c r="R2085" s="407"/>
      <c r="S2085" s="408"/>
      <c r="T2085" s="469"/>
      <c r="U2085" s="470"/>
    </row>
    <row r="2086" spans="6:21" s="341" customFormat="1" ht="14.25">
      <c r="F2086" s="351"/>
      <c r="G2086" s="353" t="s">
        <v>170</v>
      </c>
      <c r="H2086" s="351"/>
      <c r="I2086" s="409"/>
      <c r="J2086" s="411"/>
      <c r="K2086" s="406">
        <f>K2068</f>
        <v>0</v>
      </c>
      <c r="L2086" s="412">
        <f>K2086</f>
        <v>0</v>
      </c>
      <c r="M2086" s="407"/>
      <c r="N2086" s="407"/>
      <c r="O2086" s="407"/>
      <c r="P2086" s="407"/>
      <c r="Q2086" s="407"/>
      <c r="R2086" s="407"/>
      <c r="S2086" s="408"/>
      <c r="T2086" s="471"/>
      <c r="U2086" s="472"/>
    </row>
    <row r="2087" spans="6:21" s="341" customFormat="1" ht="14.25">
      <c r="F2087" s="351"/>
      <c r="G2087" s="353" t="s">
        <v>171</v>
      </c>
      <c r="H2087" s="351"/>
      <c r="I2087" s="409"/>
      <c r="J2087" s="411"/>
      <c r="K2087" s="410">
        <f>L2087</f>
        <v>0</v>
      </c>
      <c r="L2087" s="406"/>
      <c r="M2087" s="407"/>
      <c r="N2087" s="407"/>
      <c r="O2087" s="407"/>
      <c r="P2087" s="407"/>
      <c r="Q2087" s="407"/>
      <c r="R2087" s="407"/>
      <c r="S2087" s="408"/>
      <c r="T2087" s="471"/>
      <c r="U2087" s="472"/>
    </row>
    <row r="2088" spans="6:21" s="341" customFormat="1" ht="14.25">
      <c r="F2088" s="351"/>
      <c r="G2088" s="353" t="s">
        <v>172</v>
      </c>
      <c r="H2088" s="351"/>
      <c r="I2088" s="409"/>
      <c r="J2088" s="411"/>
      <c r="K2088" s="411"/>
      <c r="L2088" s="406">
        <f>L2068</f>
        <v>0</v>
      </c>
      <c r="M2088" s="412">
        <f>L2088</f>
        <v>0</v>
      </c>
      <c r="N2088" s="411"/>
      <c r="O2088" s="407"/>
      <c r="P2088" s="407"/>
      <c r="Q2088" s="407"/>
      <c r="R2088" s="407"/>
      <c r="S2088" s="408"/>
      <c r="T2088" s="471"/>
      <c r="U2088" s="472"/>
    </row>
    <row r="2089" spans="6:21" s="341" customFormat="1" ht="14.25">
      <c r="F2089" s="351"/>
      <c r="G2089" s="353" t="s">
        <v>173</v>
      </c>
      <c r="H2089" s="351"/>
      <c r="I2089" s="409"/>
      <c r="J2089" s="411"/>
      <c r="K2089" s="411"/>
      <c r="L2089" s="410"/>
      <c r="M2089" s="406"/>
      <c r="N2089" s="411"/>
      <c r="O2089" s="407"/>
      <c r="P2089" s="407"/>
      <c r="Q2089" s="407"/>
      <c r="R2089" s="407"/>
      <c r="S2089" s="408"/>
      <c r="T2089" s="471"/>
      <c r="U2089" s="472"/>
    </row>
    <row r="2090" spans="6:21" s="341" customFormat="1" ht="14.25">
      <c r="F2090" s="351"/>
      <c r="G2090" s="353" t="s">
        <v>174</v>
      </c>
      <c r="H2090" s="351"/>
      <c r="I2090" s="409"/>
      <c r="J2090" s="411"/>
      <c r="K2090" s="411"/>
      <c r="L2090" s="411"/>
      <c r="M2090" s="406">
        <v>0</v>
      </c>
      <c r="N2090" s="412">
        <f>M2090</f>
        <v>0</v>
      </c>
      <c r="O2090" s="407"/>
      <c r="P2090" s="407"/>
      <c r="Q2090" s="407"/>
      <c r="R2090" s="407"/>
      <c r="S2090" s="408"/>
      <c r="T2090" s="471"/>
      <c r="U2090" s="472"/>
    </row>
    <row r="2091" spans="6:21" s="341" customFormat="1" ht="14.25">
      <c r="F2091" s="351"/>
      <c r="G2091" s="353" t="s">
        <v>175</v>
      </c>
      <c r="H2091" s="351"/>
      <c r="I2091" s="409"/>
      <c r="J2091" s="411"/>
      <c r="K2091" s="411"/>
      <c r="L2091" s="411"/>
      <c r="M2091" s="410"/>
      <c r="N2091" s="406"/>
      <c r="O2091" s="407"/>
      <c r="P2091" s="407"/>
      <c r="Q2091" s="407"/>
      <c r="R2091" s="407"/>
      <c r="S2091" s="408"/>
      <c r="T2091" s="471"/>
      <c r="U2091" s="472"/>
    </row>
    <row r="2092" spans="6:21" s="341" customFormat="1" ht="14.25">
      <c r="F2092" s="351"/>
      <c r="G2092" s="353" t="s">
        <v>176</v>
      </c>
      <c r="H2092" s="351"/>
      <c r="I2092" s="409"/>
      <c r="J2092" s="411"/>
      <c r="K2092" s="411"/>
      <c r="L2092" s="411"/>
      <c r="M2092" s="411"/>
      <c r="N2092" s="413">
        <f>N2068</f>
        <v>0</v>
      </c>
      <c r="O2092" s="414">
        <f>N2092</f>
        <v>0</v>
      </c>
      <c r="P2092" s="407"/>
      <c r="Q2092" s="407"/>
      <c r="R2092" s="407"/>
      <c r="S2092" s="408"/>
      <c r="T2092" s="471"/>
      <c r="U2092" s="472"/>
    </row>
    <row r="2093" spans="6:21" s="341" customFormat="1" ht="14.25">
      <c r="F2093" s="351"/>
      <c r="G2093" s="353" t="s">
        <v>167</v>
      </c>
      <c r="H2093" s="351"/>
      <c r="I2093" s="409"/>
      <c r="J2093" s="411"/>
      <c r="K2093" s="411"/>
      <c r="L2093" s="411"/>
      <c r="M2093" s="411"/>
      <c r="N2093" s="415"/>
      <c r="O2093" s="416"/>
      <c r="P2093" s="407"/>
      <c r="Q2093" s="407"/>
      <c r="R2093" s="407"/>
      <c r="S2093" s="408"/>
      <c r="T2093" s="471"/>
      <c r="U2093" s="472"/>
    </row>
    <row r="2094" spans="6:21" s="341" customFormat="1" ht="14.25">
      <c r="F2094" s="351"/>
      <c r="G2094" s="353" t="s">
        <v>168</v>
      </c>
      <c r="H2094" s="351"/>
      <c r="I2094" s="409"/>
      <c r="J2094" s="411"/>
      <c r="K2094" s="411"/>
      <c r="L2094" s="411"/>
      <c r="M2094" s="411"/>
      <c r="N2094" s="411"/>
      <c r="O2094" s="416">
        <f>O2068</f>
        <v>0</v>
      </c>
      <c r="P2094" s="414">
        <f>O2094</f>
        <v>0</v>
      </c>
      <c r="Q2094" s="407"/>
      <c r="R2094" s="407"/>
      <c r="S2094" s="408"/>
      <c r="T2094" s="471"/>
      <c r="U2094" s="472"/>
    </row>
    <row r="2095" spans="6:21" s="341" customFormat="1" ht="14.25">
      <c r="F2095" s="351"/>
      <c r="G2095" s="353" t="s">
        <v>185</v>
      </c>
      <c r="H2095" s="351"/>
      <c r="I2095" s="409"/>
      <c r="J2095" s="411"/>
      <c r="K2095" s="411"/>
      <c r="L2095" s="411"/>
      <c r="M2095" s="411"/>
      <c r="N2095" s="411"/>
      <c r="O2095" s="414"/>
      <c r="P2095" s="416"/>
      <c r="Q2095" s="407"/>
      <c r="R2095" s="407"/>
      <c r="S2095" s="408"/>
      <c r="T2095" s="471"/>
      <c r="U2095" s="472"/>
    </row>
    <row r="2096" spans="6:21" s="341" customFormat="1" ht="14.25">
      <c r="F2096" s="351"/>
      <c r="G2096" s="353" t="s">
        <v>186</v>
      </c>
      <c r="H2096" s="351"/>
      <c r="I2096" s="409"/>
      <c r="J2096" s="411"/>
      <c r="K2096" s="411"/>
      <c r="L2096" s="411"/>
      <c r="M2096" s="411"/>
      <c r="N2096" s="411"/>
      <c r="O2096" s="411"/>
      <c r="P2096" s="416"/>
      <c r="Q2096" s="410">
        <f>P2096</f>
        <v>0</v>
      </c>
      <c r="R2096" s="407"/>
      <c r="S2096" s="408"/>
      <c r="T2096" s="471"/>
      <c r="U2096" s="472"/>
    </row>
    <row r="2097" spans="2:21" s="341" customFormat="1" ht="14.25">
      <c r="F2097" s="351"/>
      <c r="G2097" s="353" t="s">
        <v>187</v>
      </c>
      <c r="H2097" s="351"/>
      <c r="I2097" s="409"/>
      <c r="J2097" s="411"/>
      <c r="K2097" s="411"/>
      <c r="L2097" s="411"/>
      <c r="M2097" s="411"/>
      <c r="N2097" s="411"/>
      <c r="O2097" s="411"/>
      <c r="P2097" s="414"/>
      <c r="Q2097" s="417"/>
      <c r="R2097" s="407"/>
      <c r="S2097" s="408"/>
      <c r="T2097" s="471"/>
      <c r="U2097" s="472"/>
    </row>
    <row r="2098" spans="2:21" s="341" customFormat="1" ht="14.25">
      <c r="F2098" s="351"/>
      <c r="G2098" s="353" t="s">
        <v>188</v>
      </c>
      <c r="H2098" s="351"/>
      <c r="I2098" s="409"/>
      <c r="J2098" s="411"/>
      <c r="K2098" s="411"/>
      <c r="L2098" s="411"/>
      <c r="M2098" s="411"/>
      <c r="N2098" s="411"/>
      <c r="O2098" s="411"/>
      <c r="P2098" s="411"/>
      <c r="Q2098" s="416"/>
      <c r="R2098" s="418">
        <f>Q2098</f>
        <v>0</v>
      </c>
      <c r="S2098" s="408"/>
      <c r="T2098" s="471"/>
      <c r="U2098" s="472"/>
    </row>
    <row r="2099" spans="2:21" s="341" customFormat="1" ht="14.25">
      <c r="F2099" s="351"/>
      <c r="G2099" s="353" t="s">
        <v>189</v>
      </c>
      <c r="H2099" s="351"/>
      <c r="I2099" s="409"/>
      <c r="J2099" s="411"/>
      <c r="K2099" s="411"/>
      <c r="L2099" s="411"/>
      <c r="M2099" s="411"/>
      <c r="N2099" s="411"/>
      <c r="O2099" s="411"/>
      <c r="P2099" s="411"/>
      <c r="Q2099" s="418">
        <f>R2068</f>
        <v>0</v>
      </c>
      <c r="R2099" s="419">
        <f>Q2099</f>
        <v>0</v>
      </c>
      <c r="S2099" s="408"/>
      <c r="T2099" s="471"/>
      <c r="U2099" s="472"/>
    </row>
    <row r="2100" spans="2:21" s="341" customFormat="1" ht="14.25">
      <c r="F2100" s="351"/>
      <c r="G2100" s="353" t="s">
        <v>190</v>
      </c>
      <c r="H2100" s="351"/>
      <c r="I2100" s="409"/>
      <c r="J2100" s="411"/>
      <c r="K2100" s="411"/>
      <c r="L2100" s="411"/>
      <c r="M2100" s="411"/>
      <c r="N2100" s="411"/>
      <c r="O2100" s="411"/>
      <c r="P2100" s="411"/>
      <c r="Q2100" s="411"/>
      <c r="R2100" s="419"/>
      <c r="S2100" s="420">
        <f>R2100</f>
        <v>0</v>
      </c>
      <c r="T2100" s="471"/>
      <c r="U2100" s="472"/>
    </row>
    <row r="2101" spans="2:21" s="341" customFormat="1" ht="14.25">
      <c r="F2101" s="351"/>
      <c r="G2101" s="353" t="s">
        <v>199</v>
      </c>
      <c r="H2101" s="351"/>
      <c r="I2101" s="409"/>
      <c r="J2101" s="411"/>
      <c r="K2101" s="411"/>
      <c r="L2101" s="411"/>
      <c r="M2101" s="411"/>
      <c r="N2101" s="411"/>
      <c r="O2101" s="411"/>
      <c r="P2101" s="411"/>
      <c r="Q2101" s="411"/>
      <c r="R2101" s="414"/>
      <c r="S2101" s="421">
        <v>0</v>
      </c>
      <c r="T2101" s="471"/>
      <c r="U2101" s="472"/>
    </row>
    <row r="2102" spans="2:21" s="341" customFormat="1" ht="14.25">
      <c r="F2102" s="351"/>
      <c r="G2102" s="353" t="s">
        <v>200</v>
      </c>
      <c r="H2102" s="351"/>
      <c r="I2102" s="409"/>
      <c r="J2102" s="411"/>
      <c r="K2102" s="411"/>
      <c r="L2102" s="411"/>
      <c r="M2102" s="411"/>
      <c r="N2102" s="411"/>
      <c r="O2102" s="411"/>
      <c r="P2102" s="411"/>
      <c r="Q2102" s="411"/>
      <c r="R2102" s="411"/>
      <c r="S2102" s="421">
        <v>0</v>
      </c>
      <c r="T2102" s="418">
        <f>S2102</f>
        <v>0</v>
      </c>
      <c r="U2102" s="472"/>
    </row>
    <row r="2103" spans="2:21" s="341" customFormat="1" ht="14.25">
      <c r="F2103" s="351"/>
      <c r="G2103" s="353" t="s">
        <v>308</v>
      </c>
      <c r="H2103" s="351"/>
      <c r="I2103" s="409"/>
      <c r="J2103" s="411"/>
      <c r="K2103" s="411"/>
      <c r="L2103" s="411"/>
      <c r="M2103" s="411"/>
      <c r="N2103" s="411"/>
      <c r="O2103" s="411"/>
      <c r="P2103" s="411"/>
      <c r="Q2103" s="411"/>
      <c r="R2103" s="411"/>
      <c r="S2103" s="422">
        <f>T2103</f>
        <v>0</v>
      </c>
      <c r="T2103" s="419">
        <v>0</v>
      </c>
      <c r="U2103" s="472"/>
    </row>
    <row r="2104" spans="2:21" s="341" customFormat="1" ht="14.25">
      <c r="F2104" s="351"/>
      <c r="G2104" s="353" t="s">
        <v>307</v>
      </c>
      <c r="H2104" s="351"/>
      <c r="I2104" s="423"/>
      <c r="J2104" s="424"/>
      <c r="K2104" s="424"/>
      <c r="L2104" s="424"/>
      <c r="M2104" s="424"/>
      <c r="N2104" s="424"/>
      <c r="O2104" s="424"/>
      <c r="P2104" s="424"/>
      <c r="Q2104" s="424"/>
      <c r="R2104" s="424"/>
      <c r="S2104" s="425"/>
      <c r="T2104" s="419">
        <v>0</v>
      </c>
      <c r="U2104" s="473">
        <f>T2104</f>
        <v>0</v>
      </c>
    </row>
    <row r="2105" spans="2:21" s="341" customFormat="1" ht="14.25">
      <c r="F2105" s="351"/>
      <c r="G2105" s="353" t="s">
        <v>318</v>
      </c>
      <c r="H2105" s="351"/>
      <c r="I2105" s="423"/>
      <c r="J2105" s="424"/>
      <c r="K2105" s="424"/>
      <c r="L2105" s="424"/>
      <c r="M2105" s="424"/>
      <c r="N2105" s="424"/>
      <c r="O2105" s="424"/>
      <c r="P2105" s="424"/>
      <c r="Q2105" s="424"/>
      <c r="R2105" s="424"/>
      <c r="S2105" s="425"/>
      <c r="T2105" s="414">
        <f>U2105</f>
        <v>0</v>
      </c>
      <c r="U2105" s="474">
        <v>0</v>
      </c>
    </row>
    <row r="2106" spans="2:21" s="341" customFormat="1" ht="14.25">
      <c r="F2106" s="351"/>
      <c r="G2106" s="353" t="s">
        <v>319</v>
      </c>
      <c r="H2106" s="351"/>
      <c r="I2106" s="426"/>
      <c r="J2106" s="427"/>
      <c r="K2106" s="427"/>
      <c r="L2106" s="427"/>
      <c r="M2106" s="427"/>
      <c r="N2106" s="427"/>
      <c r="O2106" s="427"/>
      <c r="P2106" s="427"/>
      <c r="Q2106" s="427"/>
      <c r="R2106" s="427"/>
      <c r="S2106" s="428"/>
      <c r="T2106" s="427"/>
      <c r="U2106" s="475">
        <v>0</v>
      </c>
    </row>
    <row r="2107" spans="2:21" s="341" customFormat="1" ht="14.25">
      <c r="B2107" s="489" t="s">
        <v>224</v>
      </c>
      <c r="F2107" s="351"/>
      <c r="G2107" s="355" t="s">
        <v>17</v>
      </c>
      <c r="H2107" s="351"/>
      <c r="I2107" s="398">
        <f xml:space="preserve"> I2088 - I2087</f>
        <v>0</v>
      </c>
      <c r="J2107" s="398">
        <f xml:space="preserve"> J2087 + J2090 - J2089 - J2088</f>
        <v>0</v>
      </c>
      <c r="K2107" s="398">
        <f>K2089 - K2090</f>
        <v>0</v>
      </c>
      <c r="L2107" s="398">
        <f>L2089 - L2090</f>
        <v>0</v>
      </c>
      <c r="M2107" s="398">
        <f>M2088-M2089-M2090</f>
        <v>0</v>
      </c>
      <c r="N2107" s="398">
        <f>N2090-N2091-N2092</f>
        <v>0</v>
      </c>
      <c r="O2107" s="398">
        <f>O2092-O2093-O2094</f>
        <v>0</v>
      </c>
      <c r="P2107" s="429">
        <f>P2094-P2095-P2096</f>
        <v>0</v>
      </c>
      <c r="Q2107" s="429">
        <f>Q2096+Q2099-Q2098-Q2097</f>
        <v>0</v>
      </c>
      <c r="R2107" s="429">
        <f>R2098-R2099+R2101</f>
        <v>0</v>
      </c>
      <c r="S2107" s="399">
        <f>S2100-S2101+S2102-S2103</f>
        <v>0</v>
      </c>
      <c r="T2107" s="398">
        <f>T2102-T2103-T2104+T2105</f>
        <v>0</v>
      </c>
      <c r="U2107" s="398">
        <f>U2104-U2105-U2106</f>
        <v>0</v>
      </c>
    </row>
    <row r="2108" spans="2:21" s="341" customFormat="1" ht="14.25">
      <c r="F2108" s="351"/>
      <c r="G2108" s="356"/>
      <c r="H2108" s="351"/>
      <c r="I2108" s="429"/>
      <c r="J2108" s="429"/>
      <c r="K2108" s="429"/>
      <c r="L2108" s="429"/>
      <c r="M2108" s="429"/>
      <c r="N2108" s="429"/>
      <c r="O2108" s="429"/>
      <c r="P2108" s="429"/>
      <c r="Q2108" s="429"/>
      <c r="R2108" s="429"/>
      <c r="S2108" s="430"/>
      <c r="T2108" s="429"/>
      <c r="U2108" s="429"/>
    </row>
    <row r="2109" spans="2:21" s="341" customFormat="1" ht="14.25">
      <c r="F2109" s="351"/>
      <c r="G2109" s="355" t="s">
        <v>12</v>
      </c>
      <c r="H2109" s="354"/>
      <c r="I2109" s="431"/>
      <c r="J2109" s="432"/>
      <c r="K2109" s="432"/>
      <c r="L2109" s="432"/>
      <c r="M2109" s="432"/>
      <c r="N2109" s="432"/>
      <c r="O2109" s="432"/>
      <c r="P2109" s="432"/>
      <c r="Q2109" s="432"/>
      <c r="R2109" s="432"/>
      <c r="S2109" s="432"/>
      <c r="T2109" s="432"/>
      <c r="U2109" s="476"/>
    </row>
    <row r="2110" spans="2:21" s="341" customFormat="1" ht="14.25">
      <c r="F2110" s="351"/>
      <c r="G2110" s="356"/>
      <c r="H2110" s="351"/>
      <c r="I2110" s="429"/>
      <c r="J2110" s="429"/>
      <c r="K2110" s="429"/>
      <c r="L2110" s="429"/>
      <c r="M2110" s="429"/>
      <c r="N2110" s="429"/>
      <c r="O2110" s="429"/>
      <c r="P2110" s="429"/>
      <c r="Q2110" s="429"/>
      <c r="R2110" s="429"/>
      <c r="S2110" s="429"/>
      <c r="T2110" s="429"/>
      <c r="U2110" s="429"/>
    </row>
    <row r="2111" spans="2:21" s="341" customFormat="1" ht="18">
      <c r="C2111" s="489" t="s">
        <v>224</v>
      </c>
      <c r="D2111" s="489" t="s">
        <v>245</v>
      </c>
      <c r="E2111" s="489" t="s">
        <v>107</v>
      </c>
      <c r="F2111" s="352" t="s">
        <v>26</v>
      </c>
      <c r="G2111" s="351"/>
      <c r="H2111" s="354"/>
      <c r="I2111" s="433">
        <f t="shared" ref="I2111:S2111" si="935" xml:space="preserve"> I2068 + I2073 - I2079 + I2107 + I2109</f>
        <v>0</v>
      </c>
      <c r="J2111" s="434">
        <f t="shared" si="935"/>
        <v>0</v>
      </c>
      <c r="K2111" s="434">
        <f t="shared" si="935"/>
        <v>0</v>
      </c>
      <c r="L2111" s="434">
        <f t="shared" si="935"/>
        <v>0</v>
      </c>
      <c r="M2111" s="434">
        <f t="shared" si="935"/>
        <v>0</v>
      </c>
      <c r="N2111" s="434">
        <f t="shared" si="935"/>
        <v>0</v>
      </c>
      <c r="O2111" s="434">
        <f t="shared" si="935"/>
        <v>0</v>
      </c>
      <c r="P2111" s="434">
        <f t="shared" si="935"/>
        <v>0</v>
      </c>
      <c r="Q2111" s="434">
        <f t="shared" si="935"/>
        <v>0</v>
      </c>
      <c r="R2111" s="434">
        <f t="shared" si="935"/>
        <v>0</v>
      </c>
      <c r="S2111" s="435">
        <f t="shared" si="935"/>
        <v>0</v>
      </c>
      <c r="T2111" s="434">
        <f t="shared" ref="T2111:U2111" si="936" xml:space="preserve"> T2068 + T2073 - T2079 + T2107 + T2109</f>
        <v>0</v>
      </c>
      <c r="U2111" s="477">
        <f t="shared" si="936"/>
        <v>0</v>
      </c>
    </row>
    <row r="2112" spans="2:21" s="341" customFormat="1" thickBot="1">
      <c r="S2112" s="345"/>
    </row>
    <row r="2113" spans="1:21" s="341" customFormat="1" thickBot="1">
      <c r="F2113" s="437"/>
      <c r="G2113" s="437"/>
      <c r="H2113" s="437"/>
      <c r="I2113" s="437"/>
      <c r="J2113" s="437"/>
      <c r="K2113" s="437"/>
      <c r="L2113" s="437"/>
      <c r="M2113" s="437"/>
      <c r="N2113" s="437"/>
      <c r="O2113" s="437"/>
      <c r="P2113" s="437"/>
      <c r="Q2113" s="437"/>
      <c r="R2113" s="437"/>
      <c r="S2113" s="449"/>
      <c r="T2113" s="437"/>
      <c r="U2113" s="437"/>
    </row>
    <row r="2114" spans="1:21" s="341" customFormat="1" ht="21" thickBot="1">
      <c r="F2114" s="349" t="s">
        <v>4</v>
      </c>
      <c r="G2114" s="349"/>
      <c r="H2114" s="350" t="s">
        <v>260</v>
      </c>
      <c r="I2114" s="439"/>
      <c r="J2114" s="351"/>
      <c r="K2114" s="351"/>
      <c r="L2114" s="351"/>
      <c r="M2114" s="351"/>
      <c r="N2114" s="351"/>
      <c r="O2114" s="351"/>
      <c r="P2114" s="351"/>
      <c r="Q2114" s="351"/>
      <c r="R2114" s="351"/>
      <c r="S2114" s="436"/>
      <c r="T2114" s="351"/>
      <c r="U2114" s="351"/>
    </row>
    <row r="2115" spans="1:21" s="341" customFormat="1" ht="14.25">
      <c r="F2115" s="351"/>
      <c r="G2115" s="351"/>
      <c r="H2115" s="351"/>
      <c r="I2115" s="351"/>
      <c r="J2115" s="351"/>
      <c r="K2115" s="351"/>
      <c r="L2115" s="351"/>
      <c r="M2115" s="351"/>
      <c r="N2115" s="351"/>
      <c r="O2115" s="351"/>
      <c r="P2115" s="351"/>
      <c r="Q2115" s="351"/>
      <c r="R2115" s="351"/>
      <c r="S2115" s="436"/>
      <c r="T2115" s="351"/>
      <c r="U2115" s="351"/>
    </row>
    <row r="2116" spans="1:21" s="341" customFormat="1" ht="18">
      <c r="F2116" s="352" t="s">
        <v>21</v>
      </c>
      <c r="G2116" s="352"/>
      <c r="H2116" s="351"/>
      <c r="I2116" s="360">
        <v>2011</v>
      </c>
      <c r="J2116" s="360">
        <f>I2116+1</f>
        <v>2012</v>
      </c>
      <c r="K2116" s="360">
        <f t="shared" ref="K2116" si="937">J2116+1</f>
        <v>2013</v>
      </c>
      <c r="L2116" s="360">
        <f t="shared" ref="L2116" si="938">K2116+1</f>
        <v>2014</v>
      </c>
      <c r="M2116" s="360">
        <f t="shared" ref="M2116" si="939">L2116+1</f>
        <v>2015</v>
      </c>
      <c r="N2116" s="360">
        <f t="shared" ref="N2116" si="940">M2116+1</f>
        <v>2016</v>
      </c>
      <c r="O2116" s="360">
        <f t="shared" ref="O2116" si="941">N2116+1</f>
        <v>2017</v>
      </c>
      <c r="P2116" s="360">
        <f t="shared" ref="P2116" si="942">O2116+1</f>
        <v>2018</v>
      </c>
      <c r="Q2116" s="360">
        <f t="shared" ref="Q2116" si="943">P2116+1</f>
        <v>2019</v>
      </c>
      <c r="R2116" s="360">
        <f t="shared" ref="R2116" si="944">Q2116+1</f>
        <v>2020</v>
      </c>
      <c r="S2116" s="360">
        <f>R2116+1</f>
        <v>2021</v>
      </c>
      <c r="T2116" s="360">
        <f>S2116+1</f>
        <v>2022</v>
      </c>
      <c r="U2116" s="360">
        <f>T2116+1</f>
        <v>2023</v>
      </c>
    </row>
    <row r="2117" spans="1:21" s="341" customFormat="1" ht="14.25">
      <c r="F2117" s="351"/>
      <c r="G2117" s="353" t="str">
        <f>"Total MWh Produced / Purchased from " &amp; H2114</f>
        <v>Total MWh Produced / Purchased from Mountain Wind II</v>
      </c>
      <c r="H2117" s="354"/>
      <c r="I2117" s="362"/>
      <c r="J2117" s="363"/>
      <c r="K2117" s="363"/>
      <c r="L2117" s="363"/>
      <c r="M2117" s="363"/>
      <c r="N2117" s="363"/>
      <c r="O2117" s="363"/>
      <c r="P2117" s="363"/>
      <c r="Q2117" s="363"/>
      <c r="R2117" s="363"/>
      <c r="S2117" s="363">
        <v>204398</v>
      </c>
      <c r="T2117" s="363"/>
      <c r="U2117" s="460"/>
    </row>
    <row r="2118" spans="1:21" s="341" customFormat="1" ht="14.25">
      <c r="F2118" s="351"/>
      <c r="G2118" s="353" t="s">
        <v>25</v>
      </c>
      <c r="H2118" s="354"/>
      <c r="I2118" s="365"/>
      <c r="J2118" s="366"/>
      <c r="K2118" s="366"/>
      <c r="L2118" s="366"/>
      <c r="M2118" s="366"/>
      <c r="N2118" s="366"/>
      <c r="O2118" s="366"/>
      <c r="P2118" s="366"/>
      <c r="Q2118" s="366"/>
      <c r="R2118" s="366"/>
      <c r="S2118" s="366">
        <v>1</v>
      </c>
      <c r="T2118" s="366">
        <v>1</v>
      </c>
      <c r="U2118" s="366">
        <v>1</v>
      </c>
    </row>
    <row r="2119" spans="1:21" s="341" customFormat="1" ht="14.25">
      <c r="F2119" s="351"/>
      <c r="G2119" s="353" t="s">
        <v>20</v>
      </c>
      <c r="H2119" s="354"/>
      <c r="I2119" s="368"/>
      <c r="J2119" s="369"/>
      <c r="K2119" s="369"/>
      <c r="L2119" s="369"/>
      <c r="M2119" s="369"/>
      <c r="N2119" s="369"/>
      <c r="O2119" s="369"/>
      <c r="P2119" s="369"/>
      <c r="Q2119" s="369"/>
      <c r="R2119" s="369"/>
      <c r="S2119" s="369">
        <v>0</v>
      </c>
      <c r="T2119" s="369">
        <v>0</v>
      </c>
      <c r="U2119" s="369">
        <v>0</v>
      </c>
    </row>
    <row r="2120" spans="1:21" s="341" customFormat="1" ht="14.25">
      <c r="A2120" s="489" t="s">
        <v>225</v>
      </c>
      <c r="F2120" s="351"/>
      <c r="G2120" s="355" t="s">
        <v>22</v>
      </c>
      <c r="H2120" s="356"/>
      <c r="I2120" s="371">
        <v>0</v>
      </c>
      <c r="J2120" s="371">
        <v>0</v>
      </c>
      <c r="K2120" s="371">
        <v>0</v>
      </c>
      <c r="L2120" s="371">
        <v>0</v>
      </c>
      <c r="M2120" s="371">
        <v>0</v>
      </c>
      <c r="N2120" s="372">
        <v>0</v>
      </c>
      <c r="O2120" s="372">
        <v>0</v>
      </c>
      <c r="P2120" s="372">
        <v>0</v>
      </c>
      <c r="Q2120" s="372">
        <f>Q2117*Q2119</f>
        <v>0</v>
      </c>
      <c r="R2120" s="372">
        <f>R2117*R2119</f>
        <v>0</v>
      </c>
      <c r="S2120" s="372">
        <f>S2117*S2119</f>
        <v>0</v>
      </c>
      <c r="T2120" s="372">
        <f>T2117*T2119</f>
        <v>0</v>
      </c>
      <c r="U2120" s="372">
        <f>U2117*U2119</f>
        <v>0</v>
      </c>
    </row>
    <row r="2121" spans="1:21" s="341" customFormat="1" ht="14.25">
      <c r="F2121" s="351"/>
      <c r="G2121" s="351"/>
      <c r="H2121" s="351"/>
      <c r="I2121" s="374"/>
      <c r="J2121" s="374"/>
      <c r="K2121" s="374"/>
      <c r="L2121" s="374"/>
      <c r="M2121" s="374"/>
      <c r="N2121" s="375"/>
      <c r="O2121" s="375"/>
      <c r="P2121" s="375"/>
      <c r="Q2121" s="375"/>
      <c r="R2121" s="375"/>
      <c r="S2121" s="375"/>
      <c r="T2121" s="375"/>
      <c r="U2121" s="375"/>
    </row>
    <row r="2122" spans="1:21" s="341" customFormat="1" ht="18">
      <c r="F2122" s="352" t="s">
        <v>118</v>
      </c>
      <c r="G2122" s="351"/>
      <c r="H2122" s="351"/>
      <c r="I2122" s="360">
        <v>2011</v>
      </c>
      <c r="J2122" s="360">
        <f>I2122+1</f>
        <v>2012</v>
      </c>
      <c r="K2122" s="360">
        <f t="shared" ref="K2122" si="945">J2122+1</f>
        <v>2013</v>
      </c>
      <c r="L2122" s="360">
        <f t="shared" ref="L2122" si="946">K2122+1</f>
        <v>2014</v>
      </c>
      <c r="M2122" s="360">
        <f t="shared" ref="M2122" si="947">L2122+1</f>
        <v>2015</v>
      </c>
      <c r="N2122" s="360">
        <f t="shared" ref="N2122" si="948">M2122+1</f>
        <v>2016</v>
      </c>
      <c r="O2122" s="360">
        <f t="shared" ref="O2122" si="949">N2122+1</f>
        <v>2017</v>
      </c>
      <c r="P2122" s="360">
        <f t="shared" ref="P2122" si="950">O2122+1</f>
        <v>2018</v>
      </c>
      <c r="Q2122" s="360">
        <f t="shared" ref="Q2122" si="951">P2122+1</f>
        <v>2019</v>
      </c>
      <c r="R2122" s="360">
        <f t="shared" ref="R2122" si="952">Q2122+1</f>
        <v>2020</v>
      </c>
      <c r="S2122" s="360">
        <f>R2122+1</f>
        <v>2021</v>
      </c>
      <c r="T2122" s="360">
        <f>S2122+1</f>
        <v>2022</v>
      </c>
      <c r="U2122" s="360">
        <f>T2122+1</f>
        <v>2023</v>
      </c>
    </row>
    <row r="2123" spans="1:21" s="341" customFormat="1" ht="14.25">
      <c r="F2123" s="351"/>
      <c r="G2123" s="353" t="s">
        <v>10</v>
      </c>
      <c r="H2123" s="354"/>
      <c r="I2123" s="377">
        <f>IF($J47= "Eligible", I2120 * 'Facility Detail'!$G$3257, 0 )</f>
        <v>0</v>
      </c>
      <c r="J2123" s="378">
        <f>IF($J47= "Eligible", J2120 * 'Facility Detail'!$G$3257, 0 )</f>
        <v>0</v>
      </c>
      <c r="K2123" s="378">
        <f>IF($J47= "Eligible", K2120 * 'Facility Detail'!$G$3257, 0 )</f>
        <v>0</v>
      </c>
      <c r="L2123" s="378">
        <f>IF($J47= "Eligible", L2120 * 'Facility Detail'!$G$3257, 0 )</f>
        <v>0</v>
      </c>
      <c r="M2123" s="378">
        <f>IF($J47= "Eligible", M2120 * 'Facility Detail'!$G$3257, 0 )</f>
        <v>0</v>
      </c>
      <c r="N2123" s="378">
        <f>IF($J47= "Eligible", N2120 * 'Facility Detail'!$G$3257, 0 )</f>
        <v>0</v>
      </c>
      <c r="O2123" s="378">
        <f>IF($J47= "Eligible", O2120 * 'Facility Detail'!$G$3257, 0 )</f>
        <v>0</v>
      </c>
      <c r="P2123" s="378">
        <f>IF($J47= "Eligible", P2120 * 'Facility Detail'!$G$3257, 0 )</f>
        <v>0</v>
      </c>
      <c r="Q2123" s="378">
        <f>IF($J47= "Eligible", Q2120 * 'Facility Detail'!$G$3257, 0 )</f>
        <v>0</v>
      </c>
      <c r="R2123" s="378">
        <f>IF($J47= "Eligible", R2120 * 'Facility Detail'!$G$3257, 0 )</f>
        <v>0</v>
      </c>
      <c r="S2123" s="378">
        <f>IF($J47= "Eligible", S2120 * 'Facility Detail'!$G$3257, 0 )</f>
        <v>0</v>
      </c>
      <c r="T2123" s="378">
        <f>IF($J47= "Eligible", T2120 * 'Facility Detail'!$G$3257, 0 )</f>
        <v>0</v>
      </c>
      <c r="U2123" s="462">
        <f>IF($J47= "Eligible", U2120 * 'Facility Detail'!$G$3257, 0 )</f>
        <v>0</v>
      </c>
    </row>
    <row r="2124" spans="1:21" s="341" customFormat="1" ht="14.25">
      <c r="F2124" s="351"/>
      <c r="G2124" s="353" t="s">
        <v>6</v>
      </c>
      <c r="H2124" s="354"/>
      <c r="I2124" s="380">
        <f t="shared" ref="I2124:U2124" si="953">IF($K47= "Eligible", I2120, 0 )</f>
        <v>0</v>
      </c>
      <c r="J2124" s="381">
        <f t="shared" si="953"/>
        <v>0</v>
      </c>
      <c r="K2124" s="381">
        <f t="shared" si="953"/>
        <v>0</v>
      </c>
      <c r="L2124" s="381">
        <f t="shared" si="953"/>
        <v>0</v>
      </c>
      <c r="M2124" s="381">
        <f t="shared" si="953"/>
        <v>0</v>
      </c>
      <c r="N2124" s="381">
        <f t="shared" si="953"/>
        <v>0</v>
      </c>
      <c r="O2124" s="381">
        <f t="shared" si="953"/>
        <v>0</v>
      </c>
      <c r="P2124" s="381">
        <f t="shared" si="953"/>
        <v>0</v>
      </c>
      <c r="Q2124" s="381">
        <f t="shared" si="953"/>
        <v>0</v>
      </c>
      <c r="R2124" s="381">
        <f t="shared" si="953"/>
        <v>0</v>
      </c>
      <c r="S2124" s="381">
        <f t="shared" si="953"/>
        <v>0</v>
      </c>
      <c r="T2124" s="381">
        <f t="shared" si="953"/>
        <v>0</v>
      </c>
      <c r="U2124" s="463">
        <f t="shared" si="953"/>
        <v>0</v>
      </c>
    </row>
    <row r="2125" spans="1:21" s="341" customFormat="1" ht="14.25">
      <c r="F2125" s="351"/>
      <c r="G2125" s="355" t="s">
        <v>120</v>
      </c>
      <c r="H2125" s="356"/>
      <c r="I2125" s="383">
        <f>SUM(I2123:I2124)</f>
        <v>0</v>
      </c>
      <c r="J2125" s="384">
        <f t="shared" ref="J2125:S2125" si="954">SUM(J2123:J2124)</f>
        <v>0</v>
      </c>
      <c r="K2125" s="384">
        <f t="shared" si="954"/>
        <v>0</v>
      </c>
      <c r="L2125" s="384">
        <f t="shared" si="954"/>
        <v>0</v>
      </c>
      <c r="M2125" s="384">
        <f t="shared" si="954"/>
        <v>0</v>
      </c>
      <c r="N2125" s="384">
        <f t="shared" si="954"/>
        <v>0</v>
      </c>
      <c r="O2125" s="384">
        <f t="shared" si="954"/>
        <v>0</v>
      </c>
      <c r="P2125" s="384">
        <f t="shared" si="954"/>
        <v>0</v>
      </c>
      <c r="Q2125" s="384">
        <f t="shared" si="954"/>
        <v>0</v>
      </c>
      <c r="R2125" s="384">
        <f t="shared" si="954"/>
        <v>0</v>
      </c>
      <c r="S2125" s="384">
        <f t="shared" si="954"/>
        <v>0</v>
      </c>
      <c r="T2125" s="384">
        <f t="shared" ref="T2125:U2125" si="955">SUM(T2123:T2124)</f>
        <v>0</v>
      </c>
      <c r="U2125" s="384">
        <f t="shared" si="955"/>
        <v>0</v>
      </c>
    </row>
    <row r="2126" spans="1:21" s="341" customFormat="1" ht="14.25">
      <c r="F2126" s="351"/>
      <c r="G2126" s="351"/>
      <c r="H2126" s="351"/>
      <c r="I2126" s="386"/>
      <c r="J2126" s="387"/>
      <c r="K2126" s="387"/>
      <c r="L2126" s="387"/>
      <c r="M2126" s="387"/>
      <c r="N2126" s="387"/>
      <c r="O2126" s="387"/>
      <c r="P2126" s="387"/>
      <c r="Q2126" s="387"/>
      <c r="R2126" s="387"/>
      <c r="S2126" s="387"/>
      <c r="T2126" s="387"/>
      <c r="U2126" s="387"/>
    </row>
    <row r="2127" spans="1:21" s="341" customFormat="1" ht="18">
      <c r="F2127" s="352" t="s">
        <v>30</v>
      </c>
      <c r="G2127" s="351"/>
      <c r="H2127" s="351"/>
      <c r="I2127" s="360">
        <v>2011</v>
      </c>
      <c r="J2127" s="360">
        <f>I2127+1</f>
        <v>2012</v>
      </c>
      <c r="K2127" s="360">
        <f t="shared" ref="K2127" si="956">J2127+1</f>
        <v>2013</v>
      </c>
      <c r="L2127" s="360">
        <f t="shared" ref="L2127" si="957">K2127+1</f>
        <v>2014</v>
      </c>
      <c r="M2127" s="360">
        <f t="shared" ref="M2127" si="958">L2127+1</f>
        <v>2015</v>
      </c>
      <c r="N2127" s="360">
        <f t="shared" ref="N2127" si="959">M2127+1</f>
        <v>2016</v>
      </c>
      <c r="O2127" s="360">
        <f t="shared" ref="O2127" si="960">N2127+1</f>
        <v>2017</v>
      </c>
      <c r="P2127" s="360">
        <f t="shared" ref="P2127" si="961">O2127+1</f>
        <v>2018</v>
      </c>
      <c r="Q2127" s="360">
        <f t="shared" ref="Q2127" si="962">P2127+1</f>
        <v>2019</v>
      </c>
      <c r="R2127" s="360">
        <f t="shared" ref="R2127" si="963">Q2127+1</f>
        <v>2020</v>
      </c>
      <c r="S2127" s="360">
        <f>R2127+1</f>
        <v>2021</v>
      </c>
      <c r="T2127" s="360">
        <f>S2127+1</f>
        <v>2022</v>
      </c>
      <c r="U2127" s="360">
        <f>T2127+1</f>
        <v>2023</v>
      </c>
    </row>
    <row r="2128" spans="1:21" s="341" customFormat="1" ht="14.25">
      <c r="F2128" s="351"/>
      <c r="G2128" s="353" t="s">
        <v>47</v>
      </c>
      <c r="H2128" s="354"/>
      <c r="I2128" s="389"/>
      <c r="J2128" s="390"/>
      <c r="K2128" s="390"/>
      <c r="L2128" s="390"/>
      <c r="M2128" s="390"/>
      <c r="N2128" s="390"/>
      <c r="O2128" s="390"/>
      <c r="P2128" s="390"/>
      <c r="Q2128" s="390"/>
      <c r="R2128" s="390"/>
      <c r="S2128" s="390"/>
      <c r="T2128" s="390"/>
      <c r="U2128" s="464"/>
    </row>
    <row r="2129" spans="6:21" s="341" customFormat="1" ht="14.25">
      <c r="F2129" s="351"/>
      <c r="G2129" s="357" t="s">
        <v>23</v>
      </c>
      <c r="H2129" s="358"/>
      <c r="I2129" s="392"/>
      <c r="J2129" s="393"/>
      <c r="K2129" s="393"/>
      <c r="L2129" s="393"/>
      <c r="M2129" s="393"/>
      <c r="N2129" s="393"/>
      <c r="O2129" s="393"/>
      <c r="P2129" s="393"/>
      <c r="Q2129" s="393"/>
      <c r="R2129" s="393"/>
      <c r="S2129" s="393"/>
      <c r="T2129" s="393"/>
      <c r="U2129" s="465"/>
    </row>
    <row r="2130" spans="6:21" s="341" customFormat="1" ht="14.25">
      <c r="F2130" s="351"/>
      <c r="G2130" s="357" t="s">
        <v>89</v>
      </c>
      <c r="H2130" s="359"/>
      <c r="I2130" s="395"/>
      <c r="J2130" s="396"/>
      <c r="K2130" s="396"/>
      <c r="L2130" s="396"/>
      <c r="M2130" s="396"/>
      <c r="N2130" s="396"/>
      <c r="O2130" s="396"/>
      <c r="P2130" s="396"/>
      <c r="Q2130" s="396"/>
      <c r="R2130" s="396"/>
      <c r="S2130" s="396"/>
      <c r="T2130" s="396"/>
      <c r="U2130" s="466"/>
    </row>
    <row r="2131" spans="6:21" s="341" customFormat="1" ht="14.25">
      <c r="F2131" s="351"/>
      <c r="G2131" s="355" t="s">
        <v>90</v>
      </c>
      <c r="H2131" s="351"/>
      <c r="I2131" s="398">
        <v>0</v>
      </c>
      <c r="J2131" s="398">
        <v>0</v>
      </c>
      <c r="K2131" s="398">
        <v>0</v>
      </c>
      <c r="L2131" s="398">
        <v>0</v>
      </c>
      <c r="M2131" s="398">
        <v>0</v>
      </c>
      <c r="N2131" s="398">
        <v>0</v>
      </c>
      <c r="O2131" s="398">
        <v>0</v>
      </c>
      <c r="P2131" s="398">
        <v>0</v>
      </c>
      <c r="Q2131" s="398">
        <v>0</v>
      </c>
      <c r="R2131" s="398">
        <v>0</v>
      </c>
      <c r="S2131" s="398">
        <v>0</v>
      </c>
      <c r="T2131" s="398">
        <v>0</v>
      </c>
      <c r="U2131" s="398">
        <v>0</v>
      </c>
    </row>
    <row r="2132" spans="6:21" s="341" customFormat="1" ht="14.25">
      <c r="F2132" s="351"/>
      <c r="G2132" s="356"/>
      <c r="H2132" s="351"/>
      <c r="I2132" s="398"/>
      <c r="J2132" s="398"/>
      <c r="K2132" s="398"/>
      <c r="L2132" s="400"/>
      <c r="M2132" s="400"/>
      <c r="N2132" s="400"/>
      <c r="O2132" s="400"/>
      <c r="P2132" s="400"/>
      <c r="Q2132" s="400"/>
      <c r="R2132" s="400"/>
      <c r="S2132" s="400"/>
      <c r="T2132" s="400"/>
      <c r="U2132" s="400"/>
    </row>
    <row r="2133" spans="6:21" s="341" customFormat="1" ht="18">
      <c r="F2133" s="352" t="s">
        <v>100</v>
      </c>
      <c r="G2133" s="351"/>
      <c r="H2133" s="351"/>
      <c r="I2133" s="360">
        <f>'Facility Detail'!$G$3260</f>
        <v>2011</v>
      </c>
      <c r="J2133" s="360">
        <f>I2133+1</f>
        <v>2012</v>
      </c>
      <c r="K2133" s="360">
        <f t="shared" ref="K2133" si="964">J2133+1</f>
        <v>2013</v>
      </c>
      <c r="L2133" s="360">
        <f t="shared" ref="L2133" si="965">K2133+1</f>
        <v>2014</v>
      </c>
      <c r="M2133" s="360">
        <f t="shared" ref="M2133" si="966">L2133+1</f>
        <v>2015</v>
      </c>
      <c r="N2133" s="360">
        <f t="shared" ref="N2133" si="967">M2133+1</f>
        <v>2016</v>
      </c>
      <c r="O2133" s="360">
        <f t="shared" ref="O2133" si="968">N2133+1</f>
        <v>2017</v>
      </c>
      <c r="P2133" s="360">
        <f t="shared" ref="P2133" si="969">O2133+1</f>
        <v>2018</v>
      </c>
      <c r="Q2133" s="360">
        <f t="shared" ref="Q2133" si="970">P2133+1</f>
        <v>2019</v>
      </c>
      <c r="R2133" s="360">
        <f t="shared" ref="R2133" si="971">Q2133+1</f>
        <v>2020</v>
      </c>
      <c r="S2133" s="360">
        <f>R2133+1</f>
        <v>2021</v>
      </c>
      <c r="T2133" s="360">
        <f>S2133+1</f>
        <v>2022</v>
      </c>
      <c r="U2133" s="360">
        <f>T2133+1</f>
        <v>2023</v>
      </c>
    </row>
    <row r="2134" spans="6:21" s="341" customFormat="1" ht="14.25">
      <c r="F2134" s="351"/>
      <c r="G2134" s="353" t="s">
        <v>68</v>
      </c>
      <c r="H2134" s="354"/>
      <c r="I2134" s="362"/>
      <c r="J2134" s="402">
        <f>I2134</f>
        <v>0</v>
      </c>
      <c r="K2134" s="403"/>
      <c r="L2134" s="403"/>
      <c r="M2134" s="403"/>
      <c r="N2134" s="403"/>
      <c r="O2134" s="403"/>
      <c r="P2134" s="403"/>
      <c r="Q2134" s="403"/>
      <c r="R2134" s="403"/>
      <c r="S2134" s="404"/>
      <c r="T2134" s="467"/>
      <c r="U2134" s="468"/>
    </row>
    <row r="2135" spans="6:21" s="341" customFormat="1" ht="14.25">
      <c r="F2135" s="351"/>
      <c r="G2135" s="353" t="s">
        <v>69</v>
      </c>
      <c r="H2135" s="354"/>
      <c r="I2135" s="405">
        <f>J2135</f>
        <v>0</v>
      </c>
      <c r="J2135" s="406"/>
      <c r="K2135" s="407"/>
      <c r="L2135" s="407"/>
      <c r="M2135" s="407"/>
      <c r="N2135" s="407"/>
      <c r="O2135" s="407"/>
      <c r="P2135" s="407"/>
      <c r="Q2135" s="407"/>
      <c r="R2135" s="407"/>
      <c r="S2135" s="408"/>
      <c r="T2135" s="469"/>
      <c r="U2135" s="470"/>
    </row>
    <row r="2136" spans="6:21" s="341" customFormat="1" ht="14.25">
      <c r="F2136" s="351"/>
      <c r="G2136" s="353" t="s">
        <v>70</v>
      </c>
      <c r="H2136" s="354"/>
      <c r="I2136" s="409"/>
      <c r="J2136" s="406">
        <f>J2120</f>
        <v>0</v>
      </c>
      <c r="K2136" s="410">
        <f>J2136</f>
        <v>0</v>
      </c>
      <c r="L2136" s="407"/>
      <c r="M2136" s="407"/>
      <c r="N2136" s="407"/>
      <c r="O2136" s="407"/>
      <c r="P2136" s="407"/>
      <c r="Q2136" s="407"/>
      <c r="R2136" s="407"/>
      <c r="S2136" s="408"/>
      <c r="T2136" s="469"/>
      <c r="U2136" s="470"/>
    </row>
    <row r="2137" spans="6:21" s="341" customFormat="1" ht="14.25">
      <c r="F2137" s="351"/>
      <c r="G2137" s="353" t="s">
        <v>71</v>
      </c>
      <c r="H2137" s="354"/>
      <c r="I2137" s="409"/>
      <c r="J2137" s="410">
        <f>K2137</f>
        <v>0</v>
      </c>
      <c r="K2137" s="406"/>
      <c r="L2137" s="407"/>
      <c r="M2137" s="407"/>
      <c r="N2137" s="407"/>
      <c r="O2137" s="407"/>
      <c r="P2137" s="407"/>
      <c r="Q2137" s="407"/>
      <c r="R2137" s="407"/>
      <c r="S2137" s="408"/>
      <c r="T2137" s="469"/>
      <c r="U2137" s="470"/>
    </row>
    <row r="2138" spans="6:21" s="341" customFormat="1" ht="14.25">
      <c r="F2138" s="351"/>
      <c r="G2138" s="353" t="s">
        <v>170</v>
      </c>
      <c r="H2138" s="351"/>
      <c r="I2138" s="409"/>
      <c r="J2138" s="411"/>
      <c r="K2138" s="406">
        <f>K2120</f>
        <v>0</v>
      </c>
      <c r="L2138" s="412">
        <f>K2138</f>
        <v>0</v>
      </c>
      <c r="M2138" s="407"/>
      <c r="N2138" s="407"/>
      <c r="O2138" s="407"/>
      <c r="P2138" s="407"/>
      <c r="Q2138" s="407"/>
      <c r="R2138" s="407"/>
      <c r="S2138" s="408"/>
      <c r="T2138" s="471"/>
      <c r="U2138" s="472"/>
    </row>
    <row r="2139" spans="6:21" s="341" customFormat="1" ht="14.25">
      <c r="F2139" s="351"/>
      <c r="G2139" s="353" t="s">
        <v>171</v>
      </c>
      <c r="H2139" s="351"/>
      <c r="I2139" s="409"/>
      <c r="J2139" s="411"/>
      <c r="K2139" s="410">
        <f>L2139</f>
        <v>0</v>
      </c>
      <c r="L2139" s="406"/>
      <c r="M2139" s="407"/>
      <c r="N2139" s="407"/>
      <c r="O2139" s="407"/>
      <c r="P2139" s="407"/>
      <c r="Q2139" s="407"/>
      <c r="R2139" s="407"/>
      <c r="S2139" s="408"/>
      <c r="T2139" s="471"/>
      <c r="U2139" s="472"/>
    </row>
    <row r="2140" spans="6:21" s="341" customFormat="1" ht="14.25">
      <c r="F2140" s="351"/>
      <c r="G2140" s="353" t="s">
        <v>172</v>
      </c>
      <c r="H2140" s="351"/>
      <c r="I2140" s="409"/>
      <c r="J2140" s="411"/>
      <c r="K2140" s="411"/>
      <c r="L2140" s="406">
        <f>L2120</f>
        <v>0</v>
      </c>
      <c r="M2140" s="412">
        <f>L2140</f>
        <v>0</v>
      </c>
      <c r="N2140" s="411"/>
      <c r="O2140" s="407"/>
      <c r="P2140" s="407"/>
      <c r="Q2140" s="407"/>
      <c r="R2140" s="407"/>
      <c r="S2140" s="408"/>
      <c r="T2140" s="471"/>
      <c r="U2140" s="472"/>
    </row>
    <row r="2141" spans="6:21" s="341" customFormat="1" ht="14.25">
      <c r="F2141" s="351"/>
      <c r="G2141" s="353" t="s">
        <v>173</v>
      </c>
      <c r="H2141" s="351"/>
      <c r="I2141" s="409"/>
      <c r="J2141" s="411"/>
      <c r="K2141" s="411"/>
      <c r="L2141" s="410"/>
      <c r="M2141" s="406"/>
      <c r="N2141" s="411"/>
      <c r="O2141" s="407"/>
      <c r="P2141" s="407"/>
      <c r="Q2141" s="407"/>
      <c r="R2141" s="407"/>
      <c r="S2141" s="408"/>
      <c r="T2141" s="471"/>
      <c r="U2141" s="472"/>
    </row>
    <row r="2142" spans="6:21" s="341" customFormat="1" ht="14.25">
      <c r="F2142" s="351"/>
      <c r="G2142" s="353" t="s">
        <v>174</v>
      </c>
      <c r="H2142" s="351"/>
      <c r="I2142" s="409"/>
      <c r="J2142" s="411"/>
      <c r="K2142" s="411"/>
      <c r="L2142" s="411"/>
      <c r="M2142" s="406">
        <v>0</v>
      </c>
      <c r="N2142" s="412">
        <f>M2142</f>
        <v>0</v>
      </c>
      <c r="O2142" s="407"/>
      <c r="P2142" s="407"/>
      <c r="Q2142" s="407"/>
      <c r="R2142" s="407"/>
      <c r="S2142" s="408"/>
      <c r="T2142" s="471"/>
      <c r="U2142" s="472"/>
    </row>
    <row r="2143" spans="6:21" s="341" customFormat="1" ht="14.25">
      <c r="F2143" s="351"/>
      <c r="G2143" s="353" t="s">
        <v>175</v>
      </c>
      <c r="H2143" s="351"/>
      <c r="I2143" s="409"/>
      <c r="J2143" s="411"/>
      <c r="K2143" s="411"/>
      <c r="L2143" s="411"/>
      <c r="M2143" s="410"/>
      <c r="N2143" s="406"/>
      <c r="O2143" s="407"/>
      <c r="P2143" s="407"/>
      <c r="Q2143" s="407"/>
      <c r="R2143" s="407"/>
      <c r="S2143" s="408"/>
      <c r="T2143" s="471"/>
      <c r="U2143" s="472"/>
    </row>
    <row r="2144" spans="6:21" s="341" customFormat="1" ht="14.25">
      <c r="F2144" s="351"/>
      <c r="G2144" s="353" t="s">
        <v>176</v>
      </c>
      <c r="H2144" s="351"/>
      <c r="I2144" s="409"/>
      <c r="J2144" s="411"/>
      <c r="K2144" s="411"/>
      <c r="L2144" s="411"/>
      <c r="M2144" s="411"/>
      <c r="N2144" s="413">
        <f>N2120</f>
        <v>0</v>
      </c>
      <c r="O2144" s="414">
        <f>N2144</f>
        <v>0</v>
      </c>
      <c r="P2144" s="407"/>
      <c r="Q2144" s="407"/>
      <c r="R2144" s="407"/>
      <c r="S2144" s="408"/>
      <c r="T2144" s="471"/>
      <c r="U2144" s="472"/>
    </row>
    <row r="2145" spans="2:21" s="341" customFormat="1" ht="14.25">
      <c r="F2145" s="351"/>
      <c r="G2145" s="353" t="s">
        <v>167</v>
      </c>
      <c r="H2145" s="351"/>
      <c r="I2145" s="409"/>
      <c r="J2145" s="411"/>
      <c r="K2145" s="411"/>
      <c r="L2145" s="411"/>
      <c r="M2145" s="411"/>
      <c r="N2145" s="415"/>
      <c r="O2145" s="416"/>
      <c r="P2145" s="407"/>
      <c r="Q2145" s="407"/>
      <c r="R2145" s="407"/>
      <c r="S2145" s="408"/>
      <c r="T2145" s="471"/>
      <c r="U2145" s="472"/>
    </row>
    <row r="2146" spans="2:21" s="341" customFormat="1" ht="14.25">
      <c r="F2146" s="351"/>
      <c r="G2146" s="353" t="s">
        <v>168</v>
      </c>
      <c r="H2146" s="351"/>
      <c r="I2146" s="409"/>
      <c r="J2146" s="411"/>
      <c r="K2146" s="411"/>
      <c r="L2146" s="411"/>
      <c r="M2146" s="411"/>
      <c r="N2146" s="411"/>
      <c r="O2146" s="416">
        <f>O2120</f>
        <v>0</v>
      </c>
      <c r="P2146" s="414">
        <f>O2146</f>
        <v>0</v>
      </c>
      <c r="Q2146" s="407"/>
      <c r="R2146" s="407"/>
      <c r="S2146" s="408"/>
      <c r="T2146" s="471"/>
      <c r="U2146" s="472"/>
    </row>
    <row r="2147" spans="2:21" s="341" customFormat="1" ht="14.25">
      <c r="F2147" s="351"/>
      <c r="G2147" s="353" t="s">
        <v>185</v>
      </c>
      <c r="H2147" s="351"/>
      <c r="I2147" s="409"/>
      <c r="J2147" s="411"/>
      <c r="K2147" s="411"/>
      <c r="L2147" s="411"/>
      <c r="M2147" s="411"/>
      <c r="N2147" s="411"/>
      <c r="O2147" s="414"/>
      <c r="P2147" s="416"/>
      <c r="Q2147" s="407"/>
      <c r="R2147" s="407"/>
      <c r="S2147" s="408"/>
      <c r="T2147" s="471"/>
      <c r="U2147" s="472"/>
    </row>
    <row r="2148" spans="2:21" s="341" customFormat="1" ht="14.25">
      <c r="F2148" s="351"/>
      <c r="G2148" s="353" t="s">
        <v>186</v>
      </c>
      <c r="H2148" s="351"/>
      <c r="I2148" s="409"/>
      <c r="J2148" s="411"/>
      <c r="K2148" s="411"/>
      <c r="L2148" s="411"/>
      <c r="M2148" s="411"/>
      <c r="N2148" s="411"/>
      <c r="O2148" s="411"/>
      <c r="P2148" s="416"/>
      <c r="Q2148" s="410">
        <f>P2148</f>
        <v>0</v>
      </c>
      <c r="R2148" s="407"/>
      <c r="S2148" s="408"/>
      <c r="T2148" s="471"/>
      <c r="U2148" s="472"/>
    </row>
    <row r="2149" spans="2:21" s="341" customFormat="1" ht="14.25">
      <c r="F2149" s="351"/>
      <c r="G2149" s="353" t="s">
        <v>187</v>
      </c>
      <c r="H2149" s="351"/>
      <c r="I2149" s="409"/>
      <c r="J2149" s="411"/>
      <c r="K2149" s="411"/>
      <c r="L2149" s="411"/>
      <c r="M2149" s="411"/>
      <c r="N2149" s="411"/>
      <c r="O2149" s="411"/>
      <c r="P2149" s="414"/>
      <c r="Q2149" s="417"/>
      <c r="R2149" s="407"/>
      <c r="S2149" s="408"/>
      <c r="T2149" s="471"/>
      <c r="U2149" s="472"/>
    </row>
    <row r="2150" spans="2:21" s="341" customFormat="1" ht="14.25">
      <c r="F2150" s="351"/>
      <c r="G2150" s="353" t="s">
        <v>188</v>
      </c>
      <c r="H2150" s="351"/>
      <c r="I2150" s="409"/>
      <c r="J2150" s="411"/>
      <c r="K2150" s="411"/>
      <c r="L2150" s="411"/>
      <c r="M2150" s="411"/>
      <c r="N2150" s="411"/>
      <c r="O2150" s="411"/>
      <c r="P2150" s="411"/>
      <c r="Q2150" s="416"/>
      <c r="R2150" s="418">
        <f>Q2150</f>
        <v>0</v>
      </c>
      <c r="S2150" s="408"/>
      <c r="T2150" s="471"/>
      <c r="U2150" s="472"/>
    </row>
    <row r="2151" spans="2:21" s="341" customFormat="1" ht="14.25">
      <c r="F2151" s="351"/>
      <c r="G2151" s="353" t="s">
        <v>189</v>
      </c>
      <c r="H2151" s="351"/>
      <c r="I2151" s="409"/>
      <c r="J2151" s="411"/>
      <c r="K2151" s="411"/>
      <c r="L2151" s="411"/>
      <c r="M2151" s="411"/>
      <c r="N2151" s="411"/>
      <c r="O2151" s="411"/>
      <c r="P2151" s="411"/>
      <c r="Q2151" s="418">
        <f>R2120</f>
        <v>0</v>
      </c>
      <c r="R2151" s="419">
        <f>Q2151</f>
        <v>0</v>
      </c>
      <c r="S2151" s="408"/>
      <c r="T2151" s="471"/>
      <c r="U2151" s="472"/>
    </row>
    <row r="2152" spans="2:21" s="341" customFormat="1" ht="14.25">
      <c r="F2152" s="351"/>
      <c r="G2152" s="353" t="s">
        <v>190</v>
      </c>
      <c r="H2152" s="351"/>
      <c r="I2152" s="409"/>
      <c r="J2152" s="411"/>
      <c r="K2152" s="411"/>
      <c r="L2152" s="411"/>
      <c r="M2152" s="411"/>
      <c r="N2152" s="411"/>
      <c r="O2152" s="411"/>
      <c r="P2152" s="411"/>
      <c r="Q2152" s="411"/>
      <c r="R2152" s="419"/>
      <c r="S2152" s="420">
        <f>R2152</f>
        <v>0</v>
      </c>
      <c r="T2152" s="471"/>
      <c r="U2152" s="472"/>
    </row>
    <row r="2153" spans="2:21" s="341" customFormat="1" ht="14.25">
      <c r="F2153" s="351"/>
      <c r="G2153" s="353" t="s">
        <v>199</v>
      </c>
      <c r="H2153" s="351"/>
      <c r="I2153" s="409"/>
      <c r="J2153" s="411"/>
      <c r="K2153" s="411"/>
      <c r="L2153" s="411"/>
      <c r="M2153" s="411"/>
      <c r="N2153" s="411"/>
      <c r="O2153" s="411"/>
      <c r="P2153" s="411"/>
      <c r="Q2153" s="411"/>
      <c r="R2153" s="414"/>
      <c r="S2153" s="421">
        <v>0</v>
      </c>
      <c r="T2153" s="471"/>
      <c r="U2153" s="472"/>
    </row>
    <row r="2154" spans="2:21" s="341" customFormat="1" ht="14.25">
      <c r="F2154" s="351"/>
      <c r="G2154" s="353" t="s">
        <v>200</v>
      </c>
      <c r="H2154" s="351"/>
      <c r="I2154" s="409"/>
      <c r="J2154" s="411"/>
      <c r="K2154" s="411"/>
      <c r="L2154" s="411"/>
      <c r="M2154" s="411"/>
      <c r="N2154" s="411"/>
      <c r="O2154" s="411"/>
      <c r="P2154" s="411"/>
      <c r="Q2154" s="411"/>
      <c r="R2154" s="411"/>
      <c r="S2154" s="421">
        <v>0</v>
      </c>
      <c r="T2154" s="418">
        <f>S2154</f>
        <v>0</v>
      </c>
      <c r="U2154" s="472"/>
    </row>
    <row r="2155" spans="2:21" s="341" customFormat="1" ht="14.25">
      <c r="F2155" s="351"/>
      <c r="G2155" s="353" t="s">
        <v>308</v>
      </c>
      <c r="H2155" s="351"/>
      <c r="I2155" s="409"/>
      <c r="J2155" s="411"/>
      <c r="K2155" s="411"/>
      <c r="L2155" s="411"/>
      <c r="M2155" s="411"/>
      <c r="N2155" s="411"/>
      <c r="O2155" s="411"/>
      <c r="P2155" s="411"/>
      <c r="Q2155" s="411"/>
      <c r="R2155" s="411"/>
      <c r="S2155" s="422">
        <f>T2155</f>
        <v>0</v>
      </c>
      <c r="T2155" s="419">
        <v>0</v>
      </c>
      <c r="U2155" s="472"/>
    </row>
    <row r="2156" spans="2:21" s="341" customFormat="1" ht="14.25">
      <c r="F2156" s="351"/>
      <c r="G2156" s="353" t="s">
        <v>307</v>
      </c>
      <c r="H2156" s="351"/>
      <c r="I2156" s="423"/>
      <c r="J2156" s="424"/>
      <c r="K2156" s="424"/>
      <c r="L2156" s="424"/>
      <c r="M2156" s="424"/>
      <c r="N2156" s="424"/>
      <c r="O2156" s="424"/>
      <c r="P2156" s="424"/>
      <c r="Q2156" s="424"/>
      <c r="R2156" s="424"/>
      <c r="S2156" s="425"/>
      <c r="T2156" s="419">
        <v>0</v>
      </c>
      <c r="U2156" s="473">
        <f>T2156</f>
        <v>0</v>
      </c>
    </row>
    <row r="2157" spans="2:21" s="341" customFormat="1" ht="14.25">
      <c r="F2157" s="351"/>
      <c r="G2157" s="353" t="s">
        <v>318</v>
      </c>
      <c r="H2157" s="351"/>
      <c r="I2157" s="423"/>
      <c r="J2157" s="424"/>
      <c r="K2157" s="424"/>
      <c r="L2157" s="424"/>
      <c r="M2157" s="424"/>
      <c r="N2157" s="424"/>
      <c r="O2157" s="424"/>
      <c r="P2157" s="424"/>
      <c r="Q2157" s="424"/>
      <c r="R2157" s="424"/>
      <c r="S2157" s="425"/>
      <c r="T2157" s="414">
        <f>U2157</f>
        <v>0</v>
      </c>
      <c r="U2157" s="474">
        <v>0</v>
      </c>
    </row>
    <row r="2158" spans="2:21" s="341" customFormat="1" ht="14.25">
      <c r="F2158" s="351"/>
      <c r="G2158" s="353" t="s">
        <v>319</v>
      </c>
      <c r="H2158" s="351"/>
      <c r="I2158" s="426"/>
      <c r="J2158" s="427"/>
      <c r="K2158" s="427"/>
      <c r="L2158" s="427"/>
      <c r="M2158" s="427"/>
      <c r="N2158" s="427"/>
      <c r="O2158" s="427"/>
      <c r="P2158" s="427"/>
      <c r="Q2158" s="427"/>
      <c r="R2158" s="427"/>
      <c r="S2158" s="428"/>
      <c r="T2158" s="427"/>
      <c r="U2158" s="475">
        <v>0</v>
      </c>
    </row>
    <row r="2159" spans="2:21" s="341" customFormat="1" ht="14.25">
      <c r="B2159" s="489" t="s">
        <v>225</v>
      </c>
      <c r="F2159" s="351"/>
      <c r="G2159" s="355" t="s">
        <v>17</v>
      </c>
      <c r="H2159" s="351"/>
      <c r="I2159" s="398">
        <f xml:space="preserve"> I2140 - I2139</f>
        <v>0</v>
      </c>
      <c r="J2159" s="398">
        <f xml:space="preserve"> J2139 + J2142 - J2141 - J2140</f>
        <v>0</v>
      </c>
      <c r="K2159" s="398">
        <f>K2141 - K2142</f>
        <v>0</v>
      </c>
      <c r="L2159" s="398">
        <f>L2141 - L2142</f>
        <v>0</v>
      </c>
      <c r="M2159" s="398">
        <f>M2140-M2141-M2142</f>
        <v>0</v>
      </c>
      <c r="N2159" s="398">
        <f>N2142-N2143-N2144</f>
        <v>0</v>
      </c>
      <c r="O2159" s="398">
        <f>O2144-O2145-O2146</f>
        <v>0</v>
      </c>
      <c r="P2159" s="429">
        <f>P2146-P2147-P2148</f>
        <v>0</v>
      </c>
      <c r="Q2159" s="429">
        <f>Q2148+Q2151-Q2150-Q2149</f>
        <v>0</v>
      </c>
      <c r="R2159" s="429">
        <f>R2150-R2151+R2153</f>
        <v>0</v>
      </c>
      <c r="S2159" s="399">
        <f>S2152-S2153+S2154-S2155</f>
        <v>0</v>
      </c>
      <c r="T2159" s="398">
        <f>T2154-T2155-T2156+T2157</f>
        <v>0</v>
      </c>
      <c r="U2159" s="398">
        <f>U2156-U2157-U2158</f>
        <v>0</v>
      </c>
    </row>
    <row r="2160" spans="2:21" s="341" customFormat="1" ht="14.25">
      <c r="F2160" s="351"/>
      <c r="G2160" s="356"/>
      <c r="H2160" s="351"/>
      <c r="I2160" s="429"/>
      <c r="J2160" s="429"/>
      <c r="K2160" s="429"/>
      <c r="L2160" s="429"/>
      <c r="M2160" s="429"/>
      <c r="N2160" s="429"/>
      <c r="O2160" s="429"/>
      <c r="P2160" s="429"/>
      <c r="Q2160" s="429"/>
      <c r="R2160" s="429"/>
      <c r="S2160" s="430"/>
      <c r="T2160" s="429"/>
      <c r="U2160" s="429"/>
    </row>
    <row r="2161" spans="1:25" s="341" customFormat="1" ht="14.25">
      <c r="F2161" s="351"/>
      <c r="G2161" s="355" t="s">
        <v>12</v>
      </c>
      <c r="H2161" s="354"/>
      <c r="I2161" s="431"/>
      <c r="J2161" s="432"/>
      <c r="K2161" s="432"/>
      <c r="L2161" s="432"/>
      <c r="M2161" s="432"/>
      <c r="N2161" s="432"/>
      <c r="O2161" s="432"/>
      <c r="P2161" s="432"/>
      <c r="Q2161" s="432"/>
      <c r="R2161" s="432"/>
      <c r="S2161" s="432"/>
      <c r="T2161" s="432"/>
      <c r="U2161" s="476"/>
    </row>
    <row r="2162" spans="1:25" s="341" customFormat="1" ht="14.25">
      <c r="F2162" s="351"/>
      <c r="G2162" s="356"/>
      <c r="H2162" s="351"/>
      <c r="I2162" s="429"/>
      <c r="J2162" s="429"/>
      <c r="K2162" s="429"/>
      <c r="L2162" s="429"/>
      <c r="M2162" s="429"/>
      <c r="N2162" s="429"/>
      <c r="O2162" s="429"/>
      <c r="P2162" s="429"/>
      <c r="Q2162" s="429"/>
      <c r="R2162" s="429"/>
      <c r="S2162" s="429"/>
      <c r="T2162" s="429"/>
      <c r="U2162" s="429"/>
    </row>
    <row r="2163" spans="1:25" s="341" customFormat="1" ht="18">
      <c r="C2163" s="489" t="s">
        <v>225</v>
      </c>
      <c r="D2163" s="489" t="s">
        <v>246</v>
      </c>
      <c r="E2163" s="489" t="s">
        <v>107</v>
      </c>
      <c r="F2163" s="352" t="s">
        <v>26</v>
      </c>
      <c r="G2163" s="351"/>
      <c r="H2163" s="354"/>
      <c r="I2163" s="433">
        <f t="shared" ref="I2163:S2163" si="972" xml:space="preserve"> I2120 + I2125 - I2131 + I2159 + I2161</f>
        <v>0</v>
      </c>
      <c r="J2163" s="434">
        <f t="shared" si="972"/>
        <v>0</v>
      </c>
      <c r="K2163" s="434">
        <f t="shared" si="972"/>
        <v>0</v>
      </c>
      <c r="L2163" s="434">
        <f t="shared" si="972"/>
        <v>0</v>
      </c>
      <c r="M2163" s="434">
        <f t="shared" si="972"/>
        <v>0</v>
      </c>
      <c r="N2163" s="434">
        <f t="shared" si="972"/>
        <v>0</v>
      </c>
      <c r="O2163" s="434">
        <f t="shared" si="972"/>
        <v>0</v>
      </c>
      <c r="P2163" s="434">
        <f t="shared" si="972"/>
        <v>0</v>
      </c>
      <c r="Q2163" s="434">
        <f t="shared" si="972"/>
        <v>0</v>
      </c>
      <c r="R2163" s="434">
        <f t="shared" si="972"/>
        <v>0</v>
      </c>
      <c r="S2163" s="435">
        <f t="shared" si="972"/>
        <v>0</v>
      </c>
      <c r="T2163" s="434">
        <f t="shared" ref="T2163:U2163" si="973" xml:space="preserve"> T2120 + T2125 - T2131 + T2159 + T2161</f>
        <v>0</v>
      </c>
      <c r="U2163" s="477">
        <f t="shared" si="973"/>
        <v>0</v>
      </c>
    </row>
    <row r="2164" spans="1:25" s="341" customFormat="1" thickBot="1">
      <c r="S2164" s="345"/>
    </row>
    <row r="2165" spans="1:25">
      <c r="F2165" s="8"/>
      <c r="G2165" s="8"/>
      <c r="H2165" s="8"/>
      <c r="I2165" s="8"/>
      <c r="J2165" s="8"/>
      <c r="K2165" s="8"/>
      <c r="L2165" s="8"/>
      <c r="M2165" s="8"/>
      <c r="N2165" s="8"/>
      <c r="O2165" s="8"/>
      <c r="P2165" s="8"/>
      <c r="Q2165" s="8"/>
      <c r="R2165" s="8"/>
      <c r="S2165" s="290"/>
      <c r="T2165" s="8"/>
      <c r="U2165" s="8"/>
      <c r="W2165" s="1"/>
      <c r="X2165" s="1"/>
      <c r="Y2165" s="1"/>
    </row>
    <row r="2166" spans="1:25" ht="15.75" thickBot="1">
      <c r="W2166" s="1"/>
      <c r="X2166" s="1"/>
      <c r="Y2166" s="1"/>
    </row>
    <row r="2167" spans="1:25" ht="21.75" thickBot="1">
      <c r="F2167" s="13" t="s">
        <v>4</v>
      </c>
      <c r="G2167" s="13"/>
      <c r="H2167" s="185" t="str">
        <f>G48</f>
        <v>Nine Canyon Wind Project - REC Only</v>
      </c>
      <c r="I2167" s="186"/>
      <c r="J2167" s="174"/>
      <c r="W2167" s="1"/>
      <c r="X2167" s="1"/>
      <c r="Y2167" s="1"/>
    </row>
    <row r="2168" spans="1:25">
      <c r="W2168" s="1"/>
      <c r="X2168" s="1"/>
      <c r="Y2168" s="1"/>
    </row>
    <row r="2169" spans="1:25" ht="18.75">
      <c r="F2169" s="9" t="s">
        <v>21</v>
      </c>
      <c r="G2169" s="9"/>
      <c r="I2169" s="2">
        <v>2011</v>
      </c>
      <c r="J2169" s="2">
        <f t="shared" ref="J2169:R2169" si="974">I2169+1</f>
        <v>2012</v>
      </c>
      <c r="K2169" s="2">
        <f t="shared" si="974"/>
        <v>2013</v>
      </c>
      <c r="L2169" s="2">
        <f t="shared" si="974"/>
        <v>2014</v>
      </c>
      <c r="M2169" s="2">
        <f t="shared" si="974"/>
        <v>2015</v>
      </c>
      <c r="N2169" s="2">
        <f t="shared" si="974"/>
        <v>2016</v>
      </c>
      <c r="O2169" s="2">
        <f t="shared" si="974"/>
        <v>2017</v>
      </c>
      <c r="P2169" s="2">
        <f t="shared" si="974"/>
        <v>2018</v>
      </c>
      <c r="Q2169" s="2">
        <f t="shared" si="974"/>
        <v>2019</v>
      </c>
      <c r="R2169" s="2">
        <f t="shared" si="974"/>
        <v>2020</v>
      </c>
      <c r="S2169" s="2">
        <f>R2169+1</f>
        <v>2021</v>
      </c>
      <c r="T2169" s="2">
        <f>S2169+1</f>
        <v>2022</v>
      </c>
      <c r="U2169" s="2">
        <f>T2169+1</f>
        <v>2023</v>
      </c>
      <c r="W2169" s="1"/>
      <c r="X2169" s="1"/>
      <c r="Y2169" s="1"/>
    </row>
    <row r="2170" spans="1:25">
      <c r="G2170" s="62" t="str">
        <f>"Total MWh Produced / Purchased from " &amp; H2167</f>
        <v>Total MWh Produced / Purchased from Nine Canyon Wind Project - REC Only</v>
      </c>
      <c r="H2170" s="57"/>
      <c r="I2170" s="3"/>
      <c r="J2170" s="4"/>
      <c r="K2170" s="4"/>
      <c r="L2170" s="4"/>
      <c r="M2170" s="4">
        <v>2500</v>
      </c>
      <c r="N2170" s="4">
        <v>8225</v>
      </c>
      <c r="O2170" s="4"/>
      <c r="P2170" s="4"/>
      <c r="Q2170" s="4"/>
      <c r="R2170" s="4"/>
      <c r="S2170" s="4"/>
      <c r="T2170" s="4"/>
      <c r="U2170" s="5"/>
      <c r="W2170" s="1"/>
      <c r="X2170" s="1"/>
      <c r="Y2170" s="1"/>
    </row>
    <row r="2171" spans="1:25">
      <c r="G2171" s="62" t="s">
        <v>25</v>
      </c>
      <c r="H2171" s="57"/>
      <c r="I2171" s="269"/>
      <c r="J2171" s="41"/>
      <c r="K2171" s="41"/>
      <c r="L2171" s="41"/>
      <c r="M2171" s="41">
        <v>1</v>
      </c>
      <c r="N2171" s="41">
        <v>1</v>
      </c>
      <c r="O2171" s="41"/>
      <c r="P2171" s="41"/>
      <c r="Q2171" s="41"/>
      <c r="R2171" s="41"/>
      <c r="S2171" s="41"/>
      <c r="T2171" s="41"/>
      <c r="U2171" s="42"/>
      <c r="W2171" s="1"/>
      <c r="X2171" s="1"/>
      <c r="Y2171" s="1"/>
    </row>
    <row r="2172" spans="1:25">
      <c r="G2172" s="62" t="s">
        <v>20</v>
      </c>
      <c r="H2172" s="57"/>
      <c r="I2172" s="270"/>
      <c r="J2172" s="36"/>
      <c r="K2172" s="36"/>
      <c r="L2172" s="36"/>
      <c r="M2172" s="36">
        <v>1</v>
      </c>
      <c r="N2172" s="36">
        <v>1</v>
      </c>
      <c r="O2172" s="36"/>
      <c r="P2172" s="36"/>
      <c r="Q2172" s="36"/>
      <c r="R2172" s="36"/>
      <c r="S2172" s="36"/>
      <c r="T2172" s="36"/>
      <c r="U2172" s="37"/>
      <c r="W2172" s="1"/>
      <c r="X2172" s="1"/>
      <c r="Y2172" s="1"/>
    </row>
    <row r="2173" spans="1:25">
      <c r="A2173" s="1" t="s">
        <v>276</v>
      </c>
      <c r="G2173" s="26" t="s">
        <v>22</v>
      </c>
      <c r="H2173" s="6"/>
      <c r="I2173" s="30">
        <f xml:space="preserve"> I2170 * I2171 * I2172</f>
        <v>0</v>
      </c>
      <c r="J2173" s="30">
        <f xml:space="preserve"> J2170 * J2171 * J2172</f>
        <v>0</v>
      </c>
      <c r="K2173" s="30">
        <f xml:space="preserve"> K2170 * K2171 * K2172</f>
        <v>0</v>
      </c>
      <c r="L2173" s="30">
        <f t="shared" ref="L2173:S2173" si="975">L2170 * L2171 * L2172</f>
        <v>0</v>
      </c>
      <c r="M2173" s="30">
        <v>2500</v>
      </c>
      <c r="N2173" s="161">
        <v>8225</v>
      </c>
      <c r="O2173" s="161">
        <f t="shared" si="975"/>
        <v>0</v>
      </c>
      <c r="P2173" s="161">
        <f t="shared" si="975"/>
        <v>0</v>
      </c>
      <c r="Q2173" s="161">
        <f t="shared" si="975"/>
        <v>0</v>
      </c>
      <c r="R2173" s="161">
        <f t="shared" si="975"/>
        <v>0</v>
      </c>
      <c r="S2173" s="161">
        <f t="shared" si="975"/>
        <v>0</v>
      </c>
      <c r="T2173" s="161">
        <f t="shared" ref="T2173:U2173" si="976">T2170 * T2171 * T2172</f>
        <v>0</v>
      </c>
      <c r="U2173" s="161">
        <f t="shared" si="976"/>
        <v>0</v>
      </c>
      <c r="W2173" s="1"/>
      <c r="X2173" s="1"/>
      <c r="Y2173" s="1"/>
    </row>
    <row r="2174" spans="1:25">
      <c r="I2174" s="29"/>
      <c r="J2174" s="29"/>
      <c r="K2174" s="29"/>
      <c r="L2174" s="29"/>
      <c r="M2174" s="29"/>
      <c r="N2174" s="20"/>
      <c r="O2174" s="20"/>
      <c r="P2174" s="20"/>
      <c r="Q2174" s="20"/>
      <c r="R2174" s="20"/>
      <c r="S2174" s="20"/>
      <c r="T2174" s="20"/>
      <c r="U2174" s="20"/>
      <c r="W2174" s="1"/>
      <c r="X2174" s="1"/>
      <c r="Y2174" s="1"/>
    </row>
    <row r="2175" spans="1:25" ht="18.75">
      <c r="F2175" s="9" t="s">
        <v>118</v>
      </c>
      <c r="I2175" s="2">
        <v>2011</v>
      </c>
      <c r="J2175" s="2">
        <f>I2175+1</f>
        <v>2012</v>
      </c>
      <c r="K2175" s="2">
        <f>J2175+1</f>
        <v>2013</v>
      </c>
      <c r="L2175" s="2">
        <f t="shared" ref="L2175:S2175" si="977">L2169</f>
        <v>2014</v>
      </c>
      <c r="M2175" s="2">
        <f t="shared" si="977"/>
        <v>2015</v>
      </c>
      <c r="N2175" s="2">
        <f t="shared" si="977"/>
        <v>2016</v>
      </c>
      <c r="O2175" s="2">
        <f t="shared" si="977"/>
        <v>2017</v>
      </c>
      <c r="P2175" s="2">
        <f t="shared" si="977"/>
        <v>2018</v>
      </c>
      <c r="Q2175" s="2">
        <f t="shared" si="977"/>
        <v>2019</v>
      </c>
      <c r="R2175" s="2">
        <f t="shared" si="977"/>
        <v>2020</v>
      </c>
      <c r="S2175" s="2">
        <f t="shared" si="977"/>
        <v>2021</v>
      </c>
      <c r="T2175" s="2">
        <f t="shared" ref="T2175:U2175" si="978">T2169</f>
        <v>2022</v>
      </c>
      <c r="U2175" s="2">
        <f t="shared" si="978"/>
        <v>2023</v>
      </c>
      <c r="W2175" s="1"/>
      <c r="X2175" s="1"/>
      <c r="Y2175" s="1"/>
    </row>
    <row r="2176" spans="1:25">
      <c r="G2176" s="62" t="s">
        <v>10</v>
      </c>
      <c r="H2176" s="57"/>
      <c r="I2176" s="38">
        <f>IF($J48= "Eligible", I2173 * 'Facility Detail'!$G$3257, 0 )</f>
        <v>0</v>
      </c>
      <c r="J2176" s="11">
        <f>IF($J48= "Eligible", J2173 * 'Facility Detail'!$G$3257, 0 )</f>
        <v>0</v>
      </c>
      <c r="K2176" s="11">
        <f>IF($J48= "Eligible", K2173 * 'Facility Detail'!$G$3257, 0 )</f>
        <v>0</v>
      </c>
      <c r="L2176" s="11">
        <f>IF($J48= "Eligible", L2173 * 'Facility Detail'!$G$3257, 0 )</f>
        <v>0</v>
      </c>
      <c r="M2176" s="11">
        <f>IF($J48= "Eligible", M2173 * 'Facility Detail'!$G$3257, 0 )</f>
        <v>0</v>
      </c>
      <c r="N2176" s="11">
        <f>IF($J48= "Eligible", N2173 * 'Facility Detail'!$G$3257, 0 )</f>
        <v>0</v>
      </c>
      <c r="O2176" s="11">
        <f>IF($J48= "Eligible", O2173 * 'Facility Detail'!$G$3257, 0 )</f>
        <v>0</v>
      </c>
      <c r="P2176" s="11">
        <f>IF($J48= "Eligible", P2173 * 'Facility Detail'!$G$3257, 0 )</f>
        <v>0</v>
      </c>
      <c r="Q2176" s="11">
        <f>IF($J48= "Eligible", Q2173 * 'Facility Detail'!$G$3257, 0 )</f>
        <v>0</v>
      </c>
      <c r="R2176" s="11">
        <f>IF($J48= "Eligible", R2173 * 'Facility Detail'!$G$3257, 0 )</f>
        <v>0</v>
      </c>
      <c r="S2176" s="11">
        <f>IF($J48= "Eligible", S2173 * 'Facility Detail'!$G$3257, 0 )</f>
        <v>0</v>
      </c>
      <c r="T2176" s="11">
        <f>IF($J48= "Eligible", T2173 * 'Facility Detail'!$G$3257, 0 )</f>
        <v>0</v>
      </c>
      <c r="U2176" s="223">
        <f>IF($J48= "Eligible", U2173 * 'Facility Detail'!$G$3257, 0 )</f>
        <v>0</v>
      </c>
      <c r="W2176" s="1"/>
      <c r="X2176" s="1"/>
      <c r="Y2176" s="1"/>
    </row>
    <row r="2177" spans="6:25">
      <c r="G2177" s="62" t="s">
        <v>6</v>
      </c>
      <c r="H2177" s="57"/>
      <c r="I2177" s="39">
        <f t="shared" ref="I2177:U2177" si="979">IF($K48= "Eligible", I2173, 0 )</f>
        <v>0</v>
      </c>
      <c r="J2177" s="193">
        <f t="shared" si="979"/>
        <v>0</v>
      </c>
      <c r="K2177" s="193">
        <f t="shared" si="979"/>
        <v>0</v>
      </c>
      <c r="L2177" s="193">
        <f t="shared" si="979"/>
        <v>0</v>
      </c>
      <c r="M2177" s="193">
        <f t="shared" si="979"/>
        <v>0</v>
      </c>
      <c r="N2177" s="193">
        <f t="shared" si="979"/>
        <v>0</v>
      </c>
      <c r="O2177" s="193">
        <f t="shared" si="979"/>
        <v>0</v>
      </c>
      <c r="P2177" s="193">
        <f t="shared" si="979"/>
        <v>0</v>
      </c>
      <c r="Q2177" s="193">
        <f t="shared" si="979"/>
        <v>0</v>
      </c>
      <c r="R2177" s="193">
        <f t="shared" si="979"/>
        <v>0</v>
      </c>
      <c r="S2177" s="193">
        <f t="shared" si="979"/>
        <v>0</v>
      </c>
      <c r="T2177" s="193">
        <f t="shared" si="979"/>
        <v>0</v>
      </c>
      <c r="U2177" s="224">
        <f t="shared" si="979"/>
        <v>0</v>
      </c>
      <c r="W2177" s="1"/>
      <c r="X2177" s="1"/>
      <c r="Y2177" s="1"/>
    </row>
    <row r="2178" spans="6:25">
      <c r="G2178" s="26" t="s">
        <v>120</v>
      </c>
      <c r="H2178" s="6"/>
      <c r="I2178" s="32">
        <f t="shared" ref="I2178:N2178" si="980">SUM(I2176:I2177)</f>
        <v>0</v>
      </c>
      <c r="J2178" s="33">
        <f t="shared" si="980"/>
        <v>0</v>
      </c>
      <c r="K2178" s="33">
        <f t="shared" si="980"/>
        <v>0</v>
      </c>
      <c r="L2178" s="33">
        <f t="shared" si="980"/>
        <v>0</v>
      </c>
      <c r="M2178" s="33">
        <f t="shared" si="980"/>
        <v>0</v>
      </c>
      <c r="N2178" s="33">
        <f t="shared" si="980"/>
        <v>0</v>
      </c>
      <c r="O2178" s="33">
        <f t="shared" ref="O2178" si="981">SUM(O2176:O2177)</f>
        <v>0</v>
      </c>
      <c r="P2178" s="33"/>
      <c r="Q2178" s="33"/>
      <c r="R2178" s="33"/>
      <c r="S2178" s="33"/>
      <c r="T2178" s="33"/>
      <c r="U2178" s="33"/>
      <c r="W2178" s="1"/>
      <c r="X2178" s="1"/>
      <c r="Y2178" s="1"/>
    </row>
    <row r="2179" spans="6:25">
      <c r="I2179" s="31"/>
      <c r="J2179" s="24"/>
      <c r="K2179" s="24"/>
      <c r="L2179" s="24"/>
      <c r="M2179" s="24"/>
      <c r="N2179" s="24"/>
      <c r="O2179" s="24"/>
      <c r="P2179" s="24"/>
      <c r="Q2179" s="24"/>
      <c r="R2179" s="24"/>
      <c r="S2179" s="24"/>
      <c r="T2179" s="24"/>
      <c r="U2179" s="24"/>
      <c r="W2179" s="1"/>
      <c r="X2179" s="1"/>
      <c r="Y2179" s="1"/>
    </row>
    <row r="2180" spans="6:25" ht="18.75">
      <c r="F2180" s="9" t="s">
        <v>30</v>
      </c>
      <c r="I2180" s="2">
        <v>2011</v>
      </c>
      <c r="J2180" s="2">
        <f>I2180+1</f>
        <v>2012</v>
      </c>
      <c r="K2180" s="2">
        <f>J2180+1</f>
        <v>2013</v>
      </c>
      <c r="L2180" s="2">
        <f t="shared" ref="L2180:S2180" si="982">L2169</f>
        <v>2014</v>
      </c>
      <c r="M2180" s="2">
        <f t="shared" si="982"/>
        <v>2015</v>
      </c>
      <c r="N2180" s="2">
        <f t="shared" si="982"/>
        <v>2016</v>
      </c>
      <c r="O2180" s="2">
        <f t="shared" si="982"/>
        <v>2017</v>
      </c>
      <c r="P2180" s="2">
        <f t="shared" si="982"/>
        <v>2018</v>
      </c>
      <c r="Q2180" s="2">
        <f t="shared" si="982"/>
        <v>2019</v>
      </c>
      <c r="R2180" s="2">
        <f t="shared" si="982"/>
        <v>2020</v>
      </c>
      <c r="S2180" s="2">
        <f t="shared" si="982"/>
        <v>2021</v>
      </c>
      <c r="T2180" s="2">
        <f t="shared" ref="T2180:U2180" si="983">T2169</f>
        <v>2022</v>
      </c>
      <c r="U2180" s="2">
        <f t="shared" si="983"/>
        <v>2023</v>
      </c>
      <c r="W2180" s="1"/>
      <c r="X2180" s="1"/>
      <c r="Y2180" s="1"/>
    </row>
    <row r="2181" spans="6:25">
      <c r="G2181" s="62" t="s">
        <v>47</v>
      </c>
      <c r="H2181" s="57"/>
      <c r="I2181" s="71"/>
      <c r="J2181" s="72"/>
      <c r="K2181" s="72"/>
      <c r="L2181" s="72"/>
      <c r="M2181" s="72"/>
      <c r="N2181" s="72"/>
      <c r="O2181" s="72"/>
      <c r="P2181" s="72"/>
      <c r="Q2181" s="72"/>
      <c r="R2181" s="72"/>
      <c r="S2181" s="72"/>
      <c r="T2181" s="72"/>
      <c r="U2181" s="73"/>
      <c r="W2181" s="1"/>
      <c r="X2181" s="1"/>
      <c r="Y2181" s="1"/>
    </row>
    <row r="2182" spans="6:25">
      <c r="G2182" s="63" t="s">
        <v>23</v>
      </c>
      <c r="H2182" s="135"/>
      <c r="I2182" s="74"/>
      <c r="J2182" s="75"/>
      <c r="K2182" s="75"/>
      <c r="L2182" s="75"/>
      <c r="M2182" s="75"/>
      <c r="N2182" s="75"/>
      <c r="O2182" s="75"/>
      <c r="P2182" s="75"/>
      <c r="Q2182" s="75"/>
      <c r="R2182" s="75"/>
      <c r="S2182" s="75"/>
      <c r="T2182" s="75"/>
      <c r="U2182" s="76"/>
      <c r="W2182" s="1"/>
      <c r="X2182" s="1"/>
      <c r="Y2182" s="1"/>
    </row>
    <row r="2183" spans="6:25">
      <c r="G2183" s="63" t="s">
        <v>89</v>
      </c>
      <c r="H2183" s="134"/>
      <c r="I2183" s="43"/>
      <c r="J2183" s="44"/>
      <c r="K2183" s="44"/>
      <c r="L2183" s="44"/>
      <c r="M2183" s="44"/>
      <c r="N2183" s="44"/>
      <c r="O2183" s="44"/>
      <c r="P2183" s="44"/>
      <c r="Q2183" s="44"/>
      <c r="R2183" s="44"/>
      <c r="S2183" s="44"/>
      <c r="T2183" s="44"/>
      <c r="U2183" s="45"/>
      <c r="W2183" s="1"/>
      <c r="X2183" s="1"/>
      <c r="Y2183" s="1"/>
    </row>
    <row r="2184" spans="6:25">
      <c r="G2184" s="26" t="s">
        <v>90</v>
      </c>
      <c r="I2184" s="7">
        <f t="shared" ref="I2184:O2184" si="984">SUM(I2181:I2183)</f>
        <v>0</v>
      </c>
      <c r="J2184" s="7">
        <f t="shared" si="984"/>
        <v>0</v>
      </c>
      <c r="K2184" s="7">
        <f t="shared" si="984"/>
        <v>0</v>
      </c>
      <c r="L2184" s="7">
        <f t="shared" si="984"/>
        <v>0</v>
      </c>
      <c r="M2184" s="7">
        <f t="shared" si="984"/>
        <v>0</v>
      </c>
      <c r="N2184" s="7">
        <f t="shared" si="984"/>
        <v>0</v>
      </c>
      <c r="O2184" s="7">
        <f t="shared" si="984"/>
        <v>0</v>
      </c>
      <c r="P2184" s="7"/>
      <c r="Q2184" s="7"/>
      <c r="R2184" s="7"/>
      <c r="S2184" s="7"/>
      <c r="T2184" s="7"/>
      <c r="U2184" s="7"/>
      <c r="W2184" s="1"/>
      <c r="X2184" s="1"/>
      <c r="Y2184" s="1"/>
    </row>
    <row r="2185" spans="6:25">
      <c r="G2185" s="6"/>
      <c r="I2185" s="7"/>
      <c r="J2185" s="7"/>
      <c r="K2185" s="7"/>
      <c r="L2185" s="23"/>
      <c r="M2185" s="23"/>
      <c r="N2185" s="23"/>
      <c r="O2185" s="23"/>
      <c r="P2185" s="23"/>
      <c r="Q2185" s="23"/>
      <c r="R2185" s="23"/>
      <c r="S2185" s="23"/>
      <c r="T2185" s="23"/>
      <c r="U2185" s="23"/>
      <c r="W2185" s="1"/>
      <c r="X2185" s="1"/>
      <c r="Y2185" s="1"/>
    </row>
    <row r="2186" spans="6:25" ht="18.75">
      <c r="F2186" s="9" t="s">
        <v>100</v>
      </c>
      <c r="I2186" s="2">
        <v>2011</v>
      </c>
      <c r="J2186" s="2">
        <f t="shared" ref="J2186:R2186" si="985">I2186+1</f>
        <v>2012</v>
      </c>
      <c r="K2186" s="2">
        <f t="shared" si="985"/>
        <v>2013</v>
      </c>
      <c r="L2186" s="2">
        <f t="shared" si="985"/>
        <v>2014</v>
      </c>
      <c r="M2186" s="2">
        <f t="shared" si="985"/>
        <v>2015</v>
      </c>
      <c r="N2186" s="2">
        <f t="shared" si="985"/>
        <v>2016</v>
      </c>
      <c r="O2186" s="2">
        <f t="shared" si="985"/>
        <v>2017</v>
      </c>
      <c r="P2186" s="2">
        <f t="shared" si="985"/>
        <v>2018</v>
      </c>
      <c r="Q2186" s="2">
        <f t="shared" si="985"/>
        <v>2019</v>
      </c>
      <c r="R2186" s="2">
        <f t="shared" si="985"/>
        <v>2020</v>
      </c>
      <c r="S2186" s="2">
        <f>R2186+1</f>
        <v>2021</v>
      </c>
      <c r="T2186" s="2">
        <f>S2186+1</f>
        <v>2022</v>
      </c>
      <c r="U2186" s="2">
        <f>T2186+1</f>
        <v>2023</v>
      </c>
      <c r="W2186" s="1"/>
      <c r="X2186" s="1"/>
      <c r="Y2186" s="1"/>
    </row>
    <row r="2187" spans="6:25">
      <c r="G2187" s="62" t="s">
        <v>68</v>
      </c>
      <c r="H2187" s="57"/>
      <c r="I2187" s="3">
        <f>I2173</f>
        <v>0</v>
      </c>
      <c r="J2187" s="46">
        <f>I2187</f>
        <v>0</v>
      </c>
      <c r="K2187" s="106"/>
      <c r="L2187" s="106"/>
      <c r="M2187" s="106"/>
      <c r="N2187" s="106"/>
      <c r="O2187" s="106"/>
      <c r="P2187" s="106"/>
      <c r="Q2187" s="106"/>
      <c r="R2187" s="106"/>
      <c r="S2187" s="106"/>
      <c r="T2187" s="106"/>
      <c r="U2187" s="47"/>
      <c r="W2187" s="1"/>
      <c r="X2187" s="1"/>
      <c r="Y2187" s="1"/>
    </row>
    <row r="2188" spans="6:25">
      <c r="G2188" s="62" t="s">
        <v>69</v>
      </c>
      <c r="H2188" s="57"/>
      <c r="I2188" s="127">
        <f>J2188</f>
        <v>0</v>
      </c>
      <c r="J2188" s="10"/>
      <c r="K2188" s="60"/>
      <c r="L2188" s="60"/>
      <c r="M2188" s="60"/>
      <c r="N2188" s="60"/>
      <c r="O2188" s="60"/>
      <c r="P2188" s="60"/>
      <c r="Q2188" s="60"/>
      <c r="R2188" s="60"/>
      <c r="S2188" s="60"/>
      <c r="T2188" s="60"/>
      <c r="U2188" s="128"/>
      <c r="W2188" s="1"/>
      <c r="X2188" s="1"/>
      <c r="Y2188" s="1"/>
    </row>
    <row r="2189" spans="6:25">
      <c r="G2189" s="62" t="s">
        <v>70</v>
      </c>
      <c r="H2189" s="57"/>
      <c r="I2189" s="48"/>
      <c r="J2189" s="10">
        <f>J2173</f>
        <v>0</v>
      </c>
      <c r="K2189" s="56">
        <f>J2189</f>
        <v>0</v>
      </c>
      <c r="L2189" s="60"/>
      <c r="M2189" s="60"/>
      <c r="N2189" s="60"/>
      <c r="O2189" s="60"/>
      <c r="P2189" s="60"/>
      <c r="Q2189" s="60"/>
      <c r="R2189" s="60"/>
      <c r="S2189" s="60"/>
      <c r="T2189" s="60"/>
      <c r="U2189" s="128"/>
      <c r="W2189" s="1"/>
      <c r="X2189" s="1"/>
      <c r="Y2189" s="1"/>
    </row>
    <row r="2190" spans="6:25">
      <c r="G2190" s="62" t="s">
        <v>71</v>
      </c>
      <c r="H2190" s="57"/>
      <c r="I2190" s="48"/>
      <c r="J2190" s="56">
        <f>K2190</f>
        <v>0</v>
      </c>
      <c r="K2190" s="126"/>
      <c r="L2190" s="60"/>
      <c r="M2190" s="60"/>
      <c r="N2190" s="60"/>
      <c r="O2190" s="60"/>
      <c r="P2190" s="60"/>
      <c r="Q2190" s="60"/>
      <c r="R2190" s="60"/>
      <c r="S2190" s="60"/>
      <c r="T2190" s="60"/>
      <c r="U2190" s="128"/>
      <c r="W2190" s="1"/>
      <c r="X2190" s="1"/>
      <c r="Y2190" s="1"/>
    </row>
    <row r="2191" spans="6:25">
      <c r="G2191" s="62" t="s">
        <v>170</v>
      </c>
      <c r="H2191" s="57"/>
      <c r="I2191" s="48"/>
      <c r="J2191" s="118"/>
      <c r="K2191" s="10">
        <f>K2173</f>
        <v>0</v>
      </c>
      <c r="L2191" s="119">
        <f>K2191</f>
        <v>0</v>
      </c>
      <c r="M2191" s="60"/>
      <c r="N2191" s="60"/>
      <c r="O2191" s="60"/>
      <c r="P2191" s="60"/>
      <c r="Q2191" s="60"/>
      <c r="R2191" s="60"/>
      <c r="S2191" s="60"/>
      <c r="T2191" s="60"/>
      <c r="U2191" s="128"/>
      <c r="W2191" s="1"/>
      <c r="X2191" s="1"/>
      <c r="Y2191" s="1"/>
    </row>
    <row r="2192" spans="6:25">
      <c r="G2192" s="62" t="s">
        <v>171</v>
      </c>
      <c r="H2192" s="57"/>
      <c r="I2192" s="48"/>
      <c r="J2192" s="118"/>
      <c r="K2192" s="56">
        <f>L2192</f>
        <v>0</v>
      </c>
      <c r="L2192" s="10"/>
      <c r="M2192" s="60"/>
      <c r="N2192" s="60"/>
      <c r="O2192" s="60" t="s">
        <v>169</v>
      </c>
      <c r="P2192" s="60" t="s">
        <v>169</v>
      </c>
      <c r="Q2192" s="60" t="s">
        <v>169</v>
      </c>
      <c r="R2192" s="60"/>
      <c r="S2192" s="60"/>
      <c r="T2192" s="60"/>
      <c r="U2192" s="128"/>
      <c r="W2192" s="1"/>
      <c r="X2192" s="1"/>
      <c r="Y2192" s="1"/>
    </row>
    <row r="2193" spans="2:25">
      <c r="G2193" s="62" t="s">
        <v>172</v>
      </c>
      <c r="H2193" s="57"/>
      <c r="I2193" s="48"/>
      <c r="J2193" s="118"/>
      <c r="K2193" s="118"/>
      <c r="L2193" s="10">
        <f>L2173</f>
        <v>0</v>
      </c>
      <c r="M2193" s="119">
        <f>L2193</f>
        <v>0</v>
      </c>
      <c r="N2193" s="118"/>
      <c r="O2193" s="118"/>
      <c r="P2193" s="118"/>
      <c r="Q2193" s="118"/>
      <c r="R2193" s="118"/>
      <c r="S2193" s="118"/>
      <c r="T2193" s="118"/>
      <c r="U2193" s="122"/>
      <c r="W2193" s="1"/>
      <c r="X2193" s="1"/>
      <c r="Y2193" s="1"/>
    </row>
    <row r="2194" spans="2:25">
      <c r="G2194" s="62" t="s">
        <v>173</v>
      </c>
      <c r="H2194" s="57"/>
      <c r="I2194" s="48"/>
      <c r="J2194" s="118"/>
      <c r="K2194" s="118"/>
      <c r="L2194" s="120"/>
      <c r="M2194" s="10"/>
      <c r="N2194" s="118"/>
      <c r="O2194" s="118"/>
      <c r="P2194" s="118"/>
      <c r="Q2194" s="118"/>
      <c r="R2194" s="118"/>
      <c r="S2194" s="118"/>
      <c r="T2194" s="118"/>
      <c r="U2194" s="122"/>
      <c r="W2194" s="1"/>
      <c r="X2194" s="1"/>
      <c r="Y2194" s="1"/>
    </row>
    <row r="2195" spans="2:25">
      <c r="G2195" s="62" t="s">
        <v>174</v>
      </c>
      <c r="H2195" s="57"/>
      <c r="I2195" s="48"/>
      <c r="J2195" s="118"/>
      <c r="K2195" s="118"/>
      <c r="L2195" s="118"/>
      <c r="M2195" s="10">
        <f>M2173</f>
        <v>2500</v>
      </c>
      <c r="N2195" s="119">
        <f>M2195</f>
        <v>2500</v>
      </c>
      <c r="O2195" s="60"/>
      <c r="P2195" s="60"/>
      <c r="Q2195" s="60"/>
      <c r="R2195" s="60"/>
      <c r="S2195" s="60"/>
      <c r="T2195" s="60"/>
      <c r="U2195" s="128"/>
      <c r="W2195" s="1"/>
      <c r="X2195" s="1"/>
      <c r="Y2195" s="1"/>
    </row>
    <row r="2196" spans="2:25">
      <c r="G2196" s="62" t="s">
        <v>175</v>
      </c>
      <c r="I2196" s="48"/>
      <c r="J2196" s="118"/>
      <c r="K2196" s="118"/>
      <c r="L2196" s="118"/>
      <c r="M2196" s="56"/>
      <c r="N2196" s="121"/>
      <c r="O2196" s="60"/>
      <c r="P2196" s="60"/>
      <c r="Q2196" s="60"/>
      <c r="R2196" s="60"/>
      <c r="S2196" s="60"/>
      <c r="T2196" s="60"/>
      <c r="U2196" s="128"/>
      <c r="W2196" s="1"/>
      <c r="X2196" s="1"/>
      <c r="Y2196" s="1"/>
    </row>
    <row r="2197" spans="2:25">
      <c r="G2197" s="62" t="s">
        <v>176</v>
      </c>
      <c r="I2197" s="48"/>
      <c r="J2197" s="118"/>
      <c r="K2197" s="118"/>
      <c r="L2197" s="118"/>
      <c r="M2197" s="118"/>
      <c r="N2197" s="121">
        <f>N2173</f>
        <v>8225</v>
      </c>
      <c r="O2197" s="56">
        <f>N2197</f>
        <v>8225</v>
      </c>
      <c r="P2197" s="60"/>
      <c r="Q2197" s="60"/>
      <c r="R2197" s="60"/>
      <c r="S2197" s="60"/>
      <c r="T2197" s="60"/>
      <c r="U2197" s="128"/>
      <c r="W2197" s="1"/>
      <c r="X2197" s="1"/>
      <c r="Y2197" s="1"/>
    </row>
    <row r="2198" spans="2:25">
      <c r="G2198" s="62" t="s">
        <v>167</v>
      </c>
      <c r="I2198" s="48"/>
      <c r="J2198" s="118"/>
      <c r="K2198" s="118"/>
      <c r="L2198" s="118"/>
      <c r="M2198" s="118"/>
      <c r="N2198" s="120"/>
      <c r="O2198" s="121"/>
      <c r="P2198" s="60"/>
      <c r="Q2198" s="60"/>
      <c r="R2198" s="60"/>
      <c r="S2198" s="60"/>
      <c r="T2198" s="60"/>
      <c r="U2198" s="128"/>
      <c r="W2198" s="1"/>
      <c r="X2198" s="1"/>
      <c r="Y2198" s="1"/>
    </row>
    <row r="2199" spans="2:25">
      <c r="G2199" s="62" t="s">
        <v>168</v>
      </c>
      <c r="I2199" s="49"/>
      <c r="J2199" s="108"/>
      <c r="K2199" s="108"/>
      <c r="L2199" s="108"/>
      <c r="M2199" s="108"/>
      <c r="N2199" s="108"/>
      <c r="O2199" s="123"/>
      <c r="P2199" s="271"/>
      <c r="Q2199" s="194"/>
      <c r="R2199" s="194"/>
      <c r="S2199" s="194"/>
      <c r="T2199" s="194"/>
      <c r="U2199" s="195"/>
      <c r="W2199" s="1"/>
      <c r="X2199" s="1"/>
      <c r="Y2199" s="1"/>
    </row>
    <row r="2200" spans="2:25">
      <c r="B2200" s="1" t="s">
        <v>276</v>
      </c>
      <c r="G2200" s="26" t="s">
        <v>17</v>
      </c>
      <c r="I2200" s="7">
        <f xml:space="preserve"> I2188 - I2187</f>
        <v>0</v>
      </c>
      <c r="J2200" s="7">
        <f xml:space="preserve"> J2187 + J2190 - J2189 - J2188</f>
        <v>0</v>
      </c>
      <c r="K2200" s="7">
        <f>K2189 - K2190 -K2191</f>
        <v>0</v>
      </c>
      <c r="L2200" s="7">
        <f>L2191-L2192-L2193</f>
        <v>0</v>
      </c>
      <c r="M2200" s="7">
        <f>M2193-M2194-M2195</f>
        <v>-2500</v>
      </c>
      <c r="N2200" s="162">
        <f>N2195-N2196-N2197</f>
        <v>-5725</v>
      </c>
      <c r="O2200" s="162">
        <f>O2197-O2198-O2199</f>
        <v>8225</v>
      </c>
      <c r="P2200" s="7">
        <f t="shared" ref="P2200:U2200" si="986">P2199</f>
        <v>0</v>
      </c>
      <c r="Q2200" s="7">
        <f t="shared" si="986"/>
        <v>0</v>
      </c>
      <c r="R2200" s="7">
        <f t="shared" si="986"/>
        <v>0</v>
      </c>
      <c r="S2200" s="7">
        <f t="shared" si="986"/>
        <v>0</v>
      </c>
      <c r="T2200" s="7">
        <f t="shared" si="986"/>
        <v>0</v>
      </c>
      <c r="U2200" s="7">
        <f t="shared" si="986"/>
        <v>0</v>
      </c>
      <c r="W2200" s="1"/>
      <c r="X2200" s="1"/>
      <c r="Y2200" s="1"/>
    </row>
    <row r="2201" spans="2:25">
      <c r="G2201" s="6"/>
      <c r="I2201" s="7"/>
      <c r="J2201" s="7"/>
      <c r="K2201" s="7"/>
      <c r="L2201" s="23"/>
      <c r="M2201" s="23"/>
      <c r="N2201" s="23"/>
      <c r="O2201" s="23"/>
      <c r="P2201" s="23"/>
      <c r="Q2201" s="23"/>
      <c r="R2201" s="23"/>
      <c r="S2201" s="23"/>
      <c r="T2201" s="23"/>
      <c r="U2201" s="23"/>
      <c r="W2201" s="1"/>
      <c r="X2201" s="1"/>
      <c r="Y2201" s="1"/>
    </row>
    <row r="2202" spans="2:25">
      <c r="G2202" s="26" t="s">
        <v>12</v>
      </c>
      <c r="H2202" s="57"/>
      <c r="I2202" s="155"/>
      <c r="J2202" s="156"/>
      <c r="K2202" s="156"/>
      <c r="L2202" s="156"/>
      <c r="M2202" s="156"/>
      <c r="N2202" s="156"/>
      <c r="O2202" s="156"/>
      <c r="P2202" s="156"/>
      <c r="Q2202" s="156"/>
      <c r="R2202" s="156"/>
      <c r="S2202" s="156"/>
      <c r="T2202" s="156"/>
      <c r="U2202" s="267"/>
      <c r="W2202" s="1"/>
      <c r="X2202" s="1"/>
      <c r="Y2202" s="1"/>
    </row>
    <row r="2203" spans="2:25">
      <c r="G2203" s="6"/>
      <c r="I2203" s="154"/>
      <c r="J2203" s="154"/>
      <c r="K2203" s="154"/>
      <c r="L2203" s="154"/>
      <c r="M2203" s="154"/>
      <c r="N2203" s="154"/>
      <c r="O2203" s="154"/>
      <c r="P2203" s="154"/>
      <c r="Q2203" s="154"/>
      <c r="R2203" s="154"/>
      <c r="S2203" s="154"/>
      <c r="T2203" s="154"/>
      <c r="U2203" s="154"/>
      <c r="W2203" s="1"/>
      <c r="X2203" s="1"/>
      <c r="Y2203" s="1"/>
    </row>
    <row r="2204" spans="2:25" ht="18.75">
      <c r="C2204" s="1" t="s">
        <v>276</v>
      </c>
      <c r="D2204" s="1" t="s">
        <v>277</v>
      </c>
      <c r="E2204" s="1" t="s">
        <v>107</v>
      </c>
      <c r="F2204" s="9" t="s">
        <v>26</v>
      </c>
      <c r="H2204" s="57"/>
      <c r="I2204" s="157">
        <f t="shared" ref="I2204:S2204" si="987" xml:space="preserve"> I2173 + I2178 - I2184 + I2200 + I2202</f>
        <v>0</v>
      </c>
      <c r="J2204" s="158">
        <f t="shared" si="987"/>
        <v>0</v>
      </c>
      <c r="K2204" s="158">
        <f t="shared" si="987"/>
        <v>0</v>
      </c>
      <c r="L2204" s="158">
        <f t="shared" si="987"/>
        <v>0</v>
      </c>
      <c r="M2204" s="158">
        <f t="shared" si="987"/>
        <v>0</v>
      </c>
      <c r="N2204" s="158">
        <f t="shared" si="987"/>
        <v>2500</v>
      </c>
      <c r="O2204" s="158">
        <f t="shared" si="987"/>
        <v>8225</v>
      </c>
      <c r="P2204" s="158">
        <f t="shared" si="987"/>
        <v>0</v>
      </c>
      <c r="Q2204" s="158">
        <f t="shared" si="987"/>
        <v>0</v>
      </c>
      <c r="R2204" s="158">
        <f t="shared" si="987"/>
        <v>0</v>
      </c>
      <c r="S2204" s="158">
        <f t="shared" si="987"/>
        <v>0</v>
      </c>
      <c r="T2204" s="158">
        <f t="shared" ref="T2204:U2204" si="988" xml:space="preserve"> T2173 + T2178 - T2184 + T2200 + T2202</f>
        <v>0</v>
      </c>
      <c r="U2204" s="268">
        <f t="shared" si="988"/>
        <v>0</v>
      </c>
      <c r="W2204" s="1"/>
      <c r="X2204" s="1"/>
      <c r="Y2204" s="1"/>
    </row>
    <row r="2205" spans="2:25">
      <c r="G2205" s="6"/>
      <c r="I2205" s="7"/>
      <c r="J2205" s="7"/>
      <c r="K2205" s="7"/>
      <c r="L2205" s="23"/>
      <c r="M2205" s="23"/>
      <c r="N2205" s="23"/>
      <c r="O2205" s="23"/>
      <c r="P2205" s="23"/>
      <c r="Q2205" s="23"/>
      <c r="R2205" s="23"/>
      <c r="S2205" s="282"/>
      <c r="T2205" s="23"/>
      <c r="U2205" s="23"/>
      <c r="W2205" s="1"/>
      <c r="X2205" s="1"/>
      <c r="Y2205" s="1"/>
    </row>
    <row r="2206" spans="2:25" ht="15.75" thickBot="1">
      <c r="W2206" s="1"/>
      <c r="X2206" s="1"/>
      <c r="Y2206" s="1"/>
    </row>
    <row r="2207" spans="2:25" ht="15.75" thickBot="1">
      <c r="F2207" s="8"/>
      <c r="G2207" s="8"/>
      <c r="H2207" s="8"/>
      <c r="I2207" s="8"/>
      <c r="J2207" s="8"/>
      <c r="K2207" s="8"/>
      <c r="L2207" s="8"/>
      <c r="M2207" s="8"/>
      <c r="N2207" s="8"/>
      <c r="O2207" s="8"/>
      <c r="P2207" s="8"/>
      <c r="Q2207" s="8"/>
      <c r="R2207" s="8"/>
      <c r="S2207" s="290"/>
      <c r="T2207" s="8"/>
      <c r="U2207" s="8"/>
      <c r="W2207" s="1"/>
      <c r="X2207" s="1"/>
      <c r="Y2207" s="1"/>
    </row>
    <row r="2208" spans="2:25" ht="21.75" thickBot="1">
      <c r="F2208" s="13" t="s">
        <v>4</v>
      </c>
      <c r="G2208" s="13"/>
      <c r="H2208" s="185" t="str">
        <f>G49</f>
        <v>Nine Canyon Wind Project - Nine Canyon Phase 3 - REC Only</v>
      </c>
      <c r="I2208" s="186"/>
      <c r="J2208" s="197"/>
      <c r="K2208" s="174"/>
      <c r="W2208" s="1"/>
      <c r="X2208" s="1"/>
      <c r="Y2208" s="1"/>
    </row>
    <row r="2209" spans="1:25">
      <c r="W2209" s="1"/>
      <c r="X2209" s="1"/>
      <c r="Y2209" s="1"/>
    </row>
    <row r="2210" spans="1:25" ht="18.75">
      <c r="F2210" s="9" t="s">
        <v>21</v>
      </c>
      <c r="G2210" s="9"/>
      <c r="I2210" s="2">
        <v>2011</v>
      </c>
      <c r="J2210" s="2">
        <f>I2210+1</f>
        <v>2012</v>
      </c>
      <c r="K2210" s="2">
        <f t="shared" ref="K2210:R2210" si="989">J2210+1</f>
        <v>2013</v>
      </c>
      <c r="L2210" s="2">
        <f t="shared" si="989"/>
        <v>2014</v>
      </c>
      <c r="M2210" s="2">
        <f t="shared" si="989"/>
        <v>2015</v>
      </c>
      <c r="N2210" s="2">
        <f t="shared" si="989"/>
        <v>2016</v>
      </c>
      <c r="O2210" s="2">
        <f t="shared" si="989"/>
        <v>2017</v>
      </c>
      <c r="P2210" s="2">
        <f t="shared" si="989"/>
        <v>2018</v>
      </c>
      <c r="Q2210" s="2">
        <f t="shared" si="989"/>
        <v>2019</v>
      </c>
      <c r="R2210" s="2">
        <f t="shared" si="989"/>
        <v>2020</v>
      </c>
      <c r="S2210" s="2">
        <f>R2210+1</f>
        <v>2021</v>
      </c>
      <c r="T2210" s="2">
        <f>S2210+1</f>
        <v>2022</v>
      </c>
      <c r="U2210" s="2">
        <f>T2210+1</f>
        <v>2023</v>
      </c>
      <c r="W2210" s="1"/>
      <c r="X2210" s="1"/>
      <c r="Y2210" s="1"/>
    </row>
    <row r="2211" spans="1:25">
      <c r="G2211" s="62" t="str">
        <f>"Total MWh Produced / Purchased from " &amp; H2208</f>
        <v>Total MWh Produced / Purchased from Nine Canyon Wind Project - Nine Canyon Phase 3 - REC Only</v>
      </c>
      <c r="H2211" s="57"/>
      <c r="I2211" s="3"/>
      <c r="J2211" s="4"/>
      <c r="K2211" s="4"/>
      <c r="L2211" s="4"/>
      <c r="M2211" s="4"/>
      <c r="N2211" s="4">
        <v>4668</v>
      </c>
      <c r="O2211" s="4"/>
      <c r="P2211" s="4"/>
      <c r="Q2211" s="4"/>
      <c r="R2211" s="4"/>
      <c r="S2211" s="4"/>
      <c r="T2211" s="4"/>
      <c r="U2211" s="5"/>
      <c r="W2211" s="1"/>
      <c r="X2211" s="1"/>
      <c r="Y2211" s="1"/>
    </row>
    <row r="2212" spans="1:25">
      <c r="G2212" s="62" t="s">
        <v>25</v>
      </c>
      <c r="H2212" s="57"/>
      <c r="I2212" s="269"/>
      <c r="J2212" s="41"/>
      <c r="K2212" s="41"/>
      <c r="L2212" s="41"/>
      <c r="M2212" s="41"/>
      <c r="N2212" s="41">
        <v>1</v>
      </c>
      <c r="O2212" s="41"/>
      <c r="P2212" s="41"/>
      <c r="Q2212" s="41"/>
      <c r="R2212" s="41"/>
      <c r="S2212" s="41"/>
      <c r="T2212" s="41"/>
      <c r="U2212" s="42"/>
      <c r="W2212" s="1"/>
      <c r="X2212" s="1"/>
      <c r="Y2212" s="1"/>
    </row>
    <row r="2213" spans="1:25">
      <c r="G2213" s="62" t="s">
        <v>20</v>
      </c>
      <c r="H2213" s="57"/>
      <c r="I2213" s="270"/>
      <c r="J2213" s="36"/>
      <c r="K2213" s="36"/>
      <c r="L2213" s="36"/>
      <c r="M2213" s="36"/>
      <c r="N2213" s="36">
        <v>1</v>
      </c>
      <c r="O2213" s="36"/>
      <c r="P2213" s="36"/>
      <c r="Q2213" s="36"/>
      <c r="R2213" s="36"/>
      <c r="S2213" s="36"/>
      <c r="T2213" s="36"/>
      <c r="U2213" s="37"/>
      <c r="W2213" s="1"/>
      <c r="X2213" s="1"/>
      <c r="Y2213" s="1"/>
    </row>
    <row r="2214" spans="1:25">
      <c r="A2214" s="1" t="s">
        <v>298</v>
      </c>
      <c r="G2214" s="26" t="s">
        <v>22</v>
      </c>
      <c r="H2214" s="6"/>
      <c r="I2214" s="30">
        <v>0</v>
      </c>
      <c r="J2214" s="30">
        <v>0</v>
      </c>
      <c r="K2214" s="30">
        <v>0</v>
      </c>
      <c r="L2214" s="30">
        <v>0</v>
      </c>
      <c r="M2214" s="30">
        <v>0</v>
      </c>
      <c r="N2214" s="161">
        <v>4668</v>
      </c>
      <c r="O2214" s="161">
        <v>0</v>
      </c>
      <c r="P2214" s="161">
        <v>0</v>
      </c>
      <c r="Q2214" s="161">
        <v>0</v>
      </c>
      <c r="R2214" s="161">
        <v>0</v>
      </c>
      <c r="S2214" s="161">
        <v>0</v>
      </c>
      <c r="T2214" s="161">
        <v>0</v>
      </c>
      <c r="U2214" s="161">
        <v>0</v>
      </c>
      <c r="W2214" s="1"/>
      <c r="X2214" s="1"/>
      <c r="Y2214" s="1"/>
    </row>
    <row r="2215" spans="1:25">
      <c r="I2215" s="29"/>
      <c r="J2215" s="29"/>
      <c r="K2215" s="29"/>
      <c r="L2215" s="29"/>
      <c r="M2215" s="29"/>
      <c r="N2215" s="20"/>
      <c r="O2215" s="20"/>
      <c r="P2215" s="20"/>
      <c r="Q2215" s="20"/>
      <c r="R2215" s="20"/>
      <c r="S2215" s="20"/>
      <c r="T2215" s="20"/>
      <c r="U2215" s="20"/>
      <c r="W2215" s="1"/>
      <c r="X2215" s="1"/>
      <c r="Y2215" s="1"/>
    </row>
    <row r="2216" spans="1:25" ht="18.75">
      <c r="F2216" s="9" t="s">
        <v>118</v>
      </c>
      <c r="I2216" s="2">
        <v>2011</v>
      </c>
      <c r="J2216" s="2">
        <f>I2216+1</f>
        <v>2012</v>
      </c>
      <c r="K2216" s="2">
        <f t="shared" ref="K2216:R2216" si="990">J2216+1</f>
        <v>2013</v>
      </c>
      <c r="L2216" s="2">
        <f t="shared" si="990"/>
        <v>2014</v>
      </c>
      <c r="M2216" s="2">
        <f t="shared" si="990"/>
        <v>2015</v>
      </c>
      <c r="N2216" s="2">
        <f t="shared" si="990"/>
        <v>2016</v>
      </c>
      <c r="O2216" s="2">
        <f t="shared" si="990"/>
        <v>2017</v>
      </c>
      <c r="P2216" s="2">
        <f t="shared" si="990"/>
        <v>2018</v>
      </c>
      <c r="Q2216" s="2">
        <f t="shared" si="990"/>
        <v>2019</v>
      </c>
      <c r="R2216" s="2">
        <f t="shared" si="990"/>
        <v>2020</v>
      </c>
      <c r="S2216" s="2">
        <f>R2216+1</f>
        <v>2021</v>
      </c>
      <c r="T2216" s="2">
        <f>S2216+1</f>
        <v>2022</v>
      </c>
      <c r="U2216" s="2">
        <f>T2216+1</f>
        <v>2023</v>
      </c>
      <c r="W2216" s="1"/>
      <c r="X2216" s="1"/>
      <c r="Y2216" s="1"/>
    </row>
    <row r="2217" spans="1:25">
      <c r="G2217" s="62" t="s">
        <v>10</v>
      </c>
      <c r="H2217" s="57"/>
      <c r="I2217" s="38">
        <f>IF($J49= "Eligible", I2214 * 'Facility Detail'!$G$3257, 0 )</f>
        <v>0</v>
      </c>
      <c r="J2217" s="11">
        <v>0</v>
      </c>
      <c r="K2217" s="11">
        <v>0</v>
      </c>
      <c r="L2217" s="11">
        <v>0</v>
      </c>
      <c r="M2217" s="11">
        <v>0</v>
      </c>
      <c r="N2217" s="11">
        <v>0</v>
      </c>
      <c r="O2217" s="11">
        <v>0</v>
      </c>
      <c r="P2217" s="11">
        <v>0</v>
      </c>
      <c r="Q2217" s="11">
        <v>0</v>
      </c>
      <c r="R2217" s="11">
        <v>0</v>
      </c>
      <c r="S2217" s="11">
        <v>0</v>
      </c>
      <c r="T2217" s="11">
        <v>0</v>
      </c>
      <c r="U2217" s="223">
        <v>0</v>
      </c>
      <c r="W2217" s="1"/>
      <c r="X2217" s="1"/>
      <c r="Y2217" s="1"/>
    </row>
    <row r="2218" spans="1:25">
      <c r="G2218" s="62" t="s">
        <v>6</v>
      </c>
      <c r="H2218" s="57"/>
      <c r="I2218" s="39">
        <f>IF($K49= "Eligible", I2214, 0 )</f>
        <v>0</v>
      </c>
      <c r="J2218" s="193">
        <v>0</v>
      </c>
      <c r="K2218" s="193">
        <v>0</v>
      </c>
      <c r="L2218" s="193">
        <v>0</v>
      </c>
      <c r="M2218" s="193">
        <v>0</v>
      </c>
      <c r="N2218" s="193">
        <v>0</v>
      </c>
      <c r="O2218" s="193">
        <v>0</v>
      </c>
      <c r="P2218" s="193">
        <v>0</v>
      </c>
      <c r="Q2218" s="193">
        <v>0</v>
      </c>
      <c r="R2218" s="193">
        <v>0</v>
      </c>
      <c r="S2218" s="193">
        <v>0</v>
      </c>
      <c r="T2218" s="193">
        <v>0</v>
      </c>
      <c r="U2218" s="224">
        <v>0</v>
      </c>
      <c r="W2218" s="1"/>
      <c r="X2218" s="1"/>
      <c r="Y2218" s="1"/>
    </row>
    <row r="2219" spans="1:25">
      <c r="G2219" s="26" t="s">
        <v>120</v>
      </c>
      <c r="H2219" s="6"/>
      <c r="I2219" s="32">
        <v>0</v>
      </c>
      <c r="J2219" s="33">
        <v>0</v>
      </c>
      <c r="K2219" s="33">
        <v>0</v>
      </c>
      <c r="L2219" s="33">
        <v>0</v>
      </c>
      <c r="M2219" s="33">
        <v>0</v>
      </c>
      <c r="N2219" s="33">
        <v>0</v>
      </c>
      <c r="O2219" s="33">
        <v>0</v>
      </c>
      <c r="P2219" s="33">
        <v>0</v>
      </c>
      <c r="Q2219" s="33">
        <v>0</v>
      </c>
      <c r="R2219" s="33">
        <v>0</v>
      </c>
      <c r="S2219" s="33">
        <v>0</v>
      </c>
      <c r="T2219" s="33">
        <v>0</v>
      </c>
      <c r="U2219" s="33">
        <v>0</v>
      </c>
      <c r="W2219" s="1"/>
      <c r="X2219" s="1"/>
      <c r="Y2219" s="1"/>
    </row>
    <row r="2220" spans="1:25">
      <c r="I2220" s="31"/>
      <c r="J2220" s="24"/>
      <c r="K2220" s="24"/>
      <c r="L2220" s="24"/>
      <c r="M2220" s="24"/>
      <c r="N2220" s="24"/>
      <c r="O2220" s="24"/>
      <c r="P2220" s="24"/>
      <c r="Q2220" s="24"/>
      <c r="R2220" s="24"/>
      <c r="S2220" s="24"/>
      <c r="T2220" s="24"/>
      <c r="U2220" s="24"/>
      <c r="W2220" s="1"/>
      <c r="X2220" s="1"/>
      <c r="Y2220" s="1"/>
    </row>
    <row r="2221" spans="1:25" ht="18.75">
      <c r="F2221" s="9" t="s">
        <v>30</v>
      </c>
      <c r="I2221" s="2">
        <v>2011</v>
      </c>
      <c r="J2221" s="2">
        <f>I2221+1</f>
        <v>2012</v>
      </c>
      <c r="K2221" s="2">
        <f t="shared" ref="K2221:R2221" si="991">J2221+1</f>
        <v>2013</v>
      </c>
      <c r="L2221" s="2">
        <f t="shared" si="991"/>
        <v>2014</v>
      </c>
      <c r="M2221" s="2">
        <f t="shared" si="991"/>
        <v>2015</v>
      </c>
      <c r="N2221" s="2">
        <f t="shared" si="991"/>
        <v>2016</v>
      </c>
      <c r="O2221" s="2">
        <f t="shared" si="991"/>
        <v>2017</v>
      </c>
      <c r="P2221" s="2">
        <f t="shared" si="991"/>
        <v>2018</v>
      </c>
      <c r="Q2221" s="2">
        <f t="shared" si="991"/>
        <v>2019</v>
      </c>
      <c r="R2221" s="2">
        <f t="shared" si="991"/>
        <v>2020</v>
      </c>
      <c r="S2221" s="2">
        <f>R2221+1</f>
        <v>2021</v>
      </c>
      <c r="T2221" s="2">
        <f>S2221+1</f>
        <v>2022</v>
      </c>
      <c r="U2221" s="2">
        <f>T2221+1</f>
        <v>2023</v>
      </c>
      <c r="W2221" s="1"/>
      <c r="X2221" s="1"/>
      <c r="Y2221" s="1"/>
    </row>
    <row r="2222" spans="1:25">
      <c r="G2222" s="62" t="s">
        <v>47</v>
      </c>
      <c r="H2222" s="57"/>
      <c r="I2222" s="71"/>
      <c r="J2222" s="72"/>
      <c r="K2222" s="72"/>
      <c r="L2222" s="72"/>
      <c r="M2222" s="72"/>
      <c r="N2222" s="72"/>
      <c r="O2222" s="72"/>
      <c r="P2222" s="72"/>
      <c r="Q2222" s="72"/>
      <c r="R2222" s="72"/>
      <c r="S2222" s="72"/>
      <c r="T2222" s="72"/>
      <c r="U2222" s="73"/>
      <c r="W2222" s="1"/>
      <c r="X2222" s="1"/>
      <c r="Y2222" s="1"/>
    </row>
    <row r="2223" spans="1:25">
      <c r="G2223" s="63" t="s">
        <v>23</v>
      </c>
      <c r="H2223" s="135"/>
      <c r="I2223" s="74"/>
      <c r="J2223" s="75"/>
      <c r="K2223" s="75"/>
      <c r="L2223" s="75"/>
      <c r="M2223" s="75"/>
      <c r="N2223" s="75"/>
      <c r="O2223" s="75"/>
      <c r="P2223" s="75"/>
      <c r="Q2223" s="75"/>
      <c r="R2223" s="75"/>
      <c r="S2223" s="75"/>
      <c r="T2223" s="75"/>
      <c r="U2223" s="76"/>
      <c r="W2223" s="1"/>
      <c r="X2223" s="1"/>
      <c r="Y2223" s="1"/>
    </row>
    <row r="2224" spans="1:25">
      <c r="G2224" s="63" t="s">
        <v>89</v>
      </c>
      <c r="H2224" s="134"/>
      <c r="I2224" s="43"/>
      <c r="J2224" s="44"/>
      <c r="K2224" s="44"/>
      <c r="L2224" s="44"/>
      <c r="M2224" s="44"/>
      <c r="N2224" s="44"/>
      <c r="O2224" s="44"/>
      <c r="P2224" s="44"/>
      <c r="Q2224" s="44"/>
      <c r="R2224" s="44"/>
      <c r="S2224" s="44"/>
      <c r="T2224" s="44"/>
      <c r="U2224" s="45"/>
      <c r="W2224" s="1"/>
      <c r="X2224" s="1"/>
      <c r="Y2224" s="1"/>
    </row>
    <row r="2225" spans="6:25">
      <c r="G2225" s="26" t="s">
        <v>90</v>
      </c>
      <c r="I2225" s="7">
        <v>0</v>
      </c>
      <c r="J2225" s="7">
        <v>0</v>
      </c>
      <c r="K2225" s="7">
        <v>0</v>
      </c>
      <c r="L2225" s="7">
        <v>0</v>
      </c>
      <c r="M2225" s="7">
        <v>0</v>
      </c>
      <c r="N2225" s="7">
        <v>0</v>
      </c>
      <c r="O2225" s="7">
        <v>0</v>
      </c>
      <c r="P2225" s="7">
        <v>0</v>
      </c>
      <c r="Q2225" s="7">
        <v>0</v>
      </c>
      <c r="R2225" s="7">
        <v>0</v>
      </c>
      <c r="S2225" s="7">
        <v>0</v>
      </c>
      <c r="T2225" s="7">
        <v>0</v>
      </c>
      <c r="U2225" s="7">
        <v>0</v>
      </c>
      <c r="W2225" s="1"/>
      <c r="X2225" s="1"/>
      <c r="Y2225" s="1"/>
    </row>
    <row r="2226" spans="6:25">
      <c r="G2226" s="6"/>
      <c r="I2226" s="7"/>
      <c r="J2226" s="7"/>
      <c r="K2226" s="7"/>
      <c r="L2226" s="23"/>
      <c r="M2226" s="23"/>
      <c r="N2226" s="23"/>
      <c r="O2226" s="23"/>
      <c r="P2226" s="23"/>
      <c r="Q2226" s="23"/>
      <c r="R2226" s="23"/>
      <c r="S2226" s="23"/>
      <c r="T2226" s="23"/>
      <c r="U2226" s="23"/>
      <c r="W2226" s="1"/>
      <c r="X2226" s="1"/>
      <c r="Y2226" s="1"/>
    </row>
    <row r="2227" spans="6:25" ht="18.75">
      <c r="F2227" s="9" t="s">
        <v>100</v>
      </c>
      <c r="I2227" s="2">
        <v>2011</v>
      </c>
      <c r="J2227" s="2">
        <f>I2227+1</f>
        <v>2012</v>
      </c>
      <c r="K2227" s="2">
        <f t="shared" ref="K2227:R2227" si="992">J2227+1</f>
        <v>2013</v>
      </c>
      <c r="L2227" s="2">
        <f t="shared" si="992"/>
        <v>2014</v>
      </c>
      <c r="M2227" s="2">
        <f t="shared" si="992"/>
        <v>2015</v>
      </c>
      <c r="N2227" s="2">
        <f t="shared" si="992"/>
        <v>2016</v>
      </c>
      <c r="O2227" s="2">
        <f t="shared" si="992"/>
        <v>2017</v>
      </c>
      <c r="P2227" s="2">
        <f t="shared" si="992"/>
        <v>2018</v>
      </c>
      <c r="Q2227" s="2">
        <f t="shared" si="992"/>
        <v>2019</v>
      </c>
      <c r="R2227" s="2">
        <f t="shared" si="992"/>
        <v>2020</v>
      </c>
      <c r="S2227" s="2">
        <f>R2227+1</f>
        <v>2021</v>
      </c>
      <c r="T2227" s="2">
        <f>S2227+1</f>
        <v>2022</v>
      </c>
      <c r="U2227" s="2">
        <f>T2227+1</f>
        <v>2023</v>
      </c>
      <c r="W2227" s="1"/>
      <c r="X2227" s="1"/>
      <c r="Y2227" s="1"/>
    </row>
    <row r="2228" spans="6:25">
      <c r="G2228" s="62" t="s">
        <v>68</v>
      </c>
      <c r="H2228" s="57"/>
      <c r="I2228" s="200"/>
      <c r="J2228" s="55">
        <f>I2228</f>
        <v>0</v>
      </c>
      <c r="K2228" s="201"/>
      <c r="L2228" s="201"/>
      <c r="M2228" s="201"/>
      <c r="N2228" s="201"/>
      <c r="O2228" s="201"/>
      <c r="P2228" s="201"/>
      <c r="Q2228" s="201"/>
      <c r="R2228" s="201"/>
      <c r="S2228" s="201"/>
      <c r="T2228" s="201"/>
      <c r="U2228" s="273"/>
      <c r="W2228" s="1"/>
      <c r="X2228" s="1"/>
      <c r="Y2228" s="1"/>
    </row>
    <row r="2229" spans="6:25">
      <c r="G2229" s="62" t="s">
        <v>69</v>
      </c>
      <c r="H2229" s="57"/>
      <c r="I2229" s="202">
        <f>J2229</f>
        <v>0</v>
      </c>
      <c r="J2229" s="203"/>
      <c r="K2229" s="204"/>
      <c r="L2229" s="204"/>
      <c r="M2229" s="204"/>
      <c r="N2229" s="204"/>
      <c r="O2229" s="204"/>
      <c r="P2229" s="204"/>
      <c r="Q2229" s="204"/>
      <c r="R2229" s="204"/>
      <c r="S2229" s="204"/>
      <c r="T2229" s="204"/>
      <c r="U2229" s="274"/>
      <c r="W2229" s="1"/>
      <c r="X2229" s="1"/>
      <c r="Y2229" s="1"/>
    </row>
    <row r="2230" spans="6:25">
      <c r="G2230" s="62" t="s">
        <v>70</v>
      </c>
      <c r="H2230" s="57"/>
      <c r="I2230" s="205"/>
      <c r="J2230" s="203">
        <f>J2214</f>
        <v>0</v>
      </c>
      <c r="K2230" s="206">
        <f>J2230</f>
        <v>0</v>
      </c>
      <c r="L2230" s="204"/>
      <c r="M2230" s="204"/>
      <c r="N2230" s="204"/>
      <c r="O2230" s="204"/>
      <c r="P2230" s="204"/>
      <c r="Q2230" s="204"/>
      <c r="R2230" s="204"/>
      <c r="S2230" s="204"/>
      <c r="T2230" s="204"/>
      <c r="U2230" s="274"/>
      <c r="W2230" s="1"/>
      <c r="X2230" s="1"/>
      <c r="Y2230" s="1"/>
    </row>
    <row r="2231" spans="6:25">
      <c r="G2231" s="62" t="s">
        <v>71</v>
      </c>
      <c r="H2231" s="57"/>
      <c r="I2231" s="205"/>
      <c r="J2231" s="206">
        <f>K2231</f>
        <v>0</v>
      </c>
      <c r="K2231" s="207"/>
      <c r="L2231" s="204"/>
      <c r="M2231" s="204"/>
      <c r="N2231" s="204"/>
      <c r="O2231" s="204"/>
      <c r="P2231" s="204"/>
      <c r="Q2231" s="204"/>
      <c r="R2231" s="204"/>
      <c r="S2231" s="204"/>
      <c r="T2231" s="204"/>
      <c r="U2231" s="274"/>
      <c r="W2231" s="1"/>
      <c r="X2231" s="1"/>
      <c r="Y2231" s="1"/>
    </row>
    <row r="2232" spans="6:25">
      <c r="G2232" s="62" t="s">
        <v>170</v>
      </c>
      <c r="I2232" s="205"/>
      <c r="J2232" s="208"/>
      <c r="K2232" s="203">
        <f>K2214</f>
        <v>0</v>
      </c>
      <c r="L2232" s="209">
        <f>K2232</f>
        <v>0</v>
      </c>
      <c r="M2232" s="204"/>
      <c r="N2232" s="204"/>
      <c r="O2232" s="204"/>
      <c r="P2232" s="204"/>
      <c r="Q2232" s="204"/>
      <c r="R2232" s="204"/>
      <c r="S2232" s="204"/>
      <c r="T2232" s="204"/>
      <c r="U2232" s="274"/>
      <c r="W2232" s="1"/>
      <c r="X2232" s="1"/>
      <c r="Y2232" s="1"/>
    </row>
    <row r="2233" spans="6:25">
      <c r="G2233" s="62" t="s">
        <v>171</v>
      </c>
      <c r="I2233" s="205"/>
      <c r="J2233" s="208"/>
      <c r="K2233" s="206">
        <f>L2233</f>
        <v>0</v>
      </c>
      <c r="L2233" s="203"/>
      <c r="M2233" s="204"/>
      <c r="N2233" s="204"/>
      <c r="O2233" s="204"/>
      <c r="P2233" s="204"/>
      <c r="Q2233" s="204"/>
      <c r="R2233" s="204"/>
      <c r="S2233" s="204"/>
      <c r="T2233" s="204"/>
      <c r="U2233" s="274"/>
      <c r="W2233" s="1"/>
      <c r="X2233" s="1"/>
      <c r="Y2233" s="1"/>
    </row>
    <row r="2234" spans="6:25">
      <c r="G2234" s="62" t="s">
        <v>172</v>
      </c>
      <c r="I2234" s="205"/>
      <c r="J2234" s="208"/>
      <c r="K2234" s="208"/>
      <c r="L2234" s="203">
        <f>L2214</f>
        <v>0</v>
      </c>
      <c r="M2234" s="209">
        <f>L2234</f>
        <v>0</v>
      </c>
      <c r="N2234" s="208">
        <f>M2234</f>
        <v>0</v>
      </c>
      <c r="O2234" s="208"/>
      <c r="P2234" s="208"/>
      <c r="Q2234" s="208"/>
      <c r="R2234" s="208"/>
      <c r="S2234" s="208"/>
      <c r="T2234" s="208"/>
      <c r="U2234" s="275"/>
      <c r="W2234" s="1"/>
      <c r="X2234" s="1"/>
      <c r="Y2234" s="1"/>
    </row>
    <row r="2235" spans="6:25">
      <c r="G2235" s="62" t="s">
        <v>173</v>
      </c>
      <c r="I2235" s="205"/>
      <c r="J2235" s="208"/>
      <c r="K2235" s="208"/>
      <c r="L2235" s="210"/>
      <c r="M2235" s="211"/>
      <c r="N2235" s="208"/>
      <c r="O2235" s="204"/>
      <c r="P2235" s="208"/>
      <c r="Q2235" s="208"/>
      <c r="R2235" s="208"/>
      <c r="S2235" s="208"/>
      <c r="T2235" s="208"/>
      <c r="U2235" s="275"/>
      <c r="W2235" s="1"/>
      <c r="X2235" s="1"/>
      <c r="Y2235" s="1"/>
    </row>
    <row r="2236" spans="6:25">
      <c r="G2236" s="62" t="s">
        <v>174</v>
      </c>
      <c r="I2236" s="205"/>
      <c r="J2236" s="208"/>
      <c r="K2236" s="208"/>
      <c r="L2236" s="208"/>
      <c r="M2236" s="211">
        <v>0</v>
      </c>
      <c r="N2236" s="209">
        <f>M2236</f>
        <v>0</v>
      </c>
      <c r="O2236" s="204"/>
      <c r="P2236" s="204"/>
      <c r="Q2236" s="204"/>
      <c r="R2236" s="204"/>
      <c r="S2236" s="204"/>
      <c r="T2236" s="204"/>
      <c r="U2236" s="274"/>
      <c r="W2236" s="1"/>
      <c r="X2236" s="1"/>
      <c r="Y2236" s="1"/>
    </row>
    <row r="2237" spans="6:25">
      <c r="G2237" s="62" t="s">
        <v>175</v>
      </c>
      <c r="I2237" s="205"/>
      <c r="J2237" s="208"/>
      <c r="K2237" s="208"/>
      <c r="L2237" s="208"/>
      <c r="M2237" s="206"/>
      <c r="N2237" s="211"/>
      <c r="O2237" s="204"/>
      <c r="P2237" s="204"/>
      <c r="Q2237" s="204"/>
      <c r="R2237" s="204"/>
      <c r="S2237" s="204"/>
      <c r="T2237" s="204"/>
      <c r="U2237" s="274"/>
      <c r="W2237" s="1"/>
      <c r="X2237" s="1"/>
      <c r="Y2237" s="1"/>
    </row>
    <row r="2238" spans="6:25">
      <c r="G2238" s="62" t="s">
        <v>176</v>
      </c>
      <c r="I2238" s="205"/>
      <c r="J2238" s="208"/>
      <c r="K2238" s="208"/>
      <c r="L2238" s="208"/>
      <c r="M2238" s="208"/>
      <c r="N2238" s="211">
        <f>N2214</f>
        <v>4668</v>
      </c>
      <c r="O2238" s="209">
        <f>N2238</f>
        <v>4668</v>
      </c>
      <c r="P2238" s="204"/>
      <c r="Q2238" s="204"/>
      <c r="R2238" s="204"/>
      <c r="S2238" s="204"/>
      <c r="T2238" s="204"/>
      <c r="U2238" s="274"/>
      <c r="W2238" s="1"/>
      <c r="X2238" s="1"/>
      <c r="Y2238" s="1"/>
    </row>
    <row r="2239" spans="6:25">
      <c r="G2239" s="62" t="s">
        <v>167</v>
      </c>
      <c r="I2239" s="205"/>
      <c r="J2239" s="208"/>
      <c r="K2239" s="208"/>
      <c r="L2239" s="208"/>
      <c r="M2239" s="208"/>
      <c r="N2239" s="212"/>
      <c r="O2239" s="211"/>
      <c r="P2239" s="204"/>
      <c r="Q2239" s="204"/>
      <c r="R2239" s="204"/>
      <c r="S2239" s="204"/>
      <c r="T2239" s="204"/>
      <c r="U2239" s="274"/>
      <c r="W2239" s="1"/>
      <c r="X2239" s="1"/>
      <c r="Y2239" s="1"/>
    </row>
    <row r="2240" spans="6:25">
      <c r="G2240" s="62" t="s">
        <v>168</v>
      </c>
      <c r="I2240" s="213"/>
      <c r="J2240" s="214"/>
      <c r="K2240" s="214"/>
      <c r="L2240" s="214"/>
      <c r="M2240" s="214"/>
      <c r="N2240" s="214"/>
      <c r="O2240" s="276"/>
      <c r="P2240" s="279"/>
      <c r="Q2240" s="214"/>
      <c r="R2240" s="214"/>
      <c r="S2240" s="214"/>
      <c r="T2240" s="214"/>
      <c r="U2240" s="278"/>
      <c r="W2240" s="1"/>
      <c r="X2240" s="1"/>
      <c r="Y2240" s="1"/>
    </row>
    <row r="2241" spans="1:25">
      <c r="B2241" s="1" t="s">
        <v>298</v>
      </c>
      <c r="G2241" s="26" t="s">
        <v>17</v>
      </c>
      <c r="I2241" s="154">
        <f xml:space="preserve"> I2234 - I2233</f>
        <v>0</v>
      </c>
      <c r="J2241" s="154">
        <f xml:space="preserve"> J2233 + J2236 - J2235 - J2234</f>
        <v>0</v>
      </c>
      <c r="K2241" s="154">
        <f>K2235 - K2236</f>
        <v>0</v>
      </c>
      <c r="L2241" s="154">
        <f t="shared" ref="L2241" si="993">L2235 - L2236</f>
        <v>0</v>
      </c>
      <c r="M2241" s="163">
        <f>M2234-M2235-M2236</f>
        <v>0</v>
      </c>
      <c r="N2241" s="163">
        <f>N2236-N2237-N2238</f>
        <v>-4668</v>
      </c>
      <c r="O2241" s="163">
        <f>O2238-O2239-O2240</f>
        <v>4668</v>
      </c>
      <c r="P2241" s="163">
        <f>P2240</f>
        <v>0</v>
      </c>
      <c r="Q2241" s="163">
        <f t="shared" ref="Q2241:S2241" si="994">Q2240</f>
        <v>0</v>
      </c>
      <c r="R2241" s="163">
        <f t="shared" si="994"/>
        <v>0</v>
      </c>
      <c r="S2241" s="163">
        <f t="shared" si="994"/>
        <v>0</v>
      </c>
      <c r="T2241" s="163">
        <f t="shared" ref="T2241:U2241" si="995">T2240</f>
        <v>0</v>
      </c>
      <c r="U2241" s="163">
        <f t="shared" si="995"/>
        <v>0</v>
      </c>
      <c r="W2241" s="1"/>
      <c r="X2241" s="1"/>
      <c r="Y2241" s="1"/>
    </row>
    <row r="2242" spans="1:25">
      <c r="G2242" s="6"/>
      <c r="I2242" s="154"/>
      <c r="J2242" s="154"/>
      <c r="K2242" s="154"/>
      <c r="L2242" s="154"/>
      <c r="M2242" s="163"/>
      <c r="N2242" s="163"/>
      <c r="O2242" s="163"/>
      <c r="P2242" s="163"/>
      <c r="Q2242" s="163"/>
      <c r="R2242" s="163"/>
      <c r="S2242" s="163"/>
      <c r="T2242" s="163"/>
      <c r="U2242" s="163"/>
      <c r="W2242" s="1"/>
      <c r="X2242" s="1"/>
      <c r="Y2242" s="1"/>
    </row>
    <row r="2243" spans="1:25">
      <c r="G2243" s="26" t="s">
        <v>12</v>
      </c>
      <c r="H2243" s="57"/>
      <c r="I2243" s="155"/>
      <c r="J2243" s="156"/>
      <c r="K2243" s="156"/>
      <c r="L2243" s="156"/>
      <c r="M2243" s="156"/>
      <c r="N2243" s="156"/>
      <c r="O2243" s="156"/>
      <c r="P2243" s="156"/>
      <c r="Q2243" s="156"/>
      <c r="R2243" s="156"/>
      <c r="S2243" s="156"/>
      <c r="T2243" s="156"/>
      <c r="U2243" s="267"/>
      <c r="W2243" s="1"/>
      <c r="X2243" s="1"/>
      <c r="Y2243" s="1"/>
    </row>
    <row r="2244" spans="1:25">
      <c r="G2244" s="6"/>
      <c r="I2244" s="154"/>
      <c r="J2244" s="154"/>
      <c r="K2244" s="154"/>
      <c r="L2244" s="154"/>
      <c r="M2244" s="154"/>
      <c r="N2244" s="154"/>
      <c r="O2244" s="154"/>
      <c r="P2244" s="154"/>
      <c r="Q2244" s="154"/>
      <c r="R2244" s="154"/>
      <c r="S2244" s="154"/>
      <c r="T2244" s="154"/>
      <c r="U2244" s="154"/>
      <c r="W2244" s="1"/>
      <c r="X2244" s="1"/>
      <c r="Y2244" s="1"/>
    </row>
    <row r="2245" spans="1:25" ht="18.75">
      <c r="C2245" s="1" t="s">
        <v>298</v>
      </c>
      <c r="D2245" s="1" t="s">
        <v>299</v>
      </c>
      <c r="E2245" s="1" t="s">
        <v>107</v>
      </c>
      <c r="F2245" s="9" t="s">
        <v>26</v>
      </c>
      <c r="H2245" s="57"/>
      <c r="I2245" s="157">
        <f xml:space="preserve"> I2214 + I2219 - I2225 + I2241 + I2243</f>
        <v>0</v>
      </c>
      <c r="J2245" s="158">
        <f xml:space="preserve"> J2214 + J2219 - J2225 + J2241 + J2243</f>
        <v>0</v>
      </c>
      <c r="K2245" s="158">
        <f xml:space="preserve"> K2214 + K2219 - K2225 + K2241 + K2243</f>
        <v>0</v>
      </c>
      <c r="L2245" s="158">
        <f t="shared" ref="L2245:S2245" si="996" xml:space="preserve"> L2214 + L2219 - L2225 + L2241 + L2243</f>
        <v>0</v>
      </c>
      <c r="M2245" s="158">
        <f t="shared" si="996"/>
        <v>0</v>
      </c>
      <c r="N2245" s="158">
        <f t="shared" si="996"/>
        <v>0</v>
      </c>
      <c r="O2245" s="158">
        <f t="shared" si="996"/>
        <v>4668</v>
      </c>
      <c r="P2245" s="158">
        <f t="shared" si="996"/>
        <v>0</v>
      </c>
      <c r="Q2245" s="158">
        <f t="shared" si="996"/>
        <v>0</v>
      </c>
      <c r="R2245" s="158">
        <f t="shared" si="996"/>
        <v>0</v>
      </c>
      <c r="S2245" s="158">
        <f t="shared" si="996"/>
        <v>0</v>
      </c>
      <c r="T2245" s="158">
        <f t="shared" ref="T2245:U2245" si="997" xml:space="preserve"> T2214 + T2219 - T2225 + T2241 + T2243</f>
        <v>0</v>
      </c>
      <c r="U2245" s="268">
        <f t="shared" si="997"/>
        <v>0</v>
      </c>
      <c r="W2245" s="1"/>
      <c r="X2245" s="1"/>
      <c r="Y2245" s="1"/>
    </row>
    <row r="2246" spans="1:25">
      <c r="G2246" s="6"/>
      <c r="I2246" s="7"/>
      <c r="J2246" s="7"/>
      <c r="K2246" s="7"/>
      <c r="L2246" s="23"/>
      <c r="M2246" s="23"/>
      <c r="N2246" s="23"/>
      <c r="O2246" s="23"/>
      <c r="P2246" s="23"/>
      <c r="Q2246" s="23"/>
      <c r="R2246" s="23"/>
      <c r="S2246" s="23"/>
      <c r="T2246" s="23"/>
      <c r="U2246" s="23"/>
      <c r="W2246" s="1"/>
      <c r="X2246" s="1"/>
      <c r="Y2246" s="1"/>
    </row>
    <row r="2247" spans="1:25" ht="15.75" thickBot="1">
      <c r="W2247" s="1"/>
      <c r="X2247" s="1"/>
      <c r="Y2247" s="1"/>
    </row>
    <row r="2248" spans="1:25" ht="15.75" thickBot="1">
      <c r="F2248" s="8"/>
      <c r="G2248" s="8"/>
      <c r="H2248" s="8"/>
      <c r="I2248" s="8"/>
      <c r="J2248" s="8"/>
      <c r="K2248" s="8"/>
      <c r="L2248" s="8"/>
      <c r="M2248" s="8"/>
      <c r="N2248" s="8"/>
      <c r="O2248" s="8"/>
      <c r="P2248" s="8"/>
      <c r="Q2248" s="8"/>
      <c r="R2248" s="8"/>
      <c r="S2248" s="290"/>
      <c r="T2248" s="8"/>
      <c r="U2248" s="8"/>
      <c r="W2248" s="1"/>
      <c r="X2248" s="1"/>
      <c r="Y2248" s="1"/>
    </row>
    <row r="2249" spans="1:25" ht="21.75" thickBot="1">
      <c r="F2249" s="13" t="s">
        <v>4</v>
      </c>
      <c r="G2249" s="13"/>
      <c r="H2249" s="185" t="s">
        <v>182</v>
      </c>
      <c r="I2249" s="183"/>
      <c r="W2249" s="1"/>
      <c r="X2249" s="1"/>
      <c r="Y2249" s="1"/>
    </row>
    <row r="2250" spans="1:25">
      <c r="N2250" s="12"/>
      <c r="W2250" s="1"/>
      <c r="X2250" s="1"/>
      <c r="Y2250" s="1"/>
    </row>
    <row r="2251" spans="1:25" ht="18.75">
      <c r="F2251" s="9" t="s">
        <v>21</v>
      </c>
      <c r="G2251" s="9"/>
      <c r="I2251" s="2">
        <v>2011</v>
      </c>
      <c r="J2251" s="2">
        <f>I2251+1</f>
        <v>2012</v>
      </c>
      <c r="K2251" s="2">
        <f t="shared" ref="K2251:R2251" si="998">J2251+1</f>
        <v>2013</v>
      </c>
      <c r="L2251" s="2">
        <f t="shared" si="998"/>
        <v>2014</v>
      </c>
      <c r="M2251" s="2">
        <f t="shared" si="998"/>
        <v>2015</v>
      </c>
      <c r="N2251" s="2">
        <f t="shared" si="998"/>
        <v>2016</v>
      </c>
      <c r="O2251" s="2">
        <f t="shared" si="998"/>
        <v>2017</v>
      </c>
      <c r="P2251" s="2">
        <f t="shared" si="998"/>
        <v>2018</v>
      </c>
      <c r="Q2251" s="2">
        <f t="shared" si="998"/>
        <v>2019</v>
      </c>
      <c r="R2251" s="2">
        <f t="shared" si="998"/>
        <v>2020</v>
      </c>
      <c r="S2251" s="2">
        <f>R2251+1</f>
        <v>2021</v>
      </c>
      <c r="T2251" s="2">
        <f>S2251+1</f>
        <v>2022</v>
      </c>
      <c r="U2251" s="2">
        <f>T2251+1</f>
        <v>2023</v>
      </c>
      <c r="W2251" s="1"/>
      <c r="X2251" s="1"/>
      <c r="Y2251" s="1"/>
    </row>
    <row r="2252" spans="1:25">
      <c r="G2252" s="62" t="str">
        <f>"Total MWh Produced / Purchased from " &amp; H2249</f>
        <v>Total MWh Produced / Purchased from Pavant Solar</v>
      </c>
      <c r="H2252" s="57"/>
      <c r="I2252" s="3"/>
      <c r="J2252" s="4"/>
      <c r="K2252" s="4"/>
      <c r="L2252" s="4"/>
      <c r="M2252" s="4">
        <v>1391</v>
      </c>
      <c r="N2252" s="4">
        <v>109951</v>
      </c>
      <c r="O2252" s="4">
        <v>118002</v>
      </c>
      <c r="P2252" s="4">
        <v>121657</v>
      </c>
      <c r="Q2252" s="4">
        <v>110948</v>
      </c>
      <c r="R2252" s="4">
        <v>119320</v>
      </c>
      <c r="S2252" s="4">
        <v>108767</v>
      </c>
      <c r="T2252" s="4">
        <v>102006</v>
      </c>
      <c r="U2252" s="5">
        <v>112824</v>
      </c>
      <c r="W2252" s="1"/>
      <c r="X2252" s="1"/>
      <c r="Y2252" s="1"/>
    </row>
    <row r="2253" spans="1:25">
      <c r="G2253" s="62" t="s">
        <v>25</v>
      </c>
      <c r="H2253" s="57"/>
      <c r="I2253" s="269"/>
      <c r="J2253" s="41"/>
      <c r="K2253" s="41"/>
      <c r="L2253" s="41"/>
      <c r="M2253" s="41"/>
      <c r="N2253" s="41">
        <v>1</v>
      </c>
      <c r="O2253" s="41">
        <v>1</v>
      </c>
      <c r="P2253" s="41">
        <v>1</v>
      </c>
      <c r="Q2253" s="41">
        <v>1</v>
      </c>
      <c r="R2253" s="41">
        <v>1</v>
      </c>
      <c r="S2253" s="41">
        <v>1</v>
      </c>
      <c r="T2253" s="41">
        <v>1</v>
      </c>
      <c r="U2253" s="42">
        <v>1</v>
      </c>
      <c r="W2253" s="1"/>
      <c r="X2253" s="1"/>
      <c r="Y2253" s="1"/>
    </row>
    <row r="2254" spans="1:25">
      <c r="G2254" s="62" t="s">
        <v>20</v>
      </c>
      <c r="H2254" s="57"/>
      <c r="I2254" s="270"/>
      <c r="J2254" s="36"/>
      <c r="K2254" s="36"/>
      <c r="L2254" s="36"/>
      <c r="M2254" s="36">
        <v>0.22597768807094501</v>
      </c>
      <c r="N2254" s="36">
        <v>0.22741888098063476</v>
      </c>
      <c r="O2254" s="36">
        <v>0.22498369104255439</v>
      </c>
      <c r="P2254" s="36">
        <v>0.22007817037432531</v>
      </c>
      <c r="Q2254" s="36">
        <v>0.2223660721260575</v>
      </c>
      <c r="R2254" s="36">
        <f>R936</f>
        <v>0.22351563443464154</v>
      </c>
      <c r="S2254" s="36">
        <f>S3</f>
        <v>0.22350374113192695</v>
      </c>
      <c r="T2254" s="36">
        <f>T3</f>
        <v>0.2182158613775059</v>
      </c>
      <c r="U2254" s="36">
        <f>U3</f>
        <v>0.21529999999999999</v>
      </c>
      <c r="W2254" s="1"/>
      <c r="X2254" s="1"/>
      <c r="Y2254" s="1"/>
    </row>
    <row r="2255" spans="1:25">
      <c r="A2255" s="1" t="s">
        <v>226</v>
      </c>
      <c r="G2255" s="26" t="s">
        <v>22</v>
      </c>
      <c r="H2255" s="6"/>
      <c r="I2255" s="30">
        <v>0</v>
      </c>
      <c r="J2255" s="30">
        <v>0</v>
      </c>
      <c r="K2255" s="30">
        <v>0</v>
      </c>
      <c r="L2255" s="30">
        <v>0</v>
      </c>
      <c r="M2255" s="30">
        <v>316</v>
      </c>
      <c r="N2255" s="161">
        <v>25003</v>
      </c>
      <c r="O2255" s="161">
        <v>26549</v>
      </c>
      <c r="P2255" s="161">
        <v>26773</v>
      </c>
      <c r="Q2255" s="161">
        <f>Q2252*Q2254</f>
        <v>24671.070970241828</v>
      </c>
      <c r="R2255" s="161">
        <f t="shared" ref="R2255" si="999">R2252*R2254</f>
        <v>26669.885500741428</v>
      </c>
      <c r="S2255" s="161">
        <v>24308</v>
      </c>
      <c r="T2255" s="161">
        <f>ROUNDDOWN(T2252*T2254,0)</f>
        <v>22259</v>
      </c>
      <c r="U2255" s="161">
        <f t="shared" ref="U2255" si="1000">U2252*U2254</f>
        <v>24291.0072</v>
      </c>
      <c r="W2255" s="1"/>
      <c r="X2255" s="1"/>
      <c r="Y2255" s="1"/>
    </row>
    <row r="2256" spans="1:25">
      <c r="I2256" s="29"/>
      <c r="J2256" s="29"/>
      <c r="K2256" s="29"/>
      <c r="L2256" s="29"/>
      <c r="M2256" s="29"/>
      <c r="N2256" s="20"/>
      <c r="O2256" s="20"/>
      <c r="P2256" s="20"/>
      <c r="Q2256" s="20"/>
      <c r="R2256" s="20"/>
      <c r="S2256" s="292"/>
      <c r="T2256" s="20"/>
      <c r="U2256" s="20"/>
      <c r="W2256" s="1"/>
      <c r="X2256" s="1"/>
      <c r="Y2256" s="1"/>
    </row>
    <row r="2257" spans="6:25" ht="18.75">
      <c r="F2257" s="9" t="s">
        <v>118</v>
      </c>
      <c r="I2257" s="2">
        <v>2011</v>
      </c>
      <c r="J2257" s="2">
        <f>I2257+1</f>
        <v>2012</v>
      </c>
      <c r="K2257" s="2">
        <f t="shared" ref="K2257:R2257" si="1001">J2257+1</f>
        <v>2013</v>
      </c>
      <c r="L2257" s="2">
        <f t="shared" si="1001"/>
        <v>2014</v>
      </c>
      <c r="M2257" s="2">
        <f t="shared" si="1001"/>
        <v>2015</v>
      </c>
      <c r="N2257" s="2">
        <f t="shared" si="1001"/>
        <v>2016</v>
      </c>
      <c r="O2257" s="2">
        <f t="shared" si="1001"/>
        <v>2017</v>
      </c>
      <c r="P2257" s="2">
        <f t="shared" si="1001"/>
        <v>2018</v>
      </c>
      <c r="Q2257" s="2">
        <f t="shared" si="1001"/>
        <v>2019</v>
      </c>
      <c r="R2257" s="2">
        <f t="shared" si="1001"/>
        <v>2020</v>
      </c>
      <c r="S2257" s="2">
        <f>R2257+1</f>
        <v>2021</v>
      </c>
      <c r="T2257" s="2">
        <f>S2257+1</f>
        <v>2022</v>
      </c>
      <c r="U2257" s="2">
        <f>T2257+1</f>
        <v>2023</v>
      </c>
      <c r="W2257" s="1"/>
      <c r="X2257" s="1"/>
      <c r="Y2257" s="1"/>
    </row>
    <row r="2258" spans="6:25">
      <c r="G2258" s="62" t="s">
        <v>10</v>
      </c>
      <c r="H2258" s="57"/>
      <c r="I2258" s="38">
        <f>IF($J50= "Eligible", I2255 * 'Facility Detail'!$G$3257, 0 )</f>
        <v>0</v>
      </c>
      <c r="J2258" s="11">
        <f>IF($J50= "Eligible", J2255 * 'Facility Detail'!$G$3257, 0 )</f>
        <v>0</v>
      </c>
      <c r="K2258" s="11">
        <f>IF($J50= "Eligible", K2255 * 'Facility Detail'!$G$3257, 0 )</f>
        <v>0</v>
      </c>
      <c r="L2258" s="11">
        <f>IF($J50= "Eligible", L2255 * 'Facility Detail'!$G$3257, 0 )</f>
        <v>0</v>
      </c>
      <c r="M2258" s="11">
        <f>IF($J50= "Eligible", M2255 * 'Facility Detail'!$G$3257, 0 )</f>
        <v>0</v>
      </c>
      <c r="N2258" s="11">
        <f>IF($J50= "Eligible", N2255 * 'Facility Detail'!$G$3257, 0 )</f>
        <v>0</v>
      </c>
      <c r="O2258" s="11">
        <f>IF($J50= "Eligible", O2255 * 'Facility Detail'!$G$3257, 0 )</f>
        <v>0</v>
      </c>
      <c r="P2258" s="11">
        <f>IF($J50= "Eligible", P2255 * 'Facility Detail'!$G$3257, 0 )</f>
        <v>0</v>
      </c>
      <c r="Q2258" s="11">
        <f>IF($J50= "Eligible", Q2255 * 'Facility Detail'!$G$3257, 0 )</f>
        <v>0</v>
      </c>
      <c r="R2258" s="11">
        <f>IF($J50= "Eligible", R2255 * 'Facility Detail'!$G$3257, 0 )</f>
        <v>0</v>
      </c>
      <c r="S2258" s="11">
        <f>IF($J50= "Eligible", S2255 * 'Facility Detail'!$G$3257, 0 )</f>
        <v>0</v>
      </c>
      <c r="T2258" s="11">
        <f>IF($J50= "Eligible", T2255 * 'Facility Detail'!$G$3257, 0 )</f>
        <v>0</v>
      </c>
      <c r="U2258" s="223">
        <f>IF($J50= "Eligible", U2255 * 'Facility Detail'!$G$3257, 0 )</f>
        <v>0</v>
      </c>
      <c r="W2258" s="1"/>
      <c r="X2258" s="1"/>
      <c r="Y2258" s="1"/>
    </row>
    <row r="2259" spans="6:25">
      <c r="G2259" s="62" t="s">
        <v>6</v>
      </c>
      <c r="H2259" s="57"/>
      <c r="I2259" s="39">
        <f t="shared" ref="I2259:U2259" si="1002">IF($K50= "Eligible", I2255, 0 )</f>
        <v>0</v>
      </c>
      <c r="J2259" s="193">
        <f t="shared" si="1002"/>
        <v>0</v>
      </c>
      <c r="K2259" s="193">
        <f t="shared" si="1002"/>
        <v>0</v>
      </c>
      <c r="L2259" s="193">
        <f t="shared" si="1002"/>
        <v>0</v>
      </c>
      <c r="M2259" s="193">
        <f t="shared" si="1002"/>
        <v>0</v>
      </c>
      <c r="N2259" s="193">
        <f t="shared" si="1002"/>
        <v>0</v>
      </c>
      <c r="O2259" s="193">
        <f t="shared" si="1002"/>
        <v>0</v>
      </c>
      <c r="P2259" s="193">
        <f t="shared" si="1002"/>
        <v>0</v>
      </c>
      <c r="Q2259" s="193">
        <f t="shared" si="1002"/>
        <v>0</v>
      </c>
      <c r="R2259" s="193">
        <f t="shared" si="1002"/>
        <v>0</v>
      </c>
      <c r="S2259" s="193">
        <f t="shared" si="1002"/>
        <v>0</v>
      </c>
      <c r="T2259" s="193">
        <f t="shared" si="1002"/>
        <v>0</v>
      </c>
      <c r="U2259" s="224">
        <f t="shared" si="1002"/>
        <v>0</v>
      </c>
      <c r="W2259" s="1"/>
      <c r="X2259" s="1"/>
      <c r="Y2259" s="1"/>
    </row>
    <row r="2260" spans="6:25">
      <c r="G2260" s="26" t="s">
        <v>120</v>
      </c>
      <c r="H2260" s="6"/>
      <c r="I2260" s="32">
        <f>SUM(I2258:I2259)</f>
        <v>0</v>
      </c>
      <c r="J2260" s="33">
        <f t="shared" ref="J2260:S2260" si="1003">SUM(J2258:J2259)</f>
        <v>0</v>
      </c>
      <c r="K2260" s="33">
        <f t="shared" si="1003"/>
        <v>0</v>
      </c>
      <c r="L2260" s="33">
        <f t="shared" si="1003"/>
        <v>0</v>
      </c>
      <c r="M2260" s="33">
        <f t="shared" si="1003"/>
        <v>0</v>
      </c>
      <c r="N2260" s="33">
        <f t="shared" si="1003"/>
        <v>0</v>
      </c>
      <c r="O2260" s="33">
        <f t="shared" si="1003"/>
        <v>0</v>
      </c>
      <c r="P2260" s="33">
        <f t="shared" si="1003"/>
        <v>0</v>
      </c>
      <c r="Q2260" s="33">
        <f t="shared" si="1003"/>
        <v>0</v>
      </c>
      <c r="R2260" s="33">
        <f t="shared" si="1003"/>
        <v>0</v>
      </c>
      <c r="S2260" s="33">
        <f t="shared" si="1003"/>
        <v>0</v>
      </c>
      <c r="T2260" s="33">
        <f t="shared" ref="T2260:U2260" si="1004">SUM(T2258:T2259)</f>
        <v>0</v>
      </c>
      <c r="U2260" s="33">
        <f t="shared" si="1004"/>
        <v>0</v>
      </c>
      <c r="W2260" s="1"/>
      <c r="X2260" s="1"/>
      <c r="Y2260" s="1"/>
    </row>
    <row r="2261" spans="6:25">
      <c r="I2261" s="31"/>
      <c r="J2261" s="24"/>
      <c r="K2261" s="24"/>
      <c r="L2261" s="24"/>
      <c r="M2261" s="24"/>
      <c r="N2261" s="24"/>
      <c r="O2261" s="24"/>
      <c r="P2261" s="24"/>
      <c r="Q2261" s="24"/>
      <c r="R2261" s="24"/>
      <c r="S2261" s="24"/>
      <c r="T2261" s="24"/>
      <c r="U2261" s="24"/>
      <c r="W2261" s="1"/>
      <c r="X2261" s="1"/>
      <c r="Y2261" s="1"/>
    </row>
    <row r="2262" spans="6:25" ht="18.75">
      <c r="F2262" s="9" t="s">
        <v>30</v>
      </c>
      <c r="I2262" s="2">
        <v>2011</v>
      </c>
      <c r="J2262" s="2">
        <f>I2262+1</f>
        <v>2012</v>
      </c>
      <c r="K2262" s="2">
        <f t="shared" ref="K2262:R2262" si="1005">J2262+1</f>
        <v>2013</v>
      </c>
      <c r="L2262" s="2">
        <f t="shared" si="1005"/>
        <v>2014</v>
      </c>
      <c r="M2262" s="2">
        <f t="shared" si="1005"/>
        <v>2015</v>
      </c>
      <c r="N2262" s="2">
        <f t="shared" si="1005"/>
        <v>2016</v>
      </c>
      <c r="O2262" s="2">
        <f t="shared" si="1005"/>
        <v>2017</v>
      </c>
      <c r="P2262" s="2">
        <f t="shared" si="1005"/>
        <v>2018</v>
      </c>
      <c r="Q2262" s="2">
        <f t="shared" si="1005"/>
        <v>2019</v>
      </c>
      <c r="R2262" s="2">
        <f t="shared" si="1005"/>
        <v>2020</v>
      </c>
      <c r="S2262" s="2">
        <f>R2262+1</f>
        <v>2021</v>
      </c>
      <c r="T2262" s="2">
        <f>S2262+1</f>
        <v>2022</v>
      </c>
      <c r="U2262" s="2">
        <f>T2262+1</f>
        <v>2023</v>
      </c>
      <c r="W2262" s="1"/>
      <c r="X2262" s="1"/>
      <c r="Y2262" s="1"/>
    </row>
    <row r="2263" spans="6:25">
      <c r="G2263" s="62" t="s">
        <v>47</v>
      </c>
      <c r="H2263" s="57"/>
      <c r="I2263" s="71"/>
      <c r="J2263" s="72"/>
      <c r="K2263" s="72"/>
      <c r="L2263" s="72"/>
      <c r="M2263" s="72"/>
      <c r="N2263" s="72"/>
      <c r="O2263" s="72"/>
      <c r="P2263" s="72"/>
      <c r="Q2263" s="72"/>
      <c r="R2263" s="72"/>
      <c r="S2263" s="72"/>
      <c r="T2263" s="72"/>
      <c r="U2263" s="73"/>
      <c r="W2263" s="1"/>
      <c r="X2263" s="1"/>
      <c r="Y2263" s="1"/>
    </row>
    <row r="2264" spans="6:25">
      <c r="G2264" s="63" t="s">
        <v>23</v>
      </c>
      <c r="H2264" s="135"/>
      <c r="I2264" s="74"/>
      <c r="J2264" s="75"/>
      <c r="K2264" s="75"/>
      <c r="L2264" s="75"/>
      <c r="M2264" s="75"/>
      <c r="N2264" s="75"/>
      <c r="O2264" s="75"/>
      <c r="P2264" s="75"/>
      <c r="Q2264" s="75"/>
      <c r="R2264" s="75"/>
      <c r="S2264" s="75"/>
      <c r="T2264" s="75"/>
      <c r="U2264" s="76"/>
      <c r="W2264" s="1"/>
      <c r="X2264" s="1"/>
      <c r="Y2264" s="1"/>
    </row>
    <row r="2265" spans="6:25">
      <c r="G2265" s="63" t="s">
        <v>89</v>
      </c>
      <c r="H2265" s="134"/>
      <c r="I2265" s="43"/>
      <c r="J2265" s="44"/>
      <c r="K2265" s="44"/>
      <c r="L2265" s="44"/>
      <c r="M2265" s="44"/>
      <c r="N2265" s="44"/>
      <c r="O2265" s="44"/>
      <c r="P2265" s="44"/>
      <c r="Q2265" s="44"/>
      <c r="R2265" s="44"/>
      <c r="S2265" s="44"/>
      <c r="T2265" s="44"/>
      <c r="U2265" s="45"/>
      <c r="W2265" s="1"/>
      <c r="X2265" s="1"/>
      <c r="Y2265" s="1"/>
    </row>
    <row r="2266" spans="6:25">
      <c r="G2266" s="26" t="s">
        <v>90</v>
      </c>
      <c r="I2266" s="7">
        <v>0</v>
      </c>
      <c r="J2266" s="7">
        <v>0</v>
      </c>
      <c r="K2266" s="7">
        <v>0</v>
      </c>
      <c r="L2266" s="7">
        <v>0</v>
      </c>
      <c r="M2266" s="7">
        <v>0</v>
      </c>
      <c r="N2266" s="7">
        <v>0</v>
      </c>
      <c r="O2266" s="7">
        <v>0</v>
      </c>
      <c r="P2266" s="7">
        <v>0</v>
      </c>
      <c r="Q2266" s="7">
        <v>0</v>
      </c>
      <c r="R2266" s="7">
        <v>0</v>
      </c>
      <c r="S2266" s="7">
        <v>0</v>
      </c>
      <c r="T2266" s="7">
        <v>0</v>
      </c>
      <c r="U2266" s="7">
        <v>0</v>
      </c>
      <c r="W2266" s="1"/>
      <c r="X2266" s="1"/>
      <c r="Y2266" s="1"/>
    </row>
    <row r="2267" spans="6:25">
      <c r="G2267" s="6"/>
      <c r="I2267" s="7"/>
      <c r="J2267" s="7"/>
      <c r="K2267" s="7"/>
      <c r="L2267" s="23"/>
      <c r="M2267" s="23"/>
      <c r="N2267" s="23"/>
      <c r="O2267" s="23"/>
      <c r="P2267" s="23"/>
      <c r="Q2267" s="23"/>
      <c r="R2267" s="23"/>
      <c r="S2267" s="23"/>
      <c r="T2267" s="23"/>
      <c r="U2267" s="23"/>
      <c r="W2267" s="1"/>
      <c r="X2267" s="1"/>
      <c r="Y2267" s="1"/>
    </row>
    <row r="2268" spans="6:25" ht="18.75">
      <c r="F2268" s="9" t="s">
        <v>100</v>
      </c>
      <c r="I2268" s="2">
        <f>'Facility Detail'!$G$3260</f>
        <v>2011</v>
      </c>
      <c r="J2268" s="2">
        <f>I2268+1</f>
        <v>2012</v>
      </c>
      <c r="K2268" s="2">
        <f t="shared" ref="K2268:R2268" si="1006">J2268+1</f>
        <v>2013</v>
      </c>
      <c r="L2268" s="2">
        <f t="shared" si="1006"/>
        <v>2014</v>
      </c>
      <c r="M2268" s="2">
        <f t="shared" si="1006"/>
        <v>2015</v>
      </c>
      <c r="N2268" s="2">
        <f t="shared" si="1006"/>
        <v>2016</v>
      </c>
      <c r="O2268" s="2">
        <f t="shared" si="1006"/>
        <v>2017</v>
      </c>
      <c r="P2268" s="2">
        <f t="shared" si="1006"/>
        <v>2018</v>
      </c>
      <c r="Q2268" s="2">
        <f t="shared" si="1006"/>
        <v>2019</v>
      </c>
      <c r="R2268" s="2">
        <f t="shared" si="1006"/>
        <v>2020</v>
      </c>
      <c r="S2268" s="2">
        <f>R2268+1</f>
        <v>2021</v>
      </c>
      <c r="T2268" s="2">
        <f>S2268+1</f>
        <v>2022</v>
      </c>
      <c r="U2268" s="2">
        <f>T2268+1</f>
        <v>2023</v>
      </c>
      <c r="W2268" s="1"/>
      <c r="X2268" s="1"/>
      <c r="Y2268" s="1"/>
    </row>
    <row r="2269" spans="6:25">
      <c r="G2269" s="62" t="s">
        <v>68</v>
      </c>
      <c r="H2269" s="57"/>
      <c r="I2269" s="3"/>
      <c r="J2269" s="46">
        <f>I2269</f>
        <v>0</v>
      </c>
      <c r="K2269" s="106"/>
      <c r="L2269" s="106"/>
      <c r="M2269" s="106"/>
      <c r="N2269" s="106"/>
      <c r="O2269" s="106"/>
      <c r="P2269" s="106"/>
      <c r="Q2269" s="106"/>
      <c r="R2269" s="106"/>
      <c r="S2269" s="106"/>
      <c r="T2269" s="217"/>
      <c r="U2269" s="47"/>
      <c r="W2269" s="1"/>
      <c r="X2269" s="1"/>
      <c r="Y2269" s="1"/>
    </row>
    <row r="2270" spans="6:25">
      <c r="G2270" s="62" t="s">
        <v>69</v>
      </c>
      <c r="H2270" s="57"/>
      <c r="I2270" s="127">
        <f>J2270</f>
        <v>0</v>
      </c>
      <c r="J2270" s="10"/>
      <c r="K2270" s="60"/>
      <c r="L2270" s="60"/>
      <c r="M2270" s="60"/>
      <c r="N2270" s="60"/>
      <c r="O2270" s="60"/>
      <c r="P2270" s="60"/>
      <c r="Q2270" s="60"/>
      <c r="R2270" s="60"/>
      <c r="S2270" s="60"/>
      <c r="T2270" s="218"/>
      <c r="U2270" s="128"/>
      <c r="W2270" s="1"/>
      <c r="X2270" s="1"/>
      <c r="Y2270" s="1"/>
    </row>
    <row r="2271" spans="6:25">
      <c r="G2271" s="62" t="s">
        <v>70</v>
      </c>
      <c r="H2271" s="57"/>
      <c r="I2271" s="48"/>
      <c r="J2271" s="10">
        <f>J2255</f>
        <v>0</v>
      </c>
      <c r="K2271" s="56">
        <f>J2271</f>
        <v>0</v>
      </c>
      <c r="L2271" s="60"/>
      <c r="M2271" s="60"/>
      <c r="N2271" s="60"/>
      <c r="O2271" s="60"/>
      <c r="P2271" s="60"/>
      <c r="Q2271" s="60"/>
      <c r="R2271" s="60"/>
      <c r="S2271" s="60"/>
      <c r="T2271" s="218"/>
      <c r="U2271" s="128"/>
      <c r="W2271" s="1"/>
      <c r="X2271" s="1"/>
      <c r="Y2271" s="1"/>
    </row>
    <row r="2272" spans="6:25">
      <c r="G2272" s="62" t="s">
        <v>71</v>
      </c>
      <c r="H2272" s="57"/>
      <c r="I2272" s="48"/>
      <c r="J2272" s="56">
        <f>K2272</f>
        <v>0</v>
      </c>
      <c r="K2272" s="10"/>
      <c r="L2272" s="60"/>
      <c r="M2272" s="60"/>
      <c r="N2272" s="60"/>
      <c r="O2272" s="60"/>
      <c r="P2272" s="60"/>
      <c r="Q2272" s="60"/>
      <c r="R2272" s="60"/>
      <c r="S2272" s="60"/>
      <c r="T2272" s="218"/>
      <c r="U2272" s="128"/>
      <c r="W2272" s="1"/>
      <c r="X2272" s="1"/>
      <c r="Y2272" s="1"/>
    </row>
    <row r="2273" spans="7:25">
      <c r="G2273" s="62" t="s">
        <v>170</v>
      </c>
      <c r="I2273" s="48"/>
      <c r="J2273" s="118"/>
      <c r="K2273" s="10">
        <f>K2255</f>
        <v>0</v>
      </c>
      <c r="L2273" s="119">
        <f>K2273</f>
        <v>0</v>
      </c>
      <c r="M2273" s="60"/>
      <c r="N2273" s="60"/>
      <c r="O2273" s="60"/>
      <c r="P2273" s="60"/>
      <c r="Q2273" s="60"/>
      <c r="R2273" s="60"/>
      <c r="S2273" s="60"/>
      <c r="T2273" s="146"/>
      <c r="U2273" s="122"/>
      <c r="W2273" s="1"/>
      <c r="X2273" s="1"/>
      <c r="Y2273" s="1"/>
    </row>
    <row r="2274" spans="7:25">
      <c r="G2274" s="62" t="s">
        <v>171</v>
      </c>
      <c r="I2274" s="48"/>
      <c r="J2274" s="118"/>
      <c r="K2274" s="56">
        <f>L2274</f>
        <v>0</v>
      </c>
      <c r="L2274" s="10"/>
      <c r="M2274" s="60"/>
      <c r="N2274" s="60"/>
      <c r="O2274" s="60"/>
      <c r="P2274" s="60"/>
      <c r="Q2274" s="60"/>
      <c r="R2274" s="60"/>
      <c r="S2274" s="60"/>
      <c r="T2274" s="146"/>
      <c r="U2274" s="122"/>
      <c r="W2274" s="1"/>
      <c r="X2274" s="1"/>
      <c r="Y2274" s="1"/>
    </row>
    <row r="2275" spans="7:25">
      <c r="G2275" s="62" t="s">
        <v>172</v>
      </c>
      <c r="I2275" s="48"/>
      <c r="J2275" s="118"/>
      <c r="K2275" s="118"/>
      <c r="L2275" s="10">
        <f>L2255</f>
        <v>0</v>
      </c>
      <c r="M2275" s="119">
        <f>L2275</f>
        <v>0</v>
      </c>
      <c r="N2275" s="118">
        <f>M2275</f>
        <v>0</v>
      </c>
      <c r="O2275" s="60"/>
      <c r="P2275" s="60"/>
      <c r="Q2275" s="60"/>
      <c r="R2275" s="60"/>
      <c r="S2275" s="60"/>
      <c r="T2275" s="146"/>
      <c r="U2275" s="122"/>
      <c r="W2275" s="1"/>
      <c r="X2275" s="1"/>
      <c r="Y2275" s="1"/>
    </row>
    <row r="2276" spans="7:25">
      <c r="G2276" s="62" t="s">
        <v>173</v>
      </c>
      <c r="I2276" s="48"/>
      <c r="J2276" s="118"/>
      <c r="K2276" s="118"/>
      <c r="L2276" s="56"/>
      <c r="M2276" s="10"/>
      <c r="N2276" s="118"/>
      <c r="O2276" s="60"/>
      <c r="P2276" s="60"/>
      <c r="Q2276" s="60"/>
      <c r="R2276" s="60"/>
      <c r="S2276" s="60"/>
      <c r="T2276" s="146"/>
      <c r="U2276" s="122"/>
      <c r="W2276" s="1"/>
      <c r="X2276" s="1"/>
      <c r="Y2276" s="1"/>
    </row>
    <row r="2277" spans="7:25">
      <c r="G2277" s="62" t="s">
        <v>174</v>
      </c>
      <c r="I2277" s="48"/>
      <c r="J2277" s="118"/>
      <c r="K2277" s="118"/>
      <c r="L2277" s="118"/>
      <c r="M2277" s="10">
        <v>316</v>
      </c>
      <c r="N2277" s="119">
        <f>M2277</f>
        <v>316</v>
      </c>
      <c r="O2277" s="60"/>
      <c r="P2277" s="60"/>
      <c r="Q2277" s="60"/>
      <c r="R2277" s="60"/>
      <c r="S2277" s="60"/>
      <c r="T2277" s="146"/>
      <c r="U2277" s="122"/>
      <c r="W2277" s="1"/>
      <c r="X2277" s="1"/>
      <c r="Y2277" s="1"/>
    </row>
    <row r="2278" spans="7:25">
      <c r="G2278" s="62" t="s">
        <v>175</v>
      </c>
      <c r="I2278" s="48"/>
      <c r="J2278" s="118"/>
      <c r="K2278" s="118"/>
      <c r="L2278" s="118"/>
      <c r="M2278" s="56">
        <v>0</v>
      </c>
      <c r="N2278" s="10"/>
      <c r="O2278" s="60"/>
      <c r="P2278" s="60"/>
      <c r="Q2278" s="60"/>
      <c r="R2278" s="60"/>
      <c r="S2278" s="60"/>
      <c r="T2278" s="146"/>
      <c r="U2278" s="122"/>
      <c r="W2278" s="1"/>
      <c r="X2278" s="1"/>
      <c r="Y2278" s="1"/>
    </row>
    <row r="2279" spans="7:25">
      <c r="G2279" s="62" t="s">
        <v>176</v>
      </c>
      <c r="I2279" s="48"/>
      <c r="J2279" s="118"/>
      <c r="K2279" s="118"/>
      <c r="L2279" s="118"/>
      <c r="M2279" s="118"/>
      <c r="N2279" s="149">
        <f>N2255</f>
        <v>25003</v>
      </c>
      <c r="O2279" s="120">
        <f>N2279</f>
        <v>25003</v>
      </c>
      <c r="P2279" s="60"/>
      <c r="Q2279" s="60"/>
      <c r="R2279" s="60"/>
      <c r="S2279" s="60"/>
      <c r="T2279" s="146"/>
      <c r="U2279" s="122"/>
      <c r="W2279" s="1"/>
      <c r="X2279" s="1"/>
      <c r="Y2279" s="1"/>
    </row>
    <row r="2280" spans="7:25">
      <c r="G2280" s="62" t="s">
        <v>167</v>
      </c>
      <c r="I2280" s="48"/>
      <c r="J2280" s="118"/>
      <c r="K2280" s="118"/>
      <c r="L2280" s="118"/>
      <c r="M2280" s="118"/>
      <c r="N2280" s="150">
        <v>0</v>
      </c>
      <c r="O2280" s="121"/>
      <c r="P2280" s="60"/>
      <c r="Q2280" s="60"/>
      <c r="R2280" s="60"/>
      <c r="S2280" s="60"/>
      <c r="T2280" s="146"/>
      <c r="U2280" s="122"/>
      <c r="W2280" s="1"/>
      <c r="X2280" s="1"/>
      <c r="Y2280" s="1"/>
    </row>
    <row r="2281" spans="7:25">
      <c r="G2281" s="62" t="s">
        <v>168</v>
      </c>
      <c r="I2281" s="48"/>
      <c r="J2281" s="118"/>
      <c r="K2281" s="118"/>
      <c r="L2281" s="118"/>
      <c r="M2281" s="118"/>
      <c r="N2281" s="118"/>
      <c r="O2281" s="121">
        <v>26549</v>
      </c>
      <c r="P2281" s="120">
        <f>O2281</f>
        <v>26549</v>
      </c>
      <c r="Q2281" s="60"/>
      <c r="R2281" s="60"/>
      <c r="S2281" s="60"/>
      <c r="T2281" s="146"/>
      <c r="U2281" s="122"/>
      <c r="W2281" s="1"/>
      <c r="X2281" s="1"/>
      <c r="Y2281" s="1"/>
    </row>
    <row r="2282" spans="7:25">
      <c r="G2282" s="62" t="s">
        <v>185</v>
      </c>
      <c r="I2282" s="48"/>
      <c r="J2282" s="118"/>
      <c r="K2282" s="118"/>
      <c r="L2282" s="118"/>
      <c r="M2282" s="118"/>
      <c r="N2282" s="118"/>
      <c r="O2282" s="120"/>
      <c r="P2282" s="121"/>
      <c r="Q2282" s="60"/>
      <c r="R2282" s="60"/>
      <c r="S2282" s="60"/>
      <c r="T2282" s="146"/>
      <c r="U2282" s="122"/>
      <c r="W2282" s="1"/>
      <c r="X2282" s="1"/>
      <c r="Y2282" s="1"/>
    </row>
    <row r="2283" spans="7:25">
      <c r="G2283" s="62" t="s">
        <v>186</v>
      </c>
      <c r="I2283" s="48"/>
      <c r="J2283" s="118"/>
      <c r="K2283" s="118"/>
      <c r="L2283" s="118"/>
      <c r="M2283" s="118"/>
      <c r="N2283" s="118"/>
      <c r="O2283" s="118"/>
      <c r="P2283" s="121">
        <f>P2255</f>
        <v>26773</v>
      </c>
      <c r="Q2283" s="56">
        <f>P2283</f>
        <v>26773</v>
      </c>
      <c r="R2283" s="60"/>
      <c r="S2283" s="60"/>
      <c r="T2283" s="146"/>
      <c r="U2283" s="122"/>
      <c r="W2283" s="1"/>
      <c r="X2283" s="1"/>
      <c r="Y2283" s="1"/>
    </row>
    <row r="2284" spans="7:25">
      <c r="G2284" s="62" t="s">
        <v>187</v>
      </c>
      <c r="I2284" s="48"/>
      <c r="J2284" s="118"/>
      <c r="K2284" s="118"/>
      <c r="L2284" s="118"/>
      <c r="M2284" s="118"/>
      <c r="N2284" s="118"/>
      <c r="O2284" s="118"/>
      <c r="P2284" s="120"/>
      <c r="Q2284" s="306"/>
      <c r="R2284" s="60"/>
      <c r="S2284" s="60"/>
      <c r="T2284" s="146"/>
      <c r="U2284" s="122"/>
      <c r="W2284" s="1"/>
      <c r="X2284" s="1"/>
      <c r="Y2284" s="1"/>
    </row>
    <row r="2285" spans="7:25">
      <c r="G2285" s="62" t="s">
        <v>188</v>
      </c>
      <c r="I2285" s="48"/>
      <c r="J2285" s="118"/>
      <c r="K2285" s="118"/>
      <c r="L2285" s="118"/>
      <c r="M2285" s="118"/>
      <c r="N2285" s="118"/>
      <c r="O2285" s="118"/>
      <c r="P2285" s="118"/>
      <c r="Q2285" s="121"/>
      <c r="R2285" s="151">
        <f>Q2285</f>
        <v>0</v>
      </c>
      <c r="S2285" s="60"/>
      <c r="T2285" s="146"/>
      <c r="U2285" s="122"/>
      <c r="W2285" s="1"/>
      <c r="X2285" s="1"/>
      <c r="Y2285" s="1"/>
    </row>
    <row r="2286" spans="7:25">
      <c r="G2286" s="62" t="s">
        <v>189</v>
      </c>
      <c r="I2286" s="48"/>
      <c r="J2286" s="118"/>
      <c r="K2286" s="118"/>
      <c r="L2286" s="118"/>
      <c r="M2286" s="118"/>
      <c r="N2286" s="118"/>
      <c r="O2286" s="118"/>
      <c r="P2286" s="118"/>
      <c r="Q2286" s="151">
        <v>16956</v>
      </c>
      <c r="R2286" s="173">
        <v>16956</v>
      </c>
      <c r="S2286" s="60"/>
      <c r="T2286" s="146"/>
      <c r="U2286" s="122"/>
      <c r="W2286" s="1"/>
      <c r="X2286" s="1"/>
      <c r="Y2286" s="1"/>
    </row>
    <row r="2287" spans="7:25">
      <c r="G2287" s="62" t="s">
        <v>190</v>
      </c>
      <c r="I2287" s="48"/>
      <c r="J2287" s="118"/>
      <c r="K2287" s="118"/>
      <c r="L2287" s="118"/>
      <c r="M2287" s="118"/>
      <c r="N2287" s="118"/>
      <c r="O2287" s="118"/>
      <c r="P2287" s="118"/>
      <c r="Q2287" s="118"/>
      <c r="R2287" s="173"/>
      <c r="S2287" s="151">
        <f>R2287</f>
        <v>0</v>
      </c>
      <c r="T2287" s="146"/>
      <c r="U2287" s="122"/>
      <c r="W2287" s="1"/>
      <c r="X2287" s="1"/>
      <c r="Y2287" s="1"/>
    </row>
    <row r="2288" spans="7:25">
      <c r="G2288" s="62" t="s">
        <v>199</v>
      </c>
      <c r="I2288" s="48"/>
      <c r="J2288" s="118"/>
      <c r="K2288" s="118"/>
      <c r="L2288" s="118"/>
      <c r="M2288" s="118"/>
      <c r="N2288" s="118"/>
      <c r="O2288" s="118"/>
      <c r="P2288" s="118"/>
      <c r="Q2288" s="118"/>
      <c r="R2288" s="120">
        <v>0</v>
      </c>
      <c r="S2288" s="173">
        <v>0</v>
      </c>
      <c r="T2288" s="146"/>
      <c r="U2288" s="122"/>
      <c r="W2288" s="1"/>
      <c r="X2288" s="1"/>
      <c r="Y2288" s="1"/>
    </row>
    <row r="2289" spans="2:25">
      <c r="G2289" s="62" t="s">
        <v>200</v>
      </c>
      <c r="I2289" s="48"/>
      <c r="J2289" s="118"/>
      <c r="K2289" s="118"/>
      <c r="L2289" s="118"/>
      <c r="M2289" s="118"/>
      <c r="N2289" s="118"/>
      <c r="O2289" s="118"/>
      <c r="P2289" s="118"/>
      <c r="Q2289" s="118"/>
      <c r="R2289" s="118"/>
      <c r="S2289" s="173">
        <v>0</v>
      </c>
      <c r="T2289" s="151">
        <f>S2289</f>
        <v>0</v>
      </c>
      <c r="U2289" s="122"/>
      <c r="W2289" s="1"/>
      <c r="X2289" s="1"/>
      <c r="Y2289" s="1"/>
    </row>
    <row r="2290" spans="2:25">
      <c r="G2290" s="62" t="s">
        <v>308</v>
      </c>
      <c r="I2290" s="48"/>
      <c r="J2290" s="118"/>
      <c r="K2290" s="118"/>
      <c r="L2290" s="118"/>
      <c r="M2290" s="118"/>
      <c r="N2290" s="118"/>
      <c r="O2290" s="118"/>
      <c r="P2290" s="118"/>
      <c r="Q2290" s="118"/>
      <c r="R2290" s="118"/>
      <c r="S2290" s="120">
        <f>T2290</f>
        <v>0</v>
      </c>
      <c r="T2290" s="173">
        <v>0</v>
      </c>
      <c r="U2290" s="122"/>
      <c r="W2290" s="1"/>
      <c r="X2290" s="1"/>
      <c r="Y2290" s="1"/>
    </row>
    <row r="2291" spans="2:25">
      <c r="G2291" s="62" t="s">
        <v>307</v>
      </c>
      <c r="I2291" s="114"/>
      <c r="J2291" s="107"/>
      <c r="K2291" s="107"/>
      <c r="L2291" s="107"/>
      <c r="M2291" s="107"/>
      <c r="N2291" s="107"/>
      <c r="O2291" s="107"/>
      <c r="P2291" s="107"/>
      <c r="Q2291" s="107"/>
      <c r="R2291" s="107"/>
      <c r="S2291" s="107"/>
      <c r="T2291" s="173"/>
      <c r="U2291" s="456">
        <f>T2291</f>
        <v>0</v>
      </c>
      <c r="W2291" s="1"/>
      <c r="X2291" s="1"/>
      <c r="Y2291" s="1"/>
    </row>
    <row r="2292" spans="2:25">
      <c r="G2292" s="62" t="s">
        <v>318</v>
      </c>
      <c r="I2292" s="114"/>
      <c r="J2292" s="107"/>
      <c r="K2292" s="107"/>
      <c r="L2292" s="107"/>
      <c r="M2292" s="107"/>
      <c r="N2292" s="107"/>
      <c r="O2292" s="107"/>
      <c r="P2292" s="107"/>
      <c r="Q2292" s="107"/>
      <c r="R2292" s="107"/>
      <c r="S2292" s="107"/>
      <c r="T2292" s="120">
        <f>U2292</f>
        <v>0</v>
      </c>
      <c r="U2292" s="457">
        <v>0</v>
      </c>
      <c r="W2292" s="1"/>
      <c r="X2292" s="1"/>
      <c r="Y2292" s="1"/>
    </row>
    <row r="2293" spans="2:25">
      <c r="G2293" s="62" t="s">
        <v>319</v>
      </c>
      <c r="I2293" s="49"/>
      <c r="J2293" s="194"/>
      <c r="K2293" s="194"/>
      <c r="L2293" s="194"/>
      <c r="M2293" s="194"/>
      <c r="N2293" s="194"/>
      <c r="O2293" s="194"/>
      <c r="P2293" s="194"/>
      <c r="Q2293" s="194"/>
      <c r="R2293" s="194"/>
      <c r="S2293" s="194"/>
      <c r="T2293" s="194"/>
      <c r="U2293" s="458">
        <v>0</v>
      </c>
      <c r="W2293" s="1"/>
      <c r="X2293" s="1"/>
      <c r="Y2293" s="1"/>
    </row>
    <row r="2294" spans="2:25">
      <c r="B2294" s="1" t="s">
        <v>226</v>
      </c>
      <c r="G2294" s="26" t="s">
        <v>17</v>
      </c>
      <c r="I2294" s="7">
        <f xml:space="preserve"> I2275 - I2274</f>
        <v>0</v>
      </c>
      <c r="J2294" s="7">
        <f xml:space="preserve"> J2274 + J2277 - J2276 - J2275</f>
        <v>0</v>
      </c>
      <c r="K2294" s="7">
        <f>K2276 - K2277</f>
        <v>0</v>
      </c>
      <c r="L2294" s="7">
        <f>L2276 - L2277</f>
        <v>0</v>
      </c>
      <c r="M2294" s="7">
        <f>M2275-M2276-M2277</f>
        <v>-316</v>
      </c>
      <c r="N2294" s="7">
        <f>N2277-N2278-N2279</f>
        <v>-24687</v>
      </c>
      <c r="O2294" s="7">
        <f>O2279-O2280-O2281</f>
        <v>-1546</v>
      </c>
      <c r="P2294" s="154">
        <f>P2281-P2282-P2283</f>
        <v>-224</v>
      </c>
      <c r="Q2294" s="154">
        <f>Q2283-Q2284-Q2285+Q2286</f>
        <v>43729</v>
      </c>
      <c r="R2294" s="154">
        <f>R2285-R2286-R2287+R2288</f>
        <v>-16956</v>
      </c>
      <c r="S2294" s="7">
        <f>S2287-S2288+S2289-S2290</f>
        <v>0</v>
      </c>
      <c r="T2294" s="7">
        <f>T2289-T2290-T2291+T2292</f>
        <v>0</v>
      </c>
      <c r="U2294" s="7">
        <f>U2291-U2292-U2293</f>
        <v>0</v>
      </c>
      <c r="W2294" s="1"/>
      <c r="X2294" s="1"/>
      <c r="Y2294" s="1"/>
    </row>
    <row r="2295" spans="2:25">
      <c r="G2295" s="6"/>
      <c r="I2295" s="154"/>
      <c r="J2295" s="154"/>
      <c r="K2295" s="154"/>
      <c r="L2295" s="154"/>
      <c r="M2295" s="154"/>
      <c r="N2295" s="154"/>
      <c r="O2295" s="154"/>
      <c r="P2295" s="154"/>
      <c r="Q2295" s="154"/>
      <c r="R2295" s="154"/>
      <c r="S2295" s="297"/>
      <c r="T2295" s="154"/>
      <c r="U2295" s="154"/>
      <c r="W2295" s="1"/>
      <c r="X2295" s="1"/>
      <c r="Y2295" s="1"/>
    </row>
    <row r="2296" spans="2:25">
      <c r="G2296" s="26" t="s">
        <v>12</v>
      </c>
      <c r="H2296" s="57"/>
      <c r="I2296" s="155"/>
      <c r="J2296" s="156"/>
      <c r="K2296" s="156"/>
      <c r="L2296" s="156"/>
      <c r="M2296" s="156"/>
      <c r="N2296" s="156"/>
      <c r="O2296" s="156"/>
      <c r="P2296" s="156"/>
      <c r="Q2296" s="156"/>
      <c r="R2296" s="156"/>
      <c r="S2296" s="156"/>
      <c r="T2296" s="156"/>
      <c r="U2296" s="267"/>
      <c r="W2296" s="1"/>
      <c r="X2296" s="1"/>
      <c r="Y2296" s="1"/>
    </row>
    <row r="2297" spans="2:25">
      <c r="G2297" s="6"/>
      <c r="I2297" s="154"/>
      <c r="J2297" s="154"/>
      <c r="K2297" s="154"/>
      <c r="L2297" s="154"/>
      <c r="M2297" s="154"/>
      <c r="N2297" s="154"/>
      <c r="O2297" s="154"/>
      <c r="P2297" s="154"/>
      <c r="Q2297" s="154"/>
      <c r="R2297" s="154"/>
      <c r="S2297" s="154"/>
      <c r="T2297" s="154"/>
      <c r="U2297" s="154"/>
      <c r="W2297" s="1"/>
      <c r="X2297" s="1"/>
      <c r="Y2297" s="1"/>
    </row>
    <row r="2298" spans="2:25" ht="18.75">
      <c r="C2298" s="1" t="s">
        <v>226</v>
      </c>
      <c r="D2298" s="1" t="s">
        <v>183</v>
      </c>
      <c r="E2298" s="1" t="s">
        <v>108</v>
      </c>
      <c r="F2298" s="9" t="s">
        <v>26</v>
      </c>
      <c r="H2298" s="57"/>
      <c r="I2298" s="157">
        <f t="shared" ref="I2298:S2298" si="1007" xml:space="preserve"> I2255 + I2260 - I2266 + I2294 + I2296</f>
        <v>0</v>
      </c>
      <c r="J2298" s="158">
        <f t="shared" si="1007"/>
        <v>0</v>
      </c>
      <c r="K2298" s="158">
        <f t="shared" si="1007"/>
        <v>0</v>
      </c>
      <c r="L2298" s="158">
        <f t="shared" si="1007"/>
        <v>0</v>
      </c>
      <c r="M2298" s="158">
        <f t="shared" si="1007"/>
        <v>0</v>
      </c>
      <c r="N2298" s="158">
        <f t="shared" si="1007"/>
        <v>316</v>
      </c>
      <c r="O2298" s="158">
        <f t="shared" si="1007"/>
        <v>25003</v>
      </c>
      <c r="P2298" s="158">
        <f t="shared" si="1007"/>
        <v>26549</v>
      </c>
      <c r="Q2298" s="158">
        <f t="shared" si="1007"/>
        <v>68400.070970241824</v>
      </c>
      <c r="R2298" s="158">
        <f t="shared" si="1007"/>
        <v>9713.8855007414277</v>
      </c>
      <c r="S2298" s="158">
        <f t="shared" si="1007"/>
        <v>24308</v>
      </c>
      <c r="T2298" s="158">
        <f t="shared" ref="T2298:U2298" si="1008" xml:space="preserve"> T2255 + T2260 - T2266 + T2294 + T2296</f>
        <v>22259</v>
      </c>
      <c r="U2298" s="268">
        <f t="shared" si="1008"/>
        <v>24291.0072</v>
      </c>
      <c r="W2298" s="1"/>
      <c r="X2298" s="1"/>
      <c r="Y2298" s="1"/>
    </row>
    <row r="2299" spans="2:25" ht="15.75" customHeight="1" thickBot="1">
      <c r="W2299" s="1"/>
      <c r="X2299" s="1"/>
      <c r="Y2299" s="1"/>
    </row>
    <row r="2300" spans="2:25" s="341" customFormat="1" thickBot="1">
      <c r="F2300" s="437"/>
      <c r="G2300" s="437"/>
      <c r="H2300" s="437"/>
      <c r="I2300" s="437"/>
      <c r="J2300" s="437"/>
      <c r="K2300" s="437"/>
      <c r="L2300" s="437"/>
      <c r="M2300" s="437"/>
      <c r="N2300" s="437"/>
      <c r="O2300" s="437"/>
      <c r="P2300" s="437"/>
      <c r="Q2300" s="437"/>
      <c r="R2300" s="437"/>
      <c r="S2300" s="449"/>
      <c r="T2300" s="437"/>
      <c r="U2300" s="437"/>
    </row>
    <row r="2301" spans="2:25" s="341" customFormat="1" ht="21" thickBot="1">
      <c r="F2301" s="349" t="s">
        <v>4</v>
      </c>
      <c r="G2301" s="349"/>
      <c r="H2301" s="350" t="s">
        <v>261</v>
      </c>
      <c r="I2301" s="439"/>
      <c r="J2301" s="351"/>
      <c r="K2301" s="351"/>
      <c r="L2301" s="351"/>
      <c r="M2301" s="351"/>
      <c r="N2301" s="351"/>
      <c r="O2301" s="351"/>
      <c r="P2301" s="351"/>
      <c r="Q2301" s="351"/>
      <c r="R2301" s="351"/>
      <c r="S2301" s="436"/>
      <c r="T2301" s="351"/>
      <c r="U2301" s="351"/>
    </row>
    <row r="2302" spans="2:25" s="341" customFormat="1" ht="14.25">
      <c r="F2302" s="351"/>
      <c r="G2302" s="351"/>
      <c r="H2302" s="351"/>
      <c r="I2302" s="351"/>
      <c r="J2302" s="351"/>
      <c r="K2302" s="351"/>
      <c r="L2302" s="351"/>
      <c r="M2302" s="351"/>
      <c r="N2302" s="351"/>
      <c r="O2302" s="351"/>
      <c r="P2302" s="351"/>
      <c r="Q2302" s="351"/>
      <c r="R2302" s="351"/>
      <c r="S2302" s="436"/>
      <c r="T2302" s="351"/>
      <c r="U2302" s="351"/>
    </row>
    <row r="2303" spans="2:25" s="341" customFormat="1" ht="18">
      <c r="F2303" s="352" t="s">
        <v>21</v>
      </c>
      <c r="G2303" s="352"/>
      <c r="H2303" s="351"/>
      <c r="I2303" s="360">
        <v>2011</v>
      </c>
      <c r="J2303" s="360">
        <f>I2303+1</f>
        <v>2012</v>
      </c>
      <c r="K2303" s="360">
        <f t="shared" ref="K2303" si="1009">J2303+1</f>
        <v>2013</v>
      </c>
      <c r="L2303" s="360">
        <f t="shared" ref="L2303" si="1010">K2303+1</f>
        <v>2014</v>
      </c>
      <c r="M2303" s="360">
        <f t="shared" ref="M2303" si="1011">L2303+1</f>
        <v>2015</v>
      </c>
      <c r="N2303" s="360">
        <f t="shared" ref="N2303" si="1012">M2303+1</f>
        <v>2016</v>
      </c>
      <c r="O2303" s="360">
        <f t="shared" ref="O2303" si="1013">N2303+1</f>
        <v>2017</v>
      </c>
      <c r="P2303" s="360">
        <f t="shared" ref="P2303" si="1014">O2303+1</f>
        <v>2018</v>
      </c>
      <c r="Q2303" s="360">
        <f t="shared" ref="Q2303" si="1015">P2303+1</f>
        <v>2019</v>
      </c>
      <c r="R2303" s="360">
        <f t="shared" ref="R2303" si="1016">Q2303+1</f>
        <v>2020</v>
      </c>
      <c r="S2303" s="360">
        <f>R2303+1</f>
        <v>2021</v>
      </c>
      <c r="T2303" s="360">
        <f>S2303+1</f>
        <v>2022</v>
      </c>
      <c r="U2303" s="360">
        <f>T2303+1</f>
        <v>2023</v>
      </c>
    </row>
    <row r="2304" spans="2:25" s="341" customFormat="1" ht="14.25">
      <c r="F2304" s="351"/>
      <c r="G2304" s="353" t="str">
        <f>"Total MWh Produced / Purchased from " &amp; H2301</f>
        <v>Total MWh Produced / Purchased from Pavant Solar II</v>
      </c>
      <c r="H2304" s="354"/>
      <c r="I2304" s="362"/>
      <c r="J2304" s="363"/>
      <c r="K2304" s="363"/>
      <c r="L2304" s="363"/>
      <c r="M2304" s="363"/>
      <c r="N2304" s="363"/>
      <c r="O2304" s="363"/>
      <c r="P2304" s="363"/>
      <c r="Q2304" s="363"/>
      <c r="R2304" s="363"/>
      <c r="S2304" s="363">
        <v>118178</v>
      </c>
      <c r="T2304" s="363"/>
      <c r="U2304" s="460"/>
    </row>
    <row r="2305" spans="1:21" s="341" customFormat="1" ht="14.25">
      <c r="F2305" s="351"/>
      <c r="G2305" s="353" t="s">
        <v>25</v>
      </c>
      <c r="H2305" s="354"/>
      <c r="I2305" s="365"/>
      <c r="J2305" s="366"/>
      <c r="K2305" s="366"/>
      <c r="L2305" s="366"/>
      <c r="M2305" s="366"/>
      <c r="N2305" s="366"/>
      <c r="O2305" s="366"/>
      <c r="P2305" s="366"/>
      <c r="Q2305" s="366"/>
      <c r="R2305" s="366"/>
      <c r="S2305" s="366">
        <v>1</v>
      </c>
      <c r="T2305" s="366">
        <v>1</v>
      </c>
      <c r="U2305" s="461">
        <v>1</v>
      </c>
    </row>
    <row r="2306" spans="1:21" s="341" customFormat="1" ht="14.25">
      <c r="F2306" s="351"/>
      <c r="G2306" s="353" t="s">
        <v>20</v>
      </c>
      <c r="H2306" s="354"/>
      <c r="I2306" s="368"/>
      <c r="J2306" s="369"/>
      <c r="K2306" s="369"/>
      <c r="L2306" s="369"/>
      <c r="M2306" s="369"/>
      <c r="N2306" s="369"/>
      <c r="O2306" s="369"/>
      <c r="P2306" s="369"/>
      <c r="Q2306" s="369"/>
      <c r="R2306" s="369"/>
      <c r="S2306" s="369">
        <v>0</v>
      </c>
      <c r="T2306" s="369">
        <v>0</v>
      </c>
      <c r="U2306" s="369">
        <v>0</v>
      </c>
    </row>
    <row r="2307" spans="1:21" s="341" customFormat="1" ht="14.25">
      <c r="A2307" s="489" t="s">
        <v>227</v>
      </c>
      <c r="F2307" s="351"/>
      <c r="G2307" s="355" t="s">
        <v>22</v>
      </c>
      <c r="H2307" s="356"/>
      <c r="I2307" s="371">
        <v>0</v>
      </c>
      <c r="J2307" s="371">
        <v>0</v>
      </c>
      <c r="K2307" s="371">
        <v>0</v>
      </c>
      <c r="L2307" s="371">
        <v>0</v>
      </c>
      <c r="M2307" s="371">
        <v>0</v>
      </c>
      <c r="N2307" s="372">
        <v>0</v>
      </c>
      <c r="O2307" s="372">
        <v>0</v>
      </c>
      <c r="P2307" s="372">
        <v>0</v>
      </c>
      <c r="Q2307" s="372">
        <f>Q2304*Q2306</f>
        <v>0</v>
      </c>
      <c r="R2307" s="372">
        <f>R2304*R2306</f>
        <v>0</v>
      </c>
      <c r="S2307" s="372">
        <f>S2304*S2306</f>
        <v>0</v>
      </c>
      <c r="T2307" s="372">
        <f>T2304*T2306</f>
        <v>0</v>
      </c>
      <c r="U2307" s="372">
        <f>U2304*U2306</f>
        <v>0</v>
      </c>
    </row>
    <row r="2308" spans="1:21" s="341" customFormat="1" ht="14.25">
      <c r="F2308" s="351"/>
      <c r="G2308" s="351"/>
      <c r="H2308" s="351"/>
      <c r="I2308" s="374"/>
      <c r="J2308" s="374"/>
      <c r="K2308" s="374"/>
      <c r="L2308" s="374"/>
      <c r="M2308" s="374"/>
      <c r="N2308" s="375"/>
      <c r="O2308" s="375"/>
      <c r="P2308" s="375"/>
      <c r="Q2308" s="375"/>
      <c r="R2308" s="375"/>
      <c r="S2308" s="375"/>
      <c r="T2308" s="375"/>
      <c r="U2308" s="375"/>
    </row>
    <row r="2309" spans="1:21" s="341" customFormat="1" ht="18">
      <c r="F2309" s="352" t="s">
        <v>118</v>
      </c>
      <c r="G2309" s="351"/>
      <c r="H2309" s="351"/>
      <c r="I2309" s="360">
        <v>2011</v>
      </c>
      <c r="J2309" s="360">
        <f>I2309+1</f>
        <v>2012</v>
      </c>
      <c r="K2309" s="360">
        <f t="shared" ref="K2309" si="1017">J2309+1</f>
        <v>2013</v>
      </c>
      <c r="L2309" s="360">
        <f t="shared" ref="L2309" si="1018">K2309+1</f>
        <v>2014</v>
      </c>
      <c r="M2309" s="360">
        <f t="shared" ref="M2309" si="1019">L2309+1</f>
        <v>2015</v>
      </c>
      <c r="N2309" s="360">
        <f t="shared" ref="N2309" si="1020">M2309+1</f>
        <v>2016</v>
      </c>
      <c r="O2309" s="360">
        <f t="shared" ref="O2309" si="1021">N2309+1</f>
        <v>2017</v>
      </c>
      <c r="P2309" s="360">
        <f t="shared" ref="P2309" si="1022">O2309+1</f>
        <v>2018</v>
      </c>
      <c r="Q2309" s="360">
        <f t="shared" ref="Q2309" si="1023">P2309+1</f>
        <v>2019</v>
      </c>
      <c r="R2309" s="360">
        <f t="shared" ref="R2309" si="1024">Q2309+1</f>
        <v>2020</v>
      </c>
      <c r="S2309" s="360">
        <f>R2309+1</f>
        <v>2021</v>
      </c>
      <c r="T2309" s="360">
        <f>S2309+1</f>
        <v>2022</v>
      </c>
      <c r="U2309" s="360">
        <f>T2309+1</f>
        <v>2023</v>
      </c>
    </row>
    <row r="2310" spans="1:21" s="341" customFormat="1" ht="14.25">
      <c r="F2310" s="351"/>
      <c r="G2310" s="353" t="s">
        <v>10</v>
      </c>
      <c r="H2310" s="354"/>
      <c r="I2310" s="377">
        <f>IF($J51= "Eligible", I2307 * 'Facility Detail'!$G$3257, 0 )</f>
        <v>0</v>
      </c>
      <c r="J2310" s="378">
        <f>IF($J51= "Eligible", J2307 * 'Facility Detail'!$G$3257, 0 )</f>
        <v>0</v>
      </c>
      <c r="K2310" s="378">
        <f>IF($J51= "Eligible", K2307 * 'Facility Detail'!$G$3257, 0 )</f>
        <v>0</v>
      </c>
      <c r="L2310" s="378">
        <f>IF($J51= "Eligible", L2307 * 'Facility Detail'!$G$3257, 0 )</f>
        <v>0</v>
      </c>
      <c r="M2310" s="378">
        <f>IF($J51= "Eligible", M2307 * 'Facility Detail'!$G$3257, 0 )</f>
        <v>0</v>
      </c>
      <c r="N2310" s="378">
        <f>IF($J51= "Eligible", N2307 * 'Facility Detail'!$G$3257, 0 )</f>
        <v>0</v>
      </c>
      <c r="O2310" s="378">
        <f>IF($J51= "Eligible", O2307 * 'Facility Detail'!$G$3257, 0 )</f>
        <v>0</v>
      </c>
      <c r="P2310" s="378">
        <f>IF($J51= "Eligible", P2307 * 'Facility Detail'!$G$3257, 0 )</f>
        <v>0</v>
      </c>
      <c r="Q2310" s="378">
        <f>IF($J51= "Eligible", Q2307 * 'Facility Detail'!$G$3257, 0 )</f>
        <v>0</v>
      </c>
      <c r="R2310" s="378">
        <f>IF($J51= "Eligible", R2307 * 'Facility Detail'!$G$3257, 0 )</f>
        <v>0</v>
      </c>
      <c r="S2310" s="378">
        <f>IF($J51= "Eligible", S2307 * 'Facility Detail'!$G$3257, 0 )</f>
        <v>0</v>
      </c>
      <c r="T2310" s="378">
        <f>IF($J51= "Eligible", T2307 * 'Facility Detail'!$G$3257, 0 )</f>
        <v>0</v>
      </c>
      <c r="U2310" s="462">
        <f>IF($J51= "Eligible", U2307 * 'Facility Detail'!$G$3257, 0 )</f>
        <v>0</v>
      </c>
    </row>
    <row r="2311" spans="1:21" s="341" customFormat="1" ht="14.25">
      <c r="F2311" s="351"/>
      <c r="G2311" s="353" t="s">
        <v>6</v>
      </c>
      <c r="H2311" s="354"/>
      <c r="I2311" s="380">
        <f t="shared" ref="I2311:U2311" si="1025">IF($K51= "Eligible", I2307, 0 )</f>
        <v>0</v>
      </c>
      <c r="J2311" s="381">
        <f t="shared" si="1025"/>
        <v>0</v>
      </c>
      <c r="K2311" s="381">
        <f t="shared" si="1025"/>
        <v>0</v>
      </c>
      <c r="L2311" s="381">
        <f t="shared" si="1025"/>
        <v>0</v>
      </c>
      <c r="M2311" s="381">
        <f t="shared" si="1025"/>
        <v>0</v>
      </c>
      <c r="N2311" s="381">
        <f t="shared" si="1025"/>
        <v>0</v>
      </c>
      <c r="O2311" s="381">
        <f t="shared" si="1025"/>
        <v>0</v>
      </c>
      <c r="P2311" s="381">
        <f t="shared" si="1025"/>
        <v>0</v>
      </c>
      <c r="Q2311" s="381">
        <f t="shared" si="1025"/>
        <v>0</v>
      </c>
      <c r="R2311" s="381">
        <f t="shared" si="1025"/>
        <v>0</v>
      </c>
      <c r="S2311" s="381">
        <f t="shared" si="1025"/>
        <v>0</v>
      </c>
      <c r="T2311" s="381">
        <f t="shared" si="1025"/>
        <v>0</v>
      </c>
      <c r="U2311" s="463">
        <f t="shared" si="1025"/>
        <v>0</v>
      </c>
    </row>
    <row r="2312" spans="1:21" s="341" customFormat="1" ht="14.25">
      <c r="F2312" s="351"/>
      <c r="G2312" s="355" t="s">
        <v>120</v>
      </c>
      <c r="H2312" s="356"/>
      <c r="I2312" s="383">
        <f>SUM(I2310:I2311)</f>
        <v>0</v>
      </c>
      <c r="J2312" s="384">
        <f t="shared" ref="J2312:S2312" si="1026">SUM(J2310:J2311)</f>
        <v>0</v>
      </c>
      <c r="K2312" s="384">
        <f t="shared" si="1026"/>
        <v>0</v>
      </c>
      <c r="L2312" s="384">
        <f t="shared" si="1026"/>
        <v>0</v>
      </c>
      <c r="M2312" s="384">
        <f t="shared" si="1026"/>
        <v>0</v>
      </c>
      <c r="N2312" s="384">
        <f t="shared" si="1026"/>
        <v>0</v>
      </c>
      <c r="O2312" s="384">
        <f t="shared" si="1026"/>
        <v>0</v>
      </c>
      <c r="P2312" s="384">
        <f t="shared" si="1026"/>
        <v>0</v>
      </c>
      <c r="Q2312" s="384">
        <f t="shared" si="1026"/>
        <v>0</v>
      </c>
      <c r="R2312" s="384">
        <f t="shared" si="1026"/>
        <v>0</v>
      </c>
      <c r="S2312" s="384">
        <f t="shared" si="1026"/>
        <v>0</v>
      </c>
      <c r="T2312" s="384">
        <f t="shared" ref="T2312:U2312" si="1027">SUM(T2310:T2311)</f>
        <v>0</v>
      </c>
      <c r="U2312" s="384">
        <f t="shared" si="1027"/>
        <v>0</v>
      </c>
    </row>
    <row r="2313" spans="1:21" s="341" customFormat="1" ht="14.25">
      <c r="F2313" s="351"/>
      <c r="G2313" s="351"/>
      <c r="H2313" s="351"/>
      <c r="I2313" s="386"/>
      <c r="J2313" s="387"/>
      <c r="K2313" s="387"/>
      <c r="L2313" s="387"/>
      <c r="M2313" s="387"/>
      <c r="N2313" s="387"/>
      <c r="O2313" s="387"/>
      <c r="P2313" s="387"/>
      <c r="Q2313" s="387"/>
      <c r="R2313" s="387"/>
      <c r="S2313" s="387"/>
      <c r="T2313" s="387"/>
      <c r="U2313" s="387"/>
    </row>
    <row r="2314" spans="1:21" s="341" customFormat="1" ht="18">
      <c r="F2314" s="352" t="s">
        <v>30</v>
      </c>
      <c r="G2314" s="351"/>
      <c r="H2314" s="351"/>
      <c r="I2314" s="360">
        <v>2011</v>
      </c>
      <c r="J2314" s="360">
        <f>I2314+1</f>
        <v>2012</v>
      </c>
      <c r="K2314" s="360">
        <f t="shared" ref="K2314" si="1028">J2314+1</f>
        <v>2013</v>
      </c>
      <c r="L2314" s="360">
        <f t="shared" ref="L2314" si="1029">K2314+1</f>
        <v>2014</v>
      </c>
      <c r="M2314" s="360">
        <f t="shared" ref="M2314" si="1030">L2314+1</f>
        <v>2015</v>
      </c>
      <c r="N2314" s="360">
        <f t="shared" ref="N2314" si="1031">M2314+1</f>
        <v>2016</v>
      </c>
      <c r="O2314" s="360">
        <f t="shared" ref="O2314" si="1032">N2314+1</f>
        <v>2017</v>
      </c>
      <c r="P2314" s="360">
        <f t="shared" ref="P2314" si="1033">O2314+1</f>
        <v>2018</v>
      </c>
      <c r="Q2314" s="360">
        <f t="shared" ref="Q2314" si="1034">P2314+1</f>
        <v>2019</v>
      </c>
      <c r="R2314" s="360">
        <f t="shared" ref="R2314" si="1035">Q2314+1</f>
        <v>2020</v>
      </c>
      <c r="S2314" s="360">
        <f>R2314+1</f>
        <v>2021</v>
      </c>
      <c r="T2314" s="360">
        <f>S2314+1</f>
        <v>2022</v>
      </c>
      <c r="U2314" s="360">
        <f>T2314+1</f>
        <v>2023</v>
      </c>
    </row>
    <row r="2315" spans="1:21" s="341" customFormat="1" ht="14.25">
      <c r="F2315" s="351"/>
      <c r="G2315" s="353" t="s">
        <v>47</v>
      </c>
      <c r="H2315" s="354"/>
      <c r="I2315" s="389"/>
      <c r="J2315" s="390"/>
      <c r="K2315" s="390"/>
      <c r="L2315" s="390"/>
      <c r="M2315" s="390"/>
      <c r="N2315" s="390"/>
      <c r="O2315" s="390"/>
      <c r="P2315" s="390"/>
      <c r="Q2315" s="390"/>
      <c r="R2315" s="390"/>
      <c r="S2315" s="390"/>
      <c r="T2315" s="390"/>
      <c r="U2315" s="464"/>
    </row>
    <row r="2316" spans="1:21" s="341" customFormat="1" ht="14.25">
      <c r="F2316" s="351"/>
      <c r="G2316" s="357" t="s">
        <v>23</v>
      </c>
      <c r="H2316" s="358"/>
      <c r="I2316" s="392"/>
      <c r="J2316" s="393"/>
      <c r="K2316" s="393"/>
      <c r="L2316" s="393"/>
      <c r="M2316" s="393"/>
      <c r="N2316" s="393"/>
      <c r="O2316" s="393"/>
      <c r="P2316" s="393"/>
      <c r="Q2316" s="393"/>
      <c r="R2316" s="393"/>
      <c r="S2316" s="393"/>
      <c r="T2316" s="393"/>
      <c r="U2316" s="465"/>
    </row>
    <row r="2317" spans="1:21" s="341" customFormat="1" ht="14.25">
      <c r="F2317" s="351"/>
      <c r="G2317" s="357" t="s">
        <v>89</v>
      </c>
      <c r="H2317" s="359"/>
      <c r="I2317" s="395"/>
      <c r="J2317" s="396"/>
      <c r="K2317" s="396"/>
      <c r="L2317" s="396"/>
      <c r="M2317" s="396"/>
      <c r="N2317" s="396"/>
      <c r="O2317" s="396"/>
      <c r="P2317" s="396"/>
      <c r="Q2317" s="396"/>
      <c r="R2317" s="396"/>
      <c r="S2317" s="396"/>
      <c r="T2317" s="396"/>
      <c r="U2317" s="466"/>
    </row>
    <row r="2318" spans="1:21" s="341" customFormat="1" ht="14.25">
      <c r="F2318" s="351"/>
      <c r="G2318" s="355" t="s">
        <v>90</v>
      </c>
      <c r="H2318" s="351"/>
      <c r="I2318" s="398">
        <v>0</v>
      </c>
      <c r="J2318" s="398">
        <v>0</v>
      </c>
      <c r="K2318" s="398">
        <v>0</v>
      </c>
      <c r="L2318" s="398">
        <v>0</v>
      </c>
      <c r="M2318" s="398">
        <v>0</v>
      </c>
      <c r="N2318" s="398">
        <v>0</v>
      </c>
      <c r="O2318" s="398">
        <v>0</v>
      </c>
      <c r="P2318" s="398">
        <v>0</v>
      </c>
      <c r="Q2318" s="398">
        <v>0</v>
      </c>
      <c r="R2318" s="398">
        <v>0</v>
      </c>
      <c r="S2318" s="398">
        <v>0</v>
      </c>
      <c r="T2318" s="398">
        <v>0</v>
      </c>
      <c r="U2318" s="398">
        <v>0</v>
      </c>
    </row>
    <row r="2319" spans="1:21" s="341" customFormat="1" ht="14.25">
      <c r="F2319" s="351"/>
      <c r="G2319" s="356"/>
      <c r="H2319" s="351"/>
      <c r="I2319" s="398"/>
      <c r="J2319" s="398"/>
      <c r="K2319" s="398"/>
      <c r="L2319" s="400"/>
      <c r="M2319" s="400"/>
      <c r="N2319" s="400"/>
      <c r="O2319" s="400"/>
      <c r="P2319" s="400"/>
      <c r="Q2319" s="400"/>
      <c r="R2319" s="400"/>
      <c r="S2319" s="400"/>
      <c r="T2319" s="400"/>
      <c r="U2319" s="400"/>
    </row>
    <row r="2320" spans="1:21" s="341" customFormat="1" ht="18">
      <c r="F2320" s="352" t="s">
        <v>100</v>
      </c>
      <c r="G2320" s="351"/>
      <c r="H2320" s="351"/>
      <c r="I2320" s="360">
        <f>'Facility Detail'!$G$3260</f>
        <v>2011</v>
      </c>
      <c r="J2320" s="360">
        <f>I2320+1</f>
        <v>2012</v>
      </c>
      <c r="K2320" s="360">
        <f t="shared" ref="K2320" si="1036">J2320+1</f>
        <v>2013</v>
      </c>
      <c r="L2320" s="360">
        <f t="shared" ref="L2320" si="1037">K2320+1</f>
        <v>2014</v>
      </c>
      <c r="M2320" s="360">
        <f t="shared" ref="M2320" si="1038">L2320+1</f>
        <v>2015</v>
      </c>
      <c r="N2320" s="360">
        <f t="shared" ref="N2320" si="1039">M2320+1</f>
        <v>2016</v>
      </c>
      <c r="O2320" s="360">
        <f t="shared" ref="O2320" si="1040">N2320+1</f>
        <v>2017</v>
      </c>
      <c r="P2320" s="360">
        <f t="shared" ref="P2320" si="1041">O2320+1</f>
        <v>2018</v>
      </c>
      <c r="Q2320" s="360">
        <f t="shared" ref="Q2320" si="1042">P2320+1</f>
        <v>2019</v>
      </c>
      <c r="R2320" s="360">
        <f t="shared" ref="R2320" si="1043">Q2320+1</f>
        <v>2020</v>
      </c>
      <c r="S2320" s="360">
        <f>R2320+1</f>
        <v>2021</v>
      </c>
      <c r="T2320" s="360">
        <f>S2320+1</f>
        <v>2022</v>
      </c>
      <c r="U2320" s="360">
        <f>T2320+1</f>
        <v>2023</v>
      </c>
    </row>
    <row r="2321" spans="6:21" s="341" customFormat="1" ht="14.25">
      <c r="F2321" s="351"/>
      <c r="G2321" s="353" t="s">
        <v>68</v>
      </c>
      <c r="H2321" s="354"/>
      <c r="I2321" s="362"/>
      <c r="J2321" s="402">
        <f>I2321</f>
        <v>0</v>
      </c>
      <c r="K2321" s="403"/>
      <c r="L2321" s="403"/>
      <c r="M2321" s="403"/>
      <c r="N2321" s="403"/>
      <c r="O2321" s="403"/>
      <c r="P2321" s="403"/>
      <c r="Q2321" s="403"/>
      <c r="R2321" s="403"/>
      <c r="S2321" s="403"/>
      <c r="T2321" s="467"/>
      <c r="U2321" s="468"/>
    </row>
    <row r="2322" spans="6:21" s="341" customFormat="1" ht="14.25">
      <c r="F2322" s="351"/>
      <c r="G2322" s="353" t="s">
        <v>69</v>
      </c>
      <c r="H2322" s="354"/>
      <c r="I2322" s="405">
        <f>J2322</f>
        <v>0</v>
      </c>
      <c r="J2322" s="406"/>
      <c r="K2322" s="407"/>
      <c r="L2322" s="407"/>
      <c r="M2322" s="407"/>
      <c r="N2322" s="407"/>
      <c r="O2322" s="407"/>
      <c r="P2322" s="407"/>
      <c r="Q2322" s="407"/>
      <c r="R2322" s="407"/>
      <c r="S2322" s="407"/>
      <c r="T2322" s="469"/>
      <c r="U2322" s="470"/>
    </row>
    <row r="2323" spans="6:21" s="341" customFormat="1" ht="14.25">
      <c r="F2323" s="351"/>
      <c r="G2323" s="353" t="s">
        <v>70</v>
      </c>
      <c r="H2323" s="354"/>
      <c r="I2323" s="409"/>
      <c r="J2323" s="406">
        <f>J2307</f>
        <v>0</v>
      </c>
      <c r="K2323" s="410">
        <f>J2323</f>
        <v>0</v>
      </c>
      <c r="L2323" s="407"/>
      <c r="M2323" s="407"/>
      <c r="N2323" s="407"/>
      <c r="O2323" s="407"/>
      <c r="P2323" s="407"/>
      <c r="Q2323" s="407"/>
      <c r="R2323" s="407"/>
      <c r="S2323" s="407"/>
      <c r="T2323" s="469"/>
      <c r="U2323" s="470"/>
    </row>
    <row r="2324" spans="6:21" s="341" customFormat="1" ht="14.25">
      <c r="F2324" s="351"/>
      <c r="G2324" s="353" t="s">
        <v>71</v>
      </c>
      <c r="H2324" s="354"/>
      <c r="I2324" s="409"/>
      <c r="J2324" s="410">
        <f>K2324</f>
        <v>0</v>
      </c>
      <c r="K2324" s="406"/>
      <c r="L2324" s="407"/>
      <c r="M2324" s="407"/>
      <c r="N2324" s="407"/>
      <c r="O2324" s="407"/>
      <c r="P2324" s="407"/>
      <c r="Q2324" s="407"/>
      <c r="R2324" s="407"/>
      <c r="S2324" s="407"/>
      <c r="T2324" s="469"/>
      <c r="U2324" s="470"/>
    </row>
    <row r="2325" spans="6:21" s="341" customFormat="1" ht="14.25">
      <c r="F2325" s="351"/>
      <c r="G2325" s="353" t="s">
        <v>170</v>
      </c>
      <c r="H2325" s="351"/>
      <c r="I2325" s="409"/>
      <c r="J2325" s="411"/>
      <c r="K2325" s="406">
        <f>K2307</f>
        <v>0</v>
      </c>
      <c r="L2325" s="412">
        <f>K2325</f>
        <v>0</v>
      </c>
      <c r="M2325" s="407"/>
      <c r="N2325" s="407"/>
      <c r="O2325" s="407"/>
      <c r="P2325" s="407"/>
      <c r="Q2325" s="407"/>
      <c r="R2325" s="407"/>
      <c r="S2325" s="407"/>
      <c r="T2325" s="471"/>
      <c r="U2325" s="472"/>
    </row>
    <row r="2326" spans="6:21" s="341" customFormat="1" ht="14.25">
      <c r="F2326" s="351"/>
      <c r="G2326" s="353" t="s">
        <v>171</v>
      </c>
      <c r="H2326" s="351"/>
      <c r="I2326" s="409"/>
      <c r="J2326" s="411"/>
      <c r="K2326" s="410">
        <f>L2326</f>
        <v>0</v>
      </c>
      <c r="L2326" s="406"/>
      <c r="M2326" s="407"/>
      <c r="N2326" s="407"/>
      <c r="O2326" s="407"/>
      <c r="P2326" s="407"/>
      <c r="Q2326" s="407"/>
      <c r="R2326" s="407"/>
      <c r="S2326" s="407"/>
      <c r="T2326" s="471"/>
      <c r="U2326" s="472"/>
    </row>
    <row r="2327" spans="6:21" s="341" customFormat="1" ht="14.25">
      <c r="F2327" s="351"/>
      <c r="G2327" s="353" t="s">
        <v>172</v>
      </c>
      <c r="H2327" s="351"/>
      <c r="I2327" s="409"/>
      <c r="J2327" s="411"/>
      <c r="K2327" s="411"/>
      <c r="L2327" s="406">
        <f>L2307</f>
        <v>0</v>
      </c>
      <c r="M2327" s="412">
        <f>L2327</f>
        <v>0</v>
      </c>
      <c r="N2327" s="411"/>
      <c r="O2327" s="407"/>
      <c r="P2327" s="407"/>
      <c r="Q2327" s="407"/>
      <c r="R2327" s="407"/>
      <c r="S2327" s="407"/>
      <c r="T2327" s="471"/>
      <c r="U2327" s="472"/>
    </row>
    <row r="2328" spans="6:21" s="341" customFormat="1" ht="14.25">
      <c r="F2328" s="351"/>
      <c r="G2328" s="353" t="s">
        <v>173</v>
      </c>
      <c r="H2328" s="351"/>
      <c r="I2328" s="409"/>
      <c r="J2328" s="411"/>
      <c r="K2328" s="411"/>
      <c r="L2328" s="410"/>
      <c r="M2328" s="406"/>
      <c r="N2328" s="411"/>
      <c r="O2328" s="407"/>
      <c r="P2328" s="407"/>
      <c r="Q2328" s="407"/>
      <c r="R2328" s="407"/>
      <c r="S2328" s="407"/>
      <c r="T2328" s="471"/>
      <c r="U2328" s="472"/>
    </row>
    <row r="2329" spans="6:21" s="341" customFormat="1" ht="14.25">
      <c r="F2329" s="351"/>
      <c r="G2329" s="353" t="s">
        <v>174</v>
      </c>
      <c r="H2329" s="351"/>
      <c r="I2329" s="409"/>
      <c r="J2329" s="411"/>
      <c r="K2329" s="411"/>
      <c r="L2329" s="411"/>
      <c r="M2329" s="406">
        <v>0</v>
      </c>
      <c r="N2329" s="412">
        <f>M2329</f>
        <v>0</v>
      </c>
      <c r="O2329" s="407"/>
      <c r="P2329" s="407"/>
      <c r="Q2329" s="407"/>
      <c r="R2329" s="407"/>
      <c r="S2329" s="407"/>
      <c r="T2329" s="471"/>
      <c r="U2329" s="472"/>
    </row>
    <row r="2330" spans="6:21" s="341" customFormat="1" ht="14.25">
      <c r="F2330" s="351"/>
      <c r="G2330" s="353" t="s">
        <v>175</v>
      </c>
      <c r="H2330" s="351"/>
      <c r="I2330" s="409"/>
      <c r="J2330" s="411"/>
      <c r="K2330" s="411"/>
      <c r="L2330" s="411"/>
      <c r="M2330" s="410"/>
      <c r="N2330" s="406"/>
      <c r="O2330" s="407"/>
      <c r="P2330" s="407"/>
      <c r="Q2330" s="407"/>
      <c r="R2330" s="407"/>
      <c r="S2330" s="407"/>
      <c r="T2330" s="471"/>
      <c r="U2330" s="472"/>
    </row>
    <row r="2331" spans="6:21" s="341" customFormat="1" ht="14.25">
      <c r="F2331" s="351"/>
      <c r="G2331" s="353" t="s">
        <v>176</v>
      </c>
      <c r="H2331" s="351"/>
      <c r="I2331" s="409"/>
      <c r="J2331" s="411"/>
      <c r="K2331" s="411"/>
      <c r="L2331" s="411"/>
      <c r="M2331" s="411"/>
      <c r="N2331" s="413">
        <f>N2307</f>
        <v>0</v>
      </c>
      <c r="O2331" s="414">
        <f>N2331</f>
        <v>0</v>
      </c>
      <c r="P2331" s="407"/>
      <c r="Q2331" s="407"/>
      <c r="R2331" s="407"/>
      <c r="S2331" s="407"/>
      <c r="T2331" s="471"/>
      <c r="U2331" s="472"/>
    </row>
    <row r="2332" spans="6:21" s="341" customFormat="1" ht="14.25">
      <c r="F2332" s="351"/>
      <c r="G2332" s="353" t="s">
        <v>167</v>
      </c>
      <c r="H2332" s="351"/>
      <c r="I2332" s="409"/>
      <c r="J2332" s="411"/>
      <c r="K2332" s="411"/>
      <c r="L2332" s="411"/>
      <c r="M2332" s="411"/>
      <c r="N2332" s="415"/>
      <c r="O2332" s="416"/>
      <c r="P2332" s="407"/>
      <c r="Q2332" s="407"/>
      <c r="R2332" s="407"/>
      <c r="S2332" s="407"/>
      <c r="T2332" s="471"/>
      <c r="U2332" s="472"/>
    </row>
    <row r="2333" spans="6:21" s="341" customFormat="1" ht="14.25">
      <c r="F2333" s="351"/>
      <c r="G2333" s="353" t="s">
        <v>168</v>
      </c>
      <c r="H2333" s="351"/>
      <c r="I2333" s="409"/>
      <c r="J2333" s="411"/>
      <c r="K2333" s="411"/>
      <c r="L2333" s="411"/>
      <c r="M2333" s="411"/>
      <c r="N2333" s="411"/>
      <c r="O2333" s="416">
        <f>O2307</f>
        <v>0</v>
      </c>
      <c r="P2333" s="414">
        <f>O2333</f>
        <v>0</v>
      </c>
      <c r="Q2333" s="407"/>
      <c r="R2333" s="407"/>
      <c r="S2333" s="407"/>
      <c r="T2333" s="471"/>
      <c r="U2333" s="472"/>
    </row>
    <row r="2334" spans="6:21" s="341" customFormat="1" ht="14.25">
      <c r="F2334" s="351"/>
      <c r="G2334" s="353" t="s">
        <v>185</v>
      </c>
      <c r="H2334" s="351"/>
      <c r="I2334" s="409"/>
      <c r="J2334" s="411"/>
      <c r="K2334" s="411"/>
      <c r="L2334" s="411"/>
      <c r="M2334" s="411"/>
      <c r="N2334" s="411"/>
      <c r="O2334" s="414"/>
      <c r="P2334" s="416"/>
      <c r="Q2334" s="407"/>
      <c r="R2334" s="407"/>
      <c r="S2334" s="407"/>
      <c r="T2334" s="471"/>
      <c r="U2334" s="472"/>
    </row>
    <row r="2335" spans="6:21" s="341" customFormat="1" ht="14.25">
      <c r="F2335" s="351"/>
      <c r="G2335" s="353" t="s">
        <v>186</v>
      </c>
      <c r="H2335" s="351"/>
      <c r="I2335" s="409"/>
      <c r="J2335" s="411"/>
      <c r="K2335" s="411"/>
      <c r="L2335" s="411"/>
      <c r="M2335" s="411"/>
      <c r="N2335" s="411"/>
      <c r="O2335" s="411"/>
      <c r="P2335" s="416"/>
      <c r="Q2335" s="410">
        <f>P2335</f>
        <v>0</v>
      </c>
      <c r="R2335" s="407"/>
      <c r="S2335" s="407"/>
      <c r="T2335" s="471"/>
      <c r="U2335" s="472"/>
    </row>
    <row r="2336" spans="6:21" s="341" customFormat="1" ht="14.25">
      <c r="F2336" s="351"/>
      <c r="G2336" s="353" t="s">
        <v>187</v>
      </c>
      <c r="H2336" s="351"/>
      <c r="I2336" s="409"/>
      <c r="J2336" s="411"/>
      <c r="K2336" s="411"/>
      <c r="L2336" s="411"/>
      <c r="M2336" s="411"/>
      <c r="N2336" s="411"/>
      <c r="O2336" s="411"/>
      <c r="P2336" s="414"/>
      <c r="Q2336" s="417"/>
      <c r="R2336" s="407"/>
      <c r="S2336" s="407"/>
      <c r="T2336" s="471"/>
      <c r="U2336" s="472"/>
    </row>
    <row r="2337" spans="2:21" s="341" customFormat="1" ht="14.25">
      <c r="F2337" s="351"/>
      <c r="G2337" s="353" t="s">
        <v>188</v>
      </c>
      <c r="H2337" s="351"/>
      <c r="I2337" s="409"/>
      <c r="J2337" s="411"/>
      <c r="K2337" s="411"/>
      <c r="L2337" s="411"/>
      <c r="M2337" s="411"/>
      <c r="N2337" s="411"/>
      <c r="O2337" s="411"/>
      <c r="P2337" s="411"/>
      <c r="Q2337" s="416"/>
      <c r="R2337" s="418">
        <f>Q2337</f>
        <v>0</v>
      </c>
      <c r="S2337" s="407"/>
      <c r="T2337" s="471"/>
      <c r="U2337" s="472"/>
    </row>
    <row r="2338" spans="2:21" s="341" customFormat="1" ht="14.25">
      <c r="F2338" s="351"/>
      <c r="G2338" s="353" t="s">
        <v>189</v>
      </c>
      <c r="H2338" s="351"/>
      <c r="I2338" s="409"/>
      <c r="J2338" s="411"/>
      <c r="K2338" s="411"/>
      <c r="L2338" s="411"/>
      <c r="M2338" s="411"/>
      <c r="N2338" s="411"/>
      <c r="O2338" s="411"/>
      <c r="P2338" s="411"/>
      <c r="Q2338" s="418">
        <f>R2307</f>
        <v>0</v>
      </c>
      <c r="R2338" s="419">
        <f>Q2338</f>
        <v>0</v>
      </c>
      <c r="S2338" s="407"/>
      <c r="T2338" s="471"/>
      <c r="U2338" s="472"/>
    </row>
    <row r="2339" spans="2:21" s="341" customFormat="1" ht="14.25">
      <c r="F2339" s="351"/>
      <c r="G2339" s="353" t="s">
        <v>190</v>
      </c>
      <c r="H2339" s="351"/>
      <c r="I2339" s="409"/>
      <c r="J2339" s="411"/>
      <c r="K2339" s="411"/>
      <c r="L2339" s="411"/>
      <c r="M2339" s="411"/>
      <c r="N2339" s="411"/>
      <c r="O2339" s="411"/>
      <c r="P2339" s="411"/>
      <c r="Q2339" s="411"/>
      <c r="R2339" s="419"/>
      <c r="S2339" s="418">
        <f>R2339</f>
        <v>0</v>
      </c>
      <c r="T2339" s="471"/>
      <c r="U2339" s="472"/>
    </row>
    <row r="2340" spans="2:21" s="341" customFormat="1" ht="14.25">
      <c r="F2340" s="351"/>
      <c r="G2340" s="353" t="s">
        <v>199</v>
      </c>
      <c r="H2340" s="351"/>
      <c r="I2340" s="409"/>
      <c r="J2340" s="411"/>
      <c r="K2340" s="411"/>
      <c r="L2340" s="411"/>
      <c r="M2340" s="411"/>
      <c r="N2340" s="411"/>
      <c r="O2340" s="411"/>
      <c r="P2340" s="411"/>
      <c r="Q2340" s="411"/>
      <c r="R2340" s="414"/>
      <c r="S2340" s="419">
        <v>0</v>
      </c>
      <c r="T2340" s="471"/>
      <c r="U2340" s="472"/>
    </row>
    <row r="2341" spans="2:21" s="341" customFormat="1" ht="14.25">
      <c r="F2341" s="351"/>
      <c r="G2341" s="353" t="s">
        <v>200</v>
      </c>
      <c r="H2341" s="351"/>
      <c r="I2341" s="409"/>
      <c r="J2341" s="411"/>
      <c r="K2341" s="411"/>
      <c r="L2341" s="411"/>
      <c r="M2341" s="411"/>
      <c r="N2341" s="411"/>
      <c r="O2341" s="411"/>
      <c r="P2341" s="411"/>
      <c r="Q2341" s="411"/>
      <c r="R2341" s="411"/>
      <c r="S2341" s="419">
        <v>0</v>
      </c>
      <c r="T2341" s="418">
        <f>S2341</f>
        <v>0</v>
      </c>
      <c r="U2341" s="472"/>
    </row>
    <row r="2342" spans="2:21" s="341" customFormat="1" ht="14.25">
      <c r="F2342" s="351"/>
      <c r="G2342" s="353" t="s">
        <v>308</v>
      </c>
      <c r="H2342" s="351"/>
      <c r="I2342" s="409"/>
      <c r="J2342" s="411"/>
      <c r="K2342" s="411"/>
      <c r="L2342" s="411"/>
      <c r="M2342" s="411"/>
      <c r="N2342" s="411"/>
      <c r="O2342" s="411"/>
      <c r="P2342" s="411"/>
      <c r="Q2342" s="411"/>
      <c r="R2342" s="411"/>
      <c r="S2342" s="414">
        <f>T2342</f>
        <v>0</v>
      </c>
      <c r="T2342" s="419">
        <v>0</v>
      </c>
      <c r="U2342" s="472"/>
    </row>
    <row r="2343" spans="2:21" s="341" customFormat="1" ht="14.25">
      <c r="F2343" s="351"/>
      <c r="G2343" s="353" t="s">
        <v>307</v>
      </c>
      <c r="H2343" s="351"/>
      <c r="I2343" s="423"/>
      <c r="J2343" s="424"/>
      <c r="K2343" s="424"/>
      <c r="L2343" s="424"/>
      <c r="M2343" s="424"/>
      <c r="N2343" s="424"/>
      <c r="O2343" s="424"/>
      <c r="P2343" s="424"/>
      <c r="Q2343" s="424"/>
      <c r="R2343" s="424"/>
      <c r="S2343" s="424"/>
      <c r="T2343" s="419">
        <v>0</v>
      </c>
      <c r="U2343" s="473">
        <f>T2343</f>
        <v>0</v>
      </c>
    </row>
    <row r="2344" spans="2:21" s="341" customFormat="1" ht="14.25">
      <c r="F2344" s="351"/>
      <c r="G2344" s="353" t="s">
        <v>318</v>
      </c>
      <c r="H2344" s="351"/>
      <c r="I2344" s="423"/>
      <c r="J2344" s="424"/>
      <c r="K2344" s="424"/>
      <c r="L2344" s="424"/>
      <c r="M2344" s="424"/>
      <c r="N2344" s="424"/>
      <c r="O2344" s="424"/>
      <c r="P2344" s="424"/>
      <c r="Q2344" s="424"/>
      <c r="R2344" s="424"/>
      <c r="S2344" s="424"/>
      <c r="T2344" s="414">
        <f>U2344</f>
        <v>0</v>
      </c>
      <c r="U2344" s="474">
        <v>0</v>
      </c>
    </row>
    <row r="2345" spans="2:21" s="341" customFormat="1" ht="14.25">
      <c r="F2345" s="351"/>
      <c r="G2345" s="353" t="s">
        <v>319</v>
      </c>
      <c r="H2345" s="351"/>
      <c r="I2345" s="426"/>
      <c r="J2345" s="427"/>
      <c r="K2345" s="427"/>
      <c r="L2345" s="427"/>
      <c r="M2345" s="427"/>
      <c r="N2345" s="427"/>
      <c r="O2345" s="427"/>
      <c r="P2345" s="427"/>
      <c r="Q2345" s="427"/>
      <c r="R2345" s="427"/>
      <c r="S2345" s="427"/>
      <c r="T2345" s="427"/>
      <c r="U2345" s="475">
        <v>0</v>
      </c>
    </row>
    <row r="2346" spans="2:21" s="341" customFormat="1" ht="14.25">
      <c r="B2346" s="489" t="s">
        <v>227</v>
      </c>
      <c r="F2346" s="351"/>
      <c r="G2346" s="355" t="s">
        <v>17</v>
      </c>
      <c r="H2346" s="351"/>
      <c r="I2346" s="398">
        <f xml:space="preserve"> I2327 - I2326</f>
        <v>0</v>
      </c>
      <c r="J2346" s="398">
        <f xml:space="preserve"> J2326 + J2329 - J2328 - J2327</f>
        <v>0</v>
      </c>
      <c r="K2346" s="398">
        <f>K2328 - K2329</f>
        <v>0</v>
      </c>
      <c r="L2346" s="398">
        <f>L2328 - L2329</f>
        <v>0</v>
      </c>
      <c r="M2346" s="398">
        <f>M2327-M2328-M2329</f>
        <v>0</v>
      </c>
      <c r="N2346" s="398">
        <f>N2329-N2330-N2331</f>
        <v>0</v>
      </c>
      <c r="O2346" s="398">
        <f>O2331-O2332-O2333</f>
        <v>0</v>
      </c>
      <c r="P2346" s="429">
        <f>P2333-P2334-P2335</f>
        <v>0</v>
      </c>
      <c r="Q2346" s="429">
        <f>Q2335+Q2338-Q2337-Q2336</f>
        <v>0</v>
      </c>
      <c r="R2346" s="429">
        <f>R2337-R2338+R2340</f>
        <v>0</v>
      </c>
      <c r="S2346" s="398">
        <f>S2339-S2340+S2341-S2342</f>
        <v>0</v>
      </c>
      <c r="T2346" s="398">
        <f>T2341-T2342-T2343+T2344</f>
        <v>0</v>
      </c>
      <c r="U2346" s="398">
        <f>U2343-U2344-U2345</f>
        <v>0</v>
      </c>
    </row>
    <row r="2347" spans="2:21" s="341" customFormat="1" ht="14.25">
      <c r="F2347" s="351"/>
      <c r="G2347" s="356"/>
      <c r="H2347" s="351"/>
      <c r="I2347" s="429"/>
      <c r="J2347" s="429"/>
      <c r="K2347" s="429"/>
      <c r="L2347" s="429"/>
      <c r="M2347" s="429"/>
      <c r="N2347" s="429"/>
      <c r="O2347" s="429"/>
      <c r="P2347" s="429"/>
      <c r="Q2347" s="429"/>
      <c r="R2347" s="429"/>
      <c r="S2347" s="429"/>
      <c r="T2347" s="429"/>
      <c r="U2347" s="429"/>
    </row>
    <row r="2348" spans="2:21" s="341" customFormat="1" ht="14.25">
      <c r="F2348" s="351"/>
      <c r="G2348" s="355" t="s">
        <v>12</v>
      </c>
      <c r="H2348" s="354"/>
      <c r="I2348" s="431"/>
      <c r="J2348" s="432"/>
      <c r="K2348" s="432"/>
      <c r="L2348" s="432"/>
      <c r="M2348" s="432"/>
      <c r="N2348" s="432"/>
      <c r="O2348" s="432"/>
      <c r="P2348" s="432"/>
      <c r="Q2348" s="432"/>
      <c r="R2348" s="432"/>
      <c r="S2348" s="432"/>
      <c r="T2348" s="432"/>
      <c r="U2348" s="476"/>
    </row>
    <row r="2349" spans="2:21" s="341" customFormat="1" ht="14.25">
      <c r="F2349" s="351"/>
      <c r="G2349" s="356"/>
      <c r="H2349" s="351"/>
      <c r="I2349" s="429"/>
      <c r="J2349" s="429"/>
      <c r="K2349" s="429"/>
      <c r="L2349" s="429"/>
      <c r="M2349" s="429"/>
      <c r="N2349" s="429"/>
      <c r="O2349" s="429"/>
      <c r="P2349" s="429"/>
      <c r="Q2349" s="429"/>
      <c r="R2349" s="429"/>
      <c r="S2349" s="429"/>
      <c r="T2349" s="429"/>
      <c r="U2349" s="429"/>
    </row>
    <row r="2350" spans="2:21" s="341" customFormat="1" ht="18">
      <c r="C2350" s="489" t="s">
        <v>227</v>
      </c>
      <c r="D2350" s="489" t="s">
        <v>247</v>
      </c>
      <c r="E2350" s="489" t="s">
        <v>108</v>
      </c>
      <c r="F2350" s="352" t="s">
        <v>26</v>
      </c>
      <c r="G2350" s="351"/>
      <c r="H2350" s="354"/>
      <c r="I2350" s="433">
        <f t="shared" ref="I2350:T2350" si="1044" xml:space="preserve"> I2307 + I2312 - I2318 + I2346 + I2348</f>
        <v>0</v>
      </c>
      <c r="J2350" s="434">
        <f t="shared" si="1044"/>
        <v>0</v>
      </c>
      <c r="K2350" s="434">
        <f t="shared" si="1044"/>
        <v>0</v>
      </c>
      <c r="L2350" s="434">
        <f t="shared" si="1044"/>
        <v>0</v>
      </c>
      <c r="M2350" s="434">
        <f t="shared" si="1044"/>
        <v>0</v>
      </c>
      <c r="N2350" s="434">
        <f t="shared" si="1044"/>
        <v>0</v>
      </c>
      <c r="O2350" s="434">
        <f t="shared" si="1044"/>
        <v>0</v>
      </c>
      <c r="P2350" s="434">
        <f t="shared" si="1044"/>
        <v>0</v>
      </c>
      <c r="Q2350" s="434">
        <f t="shared" si="1044"/>
        <v>0</v>
      </c>
      <c r="R2350" s="434">
        <f t="shared" si="1044"/>
        <v>0</v>
      </c>
      <c r="S2350" s="434">
        <f t="shared" si="1044"/>
        <v>0</v>
      </c>
      <c r="T2350" s="434">
        <f t="shared" si="1044"/>
        <v>0</v>
      </c>
      <c r="U2350" s="477">
        <f t="shared" ref="U2350" si="1045" xml:space="preserve"> U2307 + U2312 - U2318 + U2346 + U2348</f>
        <v>0</v>
      </c>
    </row>
    <row r="2351" spans="2:21" s="341" customFormat="1" thickBot="1">
      <c r="S2351" s="345"/>
    </row>
    <row r="2352" spans="2:21" s="341" customFormat="1" thickBot="1">
      <c r="F2352" s="437"/>
      <c r="G2352" s="437"/>
      <c r="H2352" s="437"/>
      <c r="I2352" s="437"/>
      <c r="J2352" s="437"/>
      <c r="K2352" s="437"/>
      <c r="L2352" s="437"/>
      <c r="M2352" s="437"/>
      <c r="N2352" s="437"/>
      <c r="O2352" s="437"/>
      <c r="P2352" s="437"/>
      <c r="Q2352" s="437"/>
      <c r="R2352" s="437"/>
      <c r="S2352" s="449"/>
      <c r="T2352" s="437"/>
      <c r="U2352" s="437"/>
    </row>
    <row r="2353" spans="1:21" s="341" customFormat="1" ht="21" thickBot="1">
      <c r="F2353" s="349" t="s">
        <v>4</v>
      </c>
      <c r="G2353" s="349"/>
      <c r="H2353" s="350" t="s">
        <v>262</v>
      </c>
      <c r="I2353" s="439"/>
      <c r="J2353" s="351"/>
      <c r="K2353" s="351"/>
      <c r="L2353" s="351"/>
      <c r="M2353" s="351"/>
      <c r="N2353" s="351"/>
      <c r="O2353" s="351"/>
      <c r="P2353" s="351"/>
      <c r="Q2353" s="351"/>
      <c r="R2353" s="351"/>
      <c r="S2353" s="436"/>
      <c r="T2353" s="351"/>
      <c r="U2353" s="351"/>
    </row>
    <row r="2354" spans="1:21" s="341" customFormat="1" ht="14.25">
      <c r="F2354" s="351"/>
      <c r="G2354" s="351"/>
      <c r="H2354" s="351"/>
      <c r="I2354" s="351"/>
      <c r="J2354" s="351"/>
      <c r="K2354" s="351"/>
      <c r="L2354" s="351"/>
      <c r="M2354" s="351"/>
      <c r="N2354" s="351"/>
      <c r="O2354" s="351"/>
      <c r="P2354" s="351"/>
      <c r="Q2354" s="351"/>
      <c r="R2354" s="351"/>
      <c r="S2354" s="436"/>
      <c r="T2354" s="351"/>
      <c r="U2354" s="351"/>
    </row>
    <row r="2355" spans="1:21" s="341" customFormat="1" ht="18">
      <c r="F2355" s="352" t="s">
        <v>21</v>
      </c>
      <c r="G2355" s="352"/>
      <c r="H2355" s="351"/>
      <c r="I2355" s="360">
        <v>2011</v>
      </c>
      <c r="J2355" s="360">
        <f>I2355+1</f>
        <v>2012</v>
      </c>
      <c r="K2355" s="360">
        <f t="shared" ref="K2355" si="1046">J2355+1</f>
        <v>2013</v>
      </c>
      <c r="L2355" s="360">
        <f t="shared" ref="L2355" si="1047">K2355+1</f>
        <v>2014</v>
      </c>
      <c r="M2355" s="360">
        <f t="shared" ref="M2355" si="1048">L2355+1</f>
        <v>2015</v>
      </c>
      <c r="N2355" s="360">
        <f t="shared" ref="N2355" si="1049">M2355+1</f>
        <v>2016</v>
      </c>
      <c r="O2355" s="360">
        <f t="shared" ref="O2355" si="1050">N2355+1</f>
        <v>2017</v>
      </c>
      <c r="P2355" s="360">
        <f t="shared" ref="P2355" si="1051">O2355+1</f>
        <v>2018</v>
      </c>
      <c r="Q2355" s="360">
        <f t="shared" ref="Q2355" si="1052">P2355+1</f>
        <v>2019</v>
      </c>
      <c r="R2355" s="360">
        <f t="shared" ref="R2355" si="1053">Q2355+1</f>
        <v>2020</v>
      </c>
      <c r="S2355" s="360">
        <f>R2355+1</f>
        <v>2021</v>
      </c>
      <c r="T2355" s="360">
        <f>S2355+1</f>
        <v>2022</v>
      </c>
      <c r="U2355" s="360">
        <f>T2355+1</f>
        <v>2023</v>
      </c>
    </row>
    <row r="2356" spans="1:21" s="341" customFormat="1" ht="14.25">
      <c r="F2356" s="351"/>
      <c r="G2356" s="353" t="str">
        <f>"Total MWh Produced / Purchased from " &amp; H2353</f>
        <v>Total MWh Produced / Purchased from Pioneer Wind Park</v>
      </c>
      <c r="H2356" s="354"/>
      <c r="I2356" s="362"/>
      <c r="J2356" s="363"/>
      <c r="K2356" s="363"/>
      <c r="L2356" s="363"/>
      <c r="M2356" s="363"/>
      <c r="N2356" s="363"/>
      <c r="O2356" s="363"/>
      <c r="P2356" s="363"/>
      <c r="Q2356" s="363"/>
      <c r="R2356" s="363"/>
      <c r="S2356" s="363">
        <v>243192</v>
      </c>
      <c r="T2356" s="363"/>
      <c r="U2356" s="460"/>
    </row>
    <row r="2357" spans="1:21" s="341" customFormat="1" ht="14.25">
      <c r="F2357" s="351"/>
      <c r="G2357" s="353" t="s">
        <v>25</v>
      </c>
      <c r="H2357" s="354"/>
      <c r="I2357" s="365"/>
      <c r="J2357" s="366"/>
      <c r="K2357" s="366"/>
      <c r="L2357" s="366"/>
      <c r="M2357" s="366"/>
      <c r="N2357" s="366"/>
      <c r="O2357" s="366"/>
      <c r="P2357" s="366"/>
      <c r="Q2357" s="366"/>
      <c r="R2357" s="366"/>
      <c r="S2357" s="366">
        <v>1</v>
      </c>
      <c r="T2357" s="366">
        <v>1</v>
      </c>
      <c r="U2357" s="366">
        <v>1</v>
      </c>
    </row>
    <row r="2358" spans="1:21" s="341" customFormat="1" ht="14.25">
      <c r="F2358" s="351"/>
      <c r="G2358" s="353" t="s">
        <v>20</v>
      </c>
      <c r="H2358" s="354"/>
      <c r="I2358" s="368"/>
      <c r="J2358" s="369"/>
      <c r="K2358" s="369"/>
      <c r="L2358" s="369"/>
      <c r="M2358" s="369"/>
      <c r="N2358" s="369"/>
      <c r="O2358" s="369"/>
      <c r="P2358" s="369"/>
      <c r="Q2358" s="369"/>
      <c r="R2358" s="369"/>
      <c r="S2358" s="369">
        <v>0</v>
      </c>
      <c r="T2358" s="369">
        <v>0</v>
      </c>
      <c r="U2358" s="369">
        <v>0</v>
      </c>
    </row>
    <row r="2359" spans="1:21" s="341" customFormat="1" ht="14.25">
      <c r="A2359" s="489" t="s">
        <v>228</v>
      </c>
      <c r="F2359" s="351"/>
      <c r="G2359" s="355" t="s">
        <v>22</v>
      </c>
      <c r="H2359" s="356"/>
      <c r="I2359" s="371">
        <v>0</v>
      </c>
      <c r="J2359" s="371">
        <v>0</v>
      </c>
      <c r="K2359" s="371">
        <v>0</v>
      </c>
      <c r="L2359" s="371">
        <v>0</v>
      </c>
      <c r="M2359" s="371">
        <v>0</v>
      </c>
      <c r="N2359" s="372">
        <v>0</v>
      </c>
      <c r="O2359" s="372">
        <v>0</v>
      </c>
      <c r="P2359" s="372">
        <v>0</v>
      </c>
      <c r="Q2359" s="372">
        <f>Q2356*Q2358</f>
        <v>0</v>
      </c>
      <c r="R2359" s="372">
        <f>R2356*R2358</f>
        <v>0</v>
      </c>
      <c r="S2359" s="372">
        <f>S2356*S2358</f>
        <v>0</v>
      </c>
      <c r="T2359" s="372">
        <f>T2356*T2358</f>
        <v>0</v>
      </c>
      <c r="U2359" s="372">
        <f>U2356*U2358</f>
        <v>0</v>
      </c>
    </row>
    <row r="2360" spans="1:21" s="341" customFormat="1" ht="14.25">
      <c r="F2360" s="351"/>
      <c r="G2360" s="351"/>
      <c r="H2360" s="351"/>
      <c r="I2360" s="374"/>
      <c r="J2360" s="374"/>
      <c r="K2360" s="374"/>
      <c r="L2360" s="374"/>
      <c r="M2360" s="374"/>
      <c r="N2360" s="375"/>
      <c r="O2360" s="375"/>
      <c r="P2360" s="375"/>
      <c r="Q2360" s="375"/>
      <c r="R2360" s="375"/>
      <c r="S2360" s="375"/>
      <c r="T2360" s="375"/>
      <c r="U2360" s="375"/>
    </row>
    <row r="2361" spans="1:21" s="341" customFormat="1" ht="18">
      <c r="F2361" s="352" t="s">
        <v>118</v>
      </c>
      <c r="G2361" s="351"/>
      <c r="H2361" s="351"/>
      <c r="I2361" s="360">
        <v>2011</v>
      </c>
      <c r="J2361" s="360">
        <f>I2361+1</f>
        <v>2012</v>
      </c>
      <c r="K2361" s="360">
        <f t="shared" ref="K2361" si="1054">J2361+1</f>
        <v>2013</v>
      </c>
      <c r="L2361" s="360">
        <f t="shared" ref="L2361" si="1055">K2361+1</f>
        <v>2014</v>
      </c>
      <c r="M2361" s="360">
        <f t="shared" ref="M2361" si="1056">L2361+1</f>
        <v>2015</v>
      </c>
      <c r="N2361" s="360">
        <f t="shared" ref="N2361" si="1057">M2361+1</f>
        <v>2016</v>
      </c>
      <c r="O2361" s="360">
        <f t="shared" ref="O2361" si="1058">N2361+1</f>
        <v>2017</v>
      </c>
      <c r="P2361" s="360">
        <f t="shared" ref="P2361" si="1059">O2361+1</f>
        <v>2018</v>
      </c>
      <c r="Q2361" s="360">
        <f t="shared" ref="Q2361" si="1060">P2361+1</f>
        <v>2019</v>
      </c>
      <c r="R2361" s="360">
        <f t="shared" ref="R2361" si="1061">Q2361+1</f>
        <v>2020</v>
      </c>
      <c r="S2361" s="360">
        <f>R2361+1</f>
        <v>2021</v>
      </c>
      <c r="T2361" s="360">
        <f>S2361+1</f>
        <v>2022</v>
      </c>
      <c r="U2361" s="360">
        <f>T2361+1</f>
        <v>2023</v>
      </c>
    </row>
    <row r="2362" spans="1:21" s="341" customFormat="1" ht="14.25">
      <c r="F2362" s="351"/>
      <c r="G2362" s="353" t="s">
        <v>10</v>
      </c>
      <c r="H2362" s="354"/>
      <c r="I2362" s="377">
        <f>IF($J52= "Eligible", I2359 * 'Facility Detail'!$G$3257, 0 )</f>
        <v>0</v>
      </c>
      <c r="J2362" s="378">
        <f>IF($J52= "Eligible", J2359 * 'Facility Detail'!$G$3257, 0 )</f>
        <v>0</v>
      </c>
      <c r="K2362" s="378">
        <f>IF($J52= "Eligible", K2359 * 'Facility Detail'!$G$3257, 0 )</f>
        <v>0</v>
      </c>
      <c r="L2362" s="378">
        <f>IF($J52= "Eligible", L2359 * 'Facility Detail'!$G$3257, 0 )</f>
        <v>0</v>
      </c>
      <c r="M2362" s="378">
        <f>IF($J52= "Eligible", M2359 * 'Facility Detail'!$G$3257, 0 )</f>
        <v>0</v>
      </c>
      <c r="N2362" s="378">
        <f>IF($J52= "Eligible", N2359 * 'Facility Detail'!$G$3257, 0 )</f>
        <v>0</v>
      </c>
      <c r="O2362" s="378">
        <f>IF($J52= "Eligible", O2359 * 'Facility Detail'!$G$3257, 0 )</f>
        <v>0</v>
      </c>
      <c r="P2362" s="378">
        <f>IF($J52= "Eligible", P2359 * 'Facility Detail'!$G$3257, 0 )</f>
        <v>0</v>
      </c>
      <c r="Q2362" s="378">
        <f>IF($J52= "Eligible", Q2359 * 'Facility Detail'!$G$3257, 0 )</f>
        <v>0</v>
      </c>
      <c r="R2362" s="378">
        <f>IF($J52= "Eligible", R2359 * 'Facility Detail'!$G$3257, 0 )</f>
        <v>0</v>
      </c>
      <c r="S2362" s="378">
        <f>IF($J52= "Eligible", S2359 * 'Facility Detail'!$G$3257, 0 )</f>
        <v>0</v>
      </c>
      <c r="T2362" s="378">
        <f>IF($J52= "Eligible", T2359 * 'Facility Detail'!$G$3257, 0 )</f>
        <v>0</v>
      </c>
      <c r="U2362" s="462">
        <f>IF($J52= "Eligible", U2359 * 'Facility Detail'!$G$3257, 0 )</f>
        <v>0</v>
      </c>
    </row>
    <row r="2363" spans="1:21" s="341" customFormat="1" ht="14.25">
      <c r="F2363" s="351"/>
      <c r="G2363" s="353" t="s">
        <v>6</v>
      </c>
      <c r="H2363" s="354"/>
      <c r="I2363" s="380">
        <f t="shared" ref="I2363:U2363" si="1062">IF($K52= "Eligible", I2359, 0 )</f>
        <v>0</v>
      </c>
      <c r="J2363" s="381">
        <f t="shared" si="1062"/>
        <v>0</v>
      </c>
      <c r="K2363" s="381">
        <f t="shared" si="1062"/>
        <v>0</v>
      </c>
      <c r="L2363" s="381">
        <f t="shared" si="1062"/>
        <v>0</v>
      </c>
      <c r="M2363" s="381">
        <f t="shared" si="1062"/>
        <v>0</v>
      </c>
      <c r="N2363" s="381">
        <f t="shared" si="1062"/>
        <v>0</v>
      </c>
      <c r="O2363" s="381">
        <f t="shared" si="1062"/>
        <v>0</v>
      </c>
      <c r="P2363" s="381">
        <f t="shared" si="1062"/>
        <v>0</v>
      </c>
      <c r="Q2363" s="381">
        <f t="shared" si="1062"/>
        <v>0</v>
      </c>
      <c r="R2363" s="381">
        <f t="shared" si="1062"/>
        <v>0</v>
      </c>
      <c r="S2363" s="381">
        <f t="shared" si="1062"/>
        <v>0</v>
      </c>
      <c r="T2363" s="381">
        <f t="shared" si="1062"/>
        <v>0</v>
      </c>
      <c r="U2363" s="463">
        <f t="shared" si="1062"/>
        <v>0</v>
      </c>
    </row>
    <row r="2364" spans="1:21" s="341" customFormat="1" ht="14.25">
      <c r="F2364" s="351"/>
      <c r="G2364" s="355" t="s">
        <v>120</v>
      </c>
      <c r="H2364" s="356"/>
      <c r="I2364" s="383">
        <f>SUM(I2362:I2363)</f>
        <v>0</v>
      </c>
      <c r="J2364" s="384">
        <f t="shared" ref="J2364:S2364" si="1063">SUM(J2362:J2363)</f>
        <v>0</v>
      </c>
      <c r="K2364" s="384">
        <f t="shared" si="1063"/>
        <v>0</v>
      </c>
      <c r="L2364" s="384">
        <f t="shared" si="1063"/>
        <v>0</v>
      </c>
      <c r="M2364" s="384">
        <f t="shared" si="1063"/>
        <v>0</v>
      </c>
      <c r="N2364" s="384">
        <f t="shared" si="1063"/>
        <v>0</v>
      </c>
      <c r="O2364" s="384">
        <f t="shared" si="1063"/>
        <v>0</v>
      </c>
      <c r="P2364" s="384">
        <f t="shared" si="1063"/>
        <v>0</v>
      </c>
      <c r="Q2364" s="384">
        <f t="shared" si="1063"/>
        <v>0</v>
      </c>
      <c r="R2364" s="384">
        <f t="shared" si="1063"/>
        <v>0</v>
      </c>
      <c r="S2364" s="384">
        <f t="shared" si="1063"/>
        <v>0</v>
      </c>
      <c r="T2364" s="384">
        <f t="shared" ref="T2364:U2364" si="1064">SUM(T2362:T2363)</f>
        <v>0</v>
      </c>
      <c r="U2364" s="384">
        <f t="shared" si="1064"/>
        <v>0</v>
      </c>
    </row>
    <row r="2365" spans="1:21" s="341" customFormat="1" ht="14.25">
      <c r="F2365" s="351"/>
      <c r="G2365" s="351"/>
      <c r="H2365" s="351"/>
      <c r="I2365" s="386"/>
      <c r="J2365" s="387"/>
      <c r="K2365" s="387"/>
      <c r="L2365" s="387"/>
      <c r="M2365" s="387"/>
      <c r="N2365" s="387"/>
      <c r="O2365" s="387"/>
      <c r="P2365" s="387"/>
      <c r="Q2365" s="387"/>
      <c r="R2365" s="387"/>
      <c r="S2365" s="387"/>
      <c r="T2365" s="387"/>
      <c r="U2365" s="387"/>
    </row>
    <row r="2366" spans="1:21" s="341" customFormat="1" ht="18">
      <c r="F2366" s="352" t="s">
        <v>30</v>
      </c>
      <c r="G2366" s="351"/>
      <c r="H2366" s="351"/>
      <c r="I2366" s="360">
        <v>2011</v>
      </c>
      <c r="J2366" s="360">
        <f>I2366+1</f>
        <v>2012</v>
      </c>
      <c r="K2366" s="360">
        <f t="shared" ref="K2366" si="1065">J2366+1</f>
        <v>2013</v>
      </c>
      <c r="L2366" s="360">
        <f t="shared" ref="L2366" si="1066">K2366+1</f>
        <v>2014</v>
      </c>
      <c r="M2366" s="360">
        <f t="shared" ref="M2366" si="1067">L2366+1</f>
        <v>2015</v>
      </c>
      <c r="N2366" s="360">
        <f t="shared" ref="N2366" si="1068">M2366+1</f>
        <v>2016</v>
      </c>
      <c r="O2366" s="360">
        <f t="shared" ref="O2366" si="1069">N2366+1</f>
        <v>2017</v>
      </c>
      <c r="P2366" s="360">
        <f t="shared" ref="P2366" si="1070">O2366+1</f>
        <v>2018</v>
      </c>
      <c r="Q2366" s="360">
        <f t="shared" ref="Q2366" si="1071">P2366+1</f>
        <v>2019</v>
      </c>
      <c r="R2366" s="360">
        <f t="shared" ref="R2366" si="1072">Q2366+1</f>
        <v>2020</v>
      </c>
      <c r="S2366" s="360">
        <f>R2366+1</f>
        <v>2021</v>
      </c>
      <c r="T2366" s="360">
        <f>S2366+1</f>
        <v>2022</v>
      </c>
      <c r="U2366" s="360">
        <f>T2366+1</f>
        <v>2023</v>
      </c>
    </row>
    <row r="2367" spans="1:21" s="341" customFormat="1" ht="14.25">
      <c r="F2367" s="351"/>
      <c r="G2367" s="353" t="s">
        <v>47</v>
      </c>
      <c r="H2367" s="354"/>
      <c r="I2367" s="389"/>
      <c r="J2367" s="390"/>
      <c r="K2367" s="390"/>
      <c r="L2367" s="390"/>
      <c r="M2367" s="390"/>
      <c r="N2367" s="390"/>
      <c r="O2367" s="390"/>
      <c r="P2367" s="390"/>
      <c r="Q2367" s="390"/>
      <c r="R2367" s="390"/>
      <c r="S2367" s="390"/>
      <c r="T2367" s="390"/>
      <c r="U2367" s="464"/>
    </row>
    <row r="2368" spans="1:21" s="341" customFormat="1" ht="14.25">
      <c r="F2368" s="351"/>
      <c r="G2368" s="357" t="s">
        <v>23</v>
      </c>
      <c r="H2368" s="358"/>
      <c r="I2368" s="392"/>
      <c r="J2368" s="393"/>
      <c r="K2368" s="393"/>
      <c r="L2368" s="393"/>
      <c r="M2368" s="393"/>
      <c r="N2368" s="393"/>
      <c r="O2368" s="393"/>
      <c r="P2368" s="393"/>
      <c r="Q2368" s="393"/>
      <c r="R2368" s="393"/>
      <c r="S2368" s="393"/>
      <c r="T2368" s="393"/>
      <c r="U2368" s="465"/>
    </row>
    <row r="2369" spans="6:21" s="341" customFormat="1" ht="14.25">
      <c r="F2369" s="351"/>
      <c r="G2369" s="357" t="s">
        <v>89</v>
      </c>
      <c r="H2369" s="359"/>
      <c r="I2369" s="395"/>
      <c r="J2369" s="396"/>
      <c r="K2369" s="396"/>
      <c r="L2369" s="396"/>
      <c r="M2369" s="396"/>
      <c r="N2369" s="396"/>
      <c r="O2369" s="396"/>
      <c r="P2369" s="396"/>
      <c r="Q2369" s="396"/>
      <c r="R2369" s="396"/>
      <c r="S2369" s="396"/>
      <c r="T2369" s="396"/>
      <c r="U2369" s="466"/>
    </row>
    <row r="2370" spans="6:21" s="341" customFormat="1" ht="14.25">
      <c r="F2370" s="351"/>
      <c r="G2370" s="355" t="s">
        <v>90</v>
      </c>
      <c r="H2370" s="351"/>
      <c r="I2370" s="398">
        <v>0</v>
      </c>
      <c r="J2370" s="398">
        <v>0</v>
      </c>
      <c r="K2370" s="398">
        <v>0</v>
      </c>
      <c r="L2370" s="398">
        <v>0</v>
      </c>
      <c r="M2370" s="398">
        <v>0</v>
      </c>
      <c r="N2370" s="398">
        <v>0</v>
      </c>
      <c r="O2370" s="398">
        <v>0</v>
      </c>
      <c r="P2370" s="398">
        <v>0</v>
      </c>
      <c r="Q2370" s="398">
        <v>0</v>
      </c>
      <c r="R2370" s="398">
        <v>0</v>
      </c>
      <c r="S2370" s="398">
        <v>0</v>
      </c>
      <c r="T2370" s="398">
        <v>0</v>
      </c>
      <c r="U2370" s="398">
        <v>0</v>
      </c>
    </row>
    <row r="2371" spans="6:21" s="341" customFormat="1" ht="14.25">
      <c r="F2371" s="351"/>
      <c r="G2371" s="356"/>
      <c r="H2371" s="351"/>
      <c r="I2371" s="398"/>
      <c r="J2371" s="398"/>
      <c r="K2371" s="398"/>
      <c r="L2371" s="400"/>
      <c r="M2371" s="400"/>
      <c r="N2371" s="400"/>
      <c r="O2371" s="400"/>
      <c r="P2371" s="400"/>
      <c r="Q2371" s="400"/>
      <c r="R2371" s="400"/>
      <c r="S2371" s="400"/>
      <c r="T2371" s="400"/>
      <c r="U2371" s="400"/>
    </row>
    <row r="2372" spans="6:21" s="341" customFormat="1" ht="18">
      <c r="F2372" s="352" t="s">
        <v>100</v>
      </c>
      <c r="G2372" s="351"/>
      <c r="H2372" s="351"/>
      <c r="I2372" s="360">
        <f>'Facility Detail'!$G$3260</f>
        <v>2011</v>
      </c>
      <c r="J2372" s="360">
        <f>I2372+1</f>
        <v>2012</v>
      </c>
      <c r="K2372" s="360">
        <f t="shared" ref="K2372" si="1073">J2372+1</f>
        <v>2013</v>
      </c>
      <c r="L2372" s="360">
        <f t="shared" ref="L2372" si="1074">K2372+1</f>
        <v>2014</v>
      </c>
      <c r="M2372" s="360">
        <f t="shared" ref="M2372" si="1075">L2372+1</f>
        <v>2015</v>
      </c>
      <c r="N2372" s="360">
        <f t="shared" ref="N2372" si="1076">M2372+1</f>
        <v>2016</v>
      </c>
      <c r="O2372" s="360">
        <f t="shared" ref="O2372" si="1077">N2372+1</f>
        <v>2017</v>
      </c>
      <c r="P2372" s="360">
        <f t="shared" ref="P2372" si="1078">O2372+1</f>
        <v>2018</v>
      </c>
      <c r="Q2372" s="360">
        <f t="shared" ref="Q2372" si="1079">P2372+1</f>
        <v>2019</v>
      </c>
      <c r="R2372" s="360">
        <f t="shared" ref="R2372" si="1080">Q2372+1</f>
        <v>2020</v>
      </c>
      <c r="S2372" s="360">
        <f>R2372+1</f>
        <v>2021</v>
      </c>
      <c r="T2372" s="360">
        <f>S2372+1</f>
        <v>2022</v>
      </c>
      <c r="U2372" s="360">
        <f>T2372+1</f>
        <v>2023</v>
      </c>
    </row>
    <row r="2373" spans="6:21" s="341" customFormat="1" ht="14.25">
      <c r="F2373" s="351"/>
      <c r="G2373" s="353" t="s">
        <v>68</v>
      </c>
      <c r="H2373" s="354"/>
      <c r="I2373" s="362"/>
      <c r="J2373" s="402">
        <f>I2373</f>
        <v>0</v>
      </c>
      <c r="K2373" s="403"/>
      <c r="L2373" s="403"/>
      <c r="M2373" s="403"/>
      <c r="N2373" s="403"/>
      <c r="O2373" s="403"/>
      <c r="P2373" s="403"/>
      <c r="Q2373" s="403"/>
      <c r="R2373" s="403"/>
      <c r="S2373" s="404"/>
      <c r="T2373" s="467"/>
      <c r="U2373" s="468"/>
    </row>
    <row r="2374" spans="6:21" s="341" customFormat="1" ht="14.25">
      <c r="F2374" s="351"/>
      <c r="G2374" s="353" t="s">
        <v>69</v>
      </c>
      <c r="H2374" s="354"/>
      <c r="I2374" s="405">
        <f>J2374</f>
        <v>0</v>
      </c>
      <c r="J2374" s="406"/>
      <c r="K2374" s="407"/>
      <c r="L2374" s="407"/>
      <c r="M2374" s="407"/>
      <c r="N2374" s="407"/>
      <c r="O2374" s="407"/>
      <c r="P2374" s="407"/>
      <c r="Q2374" s="407"/>
      <c r="R2374" s="407"/>
      <c r="S2374" s="408"/>
      <c r="T2374" s="469"/>
      <c r="U2374" s="470"/>
    </row>
    <row r="2375" spans="6:21" s="341" customFormat="1" ht="14.25">
      <c r="F2375" s="351"/>
      <c r="G2375" s="353" t="s">
        <v>70</v>
      </c>
      <c r="H2375" s="354"/>
      <c r="I2375" s="409"/>
      <c r="J2375" s="406">
        <f>J2359</f>
        <v>0</v>
      </c>
      <c r="K2375" s="410">
        <f>J2375</f>
        <v>0</v>
      </c>
      <c r="L2375" s="407"/>
      <c r="M2375" s="407"/>
      <c r="N2375" s="407"/>
      <c r="O2375" s="407"/>
      <c r="P2375" s="407"/>
      <c r="Q2375" s="407"/>
      <c r="R2375" s="407"/>
      <c r="S2375" s="408"/>
      <c r="T2375" s="469"/>
      <c r="U2375" s="470"/>
    </row>
    <row r="2376" spans="6:21" s="341" customFormat="1" ht="14.25">
      <c r="F2376" s="351"/>
      <c r="G2376" s="353" t="s">
        <v>71</v>
      </c>
      <c r="H2376" s="354"/>
      <c r="I2376" s="409"/>
      <c r="J2376" s="410">
        <f>K2376</f>
        <v>0</v>
      </c>
      <c r="K2376" s="406"/>
      <c r="L2376" s="407"/>
      <c r="M2376" s="407"/>
      <c r="N2376" s="407"/>
      <c r="O2376" s="407"/>
      <c r="P2376" s="407"/>
      <c r="Q2376" s="407"/>
      <c r="R2376" s="407"/>
      <c r="S2376" s="408"/>
      <c r="T2376" s="469"/>
      <c r="U2376" s="470"/>
    </row>
    <row r="2377" spans="6:21" s="341" customFormat="1" ht="14.25">
      <c r="F2377" s="351"/>
      <c r="G2377" s="353" t="s">
        <v>170</v>
      </c>
      <c r="H2377" s="351"/>
      <c r="I2377" s="409"/>
      <c r="J2377" s="411"/>
      <c r="K2377" s="406">
        <f>K2359</f>
        <v>0</v>
      </c>
      <c r="L2377" s="412">
        <f>K2377</f>
        <v>0</v>
      </c>
      <c r="M2377" s="407"/>
      <c r="N2377" s="407"/>
      <c r="O2377" s="407"/>
      <c r="P2377" s="407"/>
      <c r="Q2377" s="407"/>
      <c r="R2377" s="407"/>
      <c r="S2377" s="408"/>
      <c r="T2377" s="471"/>
      <c r="U2377" s="472"/>
    </row>
    <row r="2378" spans="6:21" s="341" customFormat="1" ht="14.25">
      <c r="F2378" s="351"/>
      <c r="G2378" s="353" t="s">
        <v>171</v>
      </c>
      <c r="H2378" s="351"/>
      <c r="I2378" s="409"/>
      <c r="J2378" s="411"/>
      <c r="K2378" s="410">
        <f>L2378</f>
        <v>0</v>
      </c>
      <c r="L2378" s="406"/>
      <c r="M2378" s="407"/>
      <c r="N2378" s="407"/>
      <c r="O2378" s="407"/>
      <c r="P2378" s="407"/>
      <c r="Q2378" s="407"/>
      <c r="R2378" s="407"/>
      <c r="S2378" s="408"/>
      <c r="T2378" s="471"/>
      <c r="U2378" s="472"/>
    </row>
    <row r="2379" spans="6:21" s="341" customFormat="1" ht="14.25">
      <c r="F2379" s="351"/>
      <c r="G2379" s="353" t="s">
        <v>172</v>
      </c>
      <c r="H2379" s="351"/>
      <c r="I2379" s="409"/>
      <c r="J2379" s="411"/>
      <c r="K2379" s="411"/>
      <c r="L2379" s="406">
        <f>L2359</f>
        <v>0</v>
      </c>
      <c r="M2379" s="412">
        <f>L2379</f>
        <v>0</v>
      </c>
      <c r="N2379" s="411"/>
      <c r="O2379" s="407"/>
      <c r="P2379" s="407"/>
      <c r="Q2379" s="407"/>
      <c r="R2379" s="407"/>
      <c r="S2379" s="408"/>
      <c r="T2379" s="471"/>
      <c r="U2379" s="472"/>
    </row>
    <row r="2380" spans="6:21" s="341" customFormat="1" ht="14.25">
      <c r="F2380" s="351"/>
      <c r="G2380" s="353" t="s">
        <v>173</v>
      </c>
      <c r="H2380" s="351"/>
      <c r="I2380" s="409"/>
      <c r="J2380" s="411"/>
      <c r="K2380" s="411"/>
      <c r="L2380" s="410"/>
      <c r="M2380" s="406"/>
      <c r="N2380" s="411"/>
      <c r="O2380" s="407"/>
      <c r="P2380" s="407"/>
      <c r="Q2380" s="407"/>
      <c r="R2380" s="407"/>
      <c r="S2380" s="408"/>
      <c r="T2380" s="471"/>
      <c r="U2380" s="472"/>
    </row>
    <row r="2381" spans="6:21" s="341" customFormat="1" ht="14.25">
      <c r="F2381" s="351"/>
      <c r="G2381" s="353" t="s">
        <v>174</v>
      </c>
      <c r="H2381" s="351"/>
      <c r="I2381" s="409"/>
      <c r="J2381" s="411"/>
      <c r="K2381" s="411"/>
      <c r="L2381" s="411"/>
      <c r="M2381" s="406">
        <v>0</v>
      </c>
      <c r="N2381" s="412">
        <f>M2381</f>
        <v>0</v>
      </c>
      <c r="O2381" s="407"/>
      <c r="P2381" s="407"/>
      <c r="Q2381" s="407"/>
      <c r="R2381" s="407"/>
      <c r="S2381" s="408"/>
      <c r="T2381" s="471"/>
      <c r="U2381" s="472"/>
    </row>
    <row r="2382" spans="6:21" s="341" customFormat="1" ht="14.25">
      <c r="F2382" s="351"/>
      <c r="G2382" s="353" t="s">
        <v>175</v>
      </c>
      <c r="H2382" s="351"/>
      <c r="I2382" s="409"/>
      <c r="J2382" s="411"/>
      <c r="K2382" s="411"/>
      <c r="L2382" s="411"/>
      <c r="M2382" s="410"/>
      <c r="N2382" s="406"/>
      <c r="O2382" s="407"/>
      <c r="P2382" s="407"/>
      <c r="Q2382" s="407"/>
      <c r="R2382" s="407"/>
      <c r="S2382" s="408"/>
      <c r="T2382" s="471"/>
      <c r="U2382" s="472"/>
    </row>
    <row r="2383" spans="6:21" s="341" customFormat="1" ht="14.25">
      <c r="F2383" s="351"/>
      <c r="G2383" s="353" t="s">
        <v>176</v>
      </c>
      <c r="H2383" s="351"/>
      <c r="I2383" s="409"/>
      <c r="J2383" s="411"/>
      <c r="K2383" s="411"/>
      <c r="L2383" s="411"/>
      <c r="M2383" s="411"/>
      <c r="N2383" s="413">
        <f>N2359</f>
        <v>0</v>
      </c>
      <c r="O2383" s="414">
        <f>N2383</f>
        <v>0</v>
      </c>
      <c r="P2383" s="407"/>
      <c r="Q2383" s="407"/>
      <c r="R2383" s="407"/>
      <c r="S2383" s="408"/>
      <c r="T2383" s="471"/>
      <c r="U2383" s="472"/>
    </row>
    <row r="2384" spans="6:21" s="341" customFormat="1" ht="14.25">
      <c r="F2384" s="351"/>
      <c r="G2384" s="353" t="s">
        <v>167</v>
      </c>
      <c r="H2384" s="351"/>
      <c r="I2384" s="409"/>
      <c r="J2384" s="411"/>
      <c r="K2384" s="411"/>
      <c r="L2384" s="411"/>
      <c r="M2384" s="411"/>
      <c r="N2384" s="415"/>
      <c r="O2384" s="416"/>
      <c r="P2384" s="407"/>
      <c r="Q2384" s="407"/>
      <c r="R2384" s="407"/>
      <c r="S2384" s="408"/>
      <c r="T2384" s="471"/>
      <c r="U2384" s="472"/>
    </row>
    <row r="2385" spans="2:21" s="341" customFormat="1" ht="14.25">
      <c r="F2385" s="351"/>
      <c r="G2385" s="353" t="s">
        <v>168</v>
      </c>
      <c r="H2385" s="351"/>
      <c r="I2385" s="409"/>
      <c r="J2385" s="411"/>
      <c r="K2385" s="411"/>
      <c r="L2385" s="411"/>
      <c r="M2385" s="411"/>
      <c r="N2385" s="411"/>
      <c r="O2385" s="416">
        <f>O2359</f>
        <v>0</v>
      </c>
      <c r="P2385" s="414">
        <f>O2385</f>
        <v>0</v>
      </c>
      <c r="Q2385" s="407"/>
      <c r="R2385" s="407"/>
      <c r="S2385" s="408"/>
      <c r="T2385" s="471"/>
      <c r="U2385" s="472"/>
    </row>
    <row r="2386" spans="2:21" s="341" customFormat="1" ht="14.25">
      <c r="F2386" s="351"/>
      <c r="G2386" s="353" t="s">
        <v>185</v>
      </c>
      <c r="H2386" s="351"/>
      <c r="I2386" s="409"/>
      <c r="J2386" s="411"/>
      <c r="K2386" s="411"/>
      <c r="L2386" s="411"/>
      <c r="M2386" s="411"/>
      <c r="N2386" s="411"/>
      <c r="O2386" s="414"/>
      <c r="P2386" s="416"/>
      <c r="Q2386" s="407"/>
      <c r="R2386" s="407"/>
      <c r="S2386" s="408"/>
      <c r="T2386" s="471"/>
      <c r="U2386" s="472"/>
    </row>
    <row r="2387" spans="2:21" s="341" customFormat="1" ht="14.25">
      <c r="F2387" s="351"/>
      <c r="G2387" s="353" t="s">
        <v>186</v>
      </c>
      <c r="H2387" s="351"/>
      <c r="I2387" s="409"/>
      <c r="J2387" s="411"/>
      <c r="K2387" s="411"/>
      <c r="L2387" s="411"/>
      <c r="M2387" s="411"/>
      <c r="N2387" s="411"/>
      <c r="O2387" s="411"/>
      <c r="P2387" s="416"/>
      <c r="Q2387" s="410">
        <f>P2387</f>
        <v>0</v>
      </c>
      <c r="R2387" s="407"/>
      <c r="S2387" s="408"/>
      <c r="T2387" s="471"/>
      <c r="U2387" s="472"/>
    </row>
    <row r="2388" spans="2:21" s="341" customFormat="1" ht="14.25">
      <c r="F2388" s="351"/>
      <c r="G2388" s="353" t="s">
        <v>187</v>
      </c>
      <c r="H2388" s="351"/>
      <c r="I2388" s="409"/>
      <c r="J2388" s="411"/>
      <c r="K2388" s="411"/>
      <c r="L2388" s="411"/>
      <c r="M2388" s="411"/>
      <c r="N2388" s="411"/>
      <c r="O2388" s="411"/>
      <c r="P2388" s="414"/>
      <c r="Q2388" s="417"/>
      <c r="R2388" s="407"/>
      <c r="S2388" s="408"/>
      <c r="T2388" s="471"/>
      <c r="U2388" s="472"/>
    </row>
    <row r="2389" spans="2:21" s="341" customFormat="1" ht="14.25">
      <c r="F2389" s="351"/>
      <c r="G2389" s="353" t="s">
        <v>188</v>
      </c>
      <c r="H2389" s="351"/>
      <c r="I2389" s="409"/>
      <c r="J2389" s="411"/>
      <c r="K2389" s="411"/>
      <c r="L2389" s="411"/>
      <c r="M2389" s="411"/>
      <c r="N2389" s="411"/>
      <c r="O2389" s="411"/>
      <c r="P2389" s="411"/>
      <c r="Q2389" s="416"/>
      <c r="R2389" s="418">
        <f>Q2389</f>
        <v>0</v>
      </c>
      <c r="S2389" s="408"/>
      <c r="T2389" s="471"/>
      <c r="U2389" s="472"/>
    </row>
    <row r="2390" spans="2:21" s="341" customFormat="1" ht="14.25">
      <c r="F2390" s="351"/>
      <c r="G2390" s="353" t="s">
        <v>189</v>
      </c>
      <c r="H2390" s="351"/>
      <c r="I2390" s="409"/>
      <c r="J2390" s="411"/>
      <c r="K2390" s="411"/>
      <c r="L2390" s="411"/>
      <c r="M2390" s="411"/>
      <c r="N2390" s="411"/>
      <c r="O2390" s="411"/>
      <c r="P2390" s="411"/>
      <c r="Q2390" s="418">
        <f>R2359</f>
        <v>0</v>
      </c>
      <c r="R2390" s="419">
        <f>Q2390</f>
        <v>0</v>
      </c>
      <c r="S2390" s="408"/>
      <c r="T2390" s="471"/>
      <c r="U2390" s="472"/>
    </row>
    <row r="2391" spans="2:21" s="341" customFormat="1" ht="14.25">
      <c r="F2391" s="351"/>
      <c r="G2391" s="353" t="s">
        <v>190</v>
      </c>
      <c r="H2391" s="351"/>
      <c r="I2391" s="409"/>
      <c r="J2391" s="411"/>
      <c r="K2391" s="411"/>
      <c r="L2391" s="411"/>
      <c r="M2391" s="411"/>
      <c r="N2391" s="411"/>
      <c r="O2391" s="411"/>
      <c r="P2391" s="411"/>
      <c r="Q2391" s="411"/>
      <c r="R2391" s="419"/>
      <c r="S2391" s="420">
        <f>R2391</f>
        <v>0</v>
      </c>
      <c r="T2391" s="471"/>
      <c r="U2391" s="472"/>
    </row>
    <row r="2392" spans="2:21" s="341" customFormat="1" ht="14.25">
      <c r="F2392" s="351"/>
      <c r="G2392" s="353" t="s">
        <v>199</v>
      </c>
      <c r="H2392" s="351"/>
      <c r="I2392" s="409"/>
      <c r="J2392" s="411"/>
      <c r="K2392" s="411"/>
      <c r="L2392" s="411"/>
      <c r="M2392" s="411"/>
      <c r="N2392" s="411"/>
      <c r="O2392" s="411"/>
      <c r="P2392" s="411"/>
      <c r="Q2392" s="411"/>
      <c r="R2392" s="414"/>
      <c r="S2392" s="421">
        <v>0</v>
      </c>
      <c r="T2392" s="471"/>
      <c r="U2392" s="472"/>
    </row>
    <row r="2393" spans="2:21" s="341" customFormat="1" ht="14.25">
      <c r="F2393" s="351"/>
      <c r="G2393" s="353" t="s">
        <v>200</v>
      </c>
      <c r="H2393" s="351"/>
      <c r="I2393" s="409"/>
      <c r="J2393" s="411"/>
      <c r="K2393" s="411"/>
      <c r="L2393" s="411"/>
      <c r="M2393" s="411"/>
      <c r="N2393" s="411"/>
      <c r="O2393" s="411"/>
      <c r="P2393" s="411"/>
      <c r="Q2393" s="411"/>
      <c r="R2393" s="411"/>
      <c r="S2393" s="421">
        <v>0</v>
      </c>
      <c r="T2393" s="418">
        <f>S2393</f>
        <v>0</v>
      </c>
      <c r="U2393" s="472"/>
    </row>
    <row r="2394" spans="2:21" s="341" customFormat="1" ht="14.25">
      <c r="F2394" s="351"/>
      <c r="G2394" s="353" t="s">
        <v>308</v>
      </c>
      <c r="H2394" s="351"/>
      <c r="I2394" s="409"/>
      <c r="J2394" s="411"/>
      <c r="K2394" s="411"/>
      <c r="L2394" s="411"/>
      <c r="M2394" s="411"/>
      <c r="N2394" s="411"/>
      <c r="O2394" s="411"/>
      <c r="P2394" s="411"/>
      <c r="Q2394" s="411"/>
      <c r="R2394" s="411"/>
      <c r="S2394" s="422">
        <f>T2394</f>
        <v>0</v>
      </c>
      <c r="T2394" s="419">
        <v>0</v>
      </c>
      <c r="U2394" s="472"/>
    </row>
    <row r="2395" spans="2:21" s="341" customFormat="1" ht="14.25">
      <c r="F2395" s="351"/>
      <c r="G2395" s="353" t="s">
        <v>307</v>
      </c>
      <c r="H2395" s="351"/>
      <c r="I2395" s="423"/>
      <c r="J2395" s="424"/>
      <c r="K2395" s="424"/>
      <c r="L2395" s="424"/>
      <c r="M2395" s="424"/>
      <c r="N2395" s="424"/>
      <c r="O2395" s="424"/>
      <c r="P2395" s="424"/>
      <c r="Q2395" s="424"/>
      <c r="R2395" s="424"/>
      <c r="S2395" s="425"/>
      <c r="T2395" s="419">
        <v>0</v>
      </c>
      <c r="U2395" s="473">
        <f>T2395</f>
        <v>0</v>
      </c>
    </row>
    <row r="2396" spans="2:21" s="341" customFormat="1" ht="14.25">
      <c r="F2396" s="351"/>
      <c r="G2396" s="353" t="s">
        <v>318</v>
      </c>
      <c r="H2396" s="351"/>
      <c r="I2396" s="423"/>
      <c r="J2396" s="424"/>
      <c r="K2396" s="424"/>
      <c r="L2396" s="424"/>
      <c r="M2396" s="424"/>
      <c r="N2396" s="424"/>
      <c r="O2396" s="424"/>
      <c r="P2396" s="424"/>
      <c r="Q2396" s="424"/>
      <c r="R2396" s="424"/>
      <c r="S2396" s="425"/>
      <c r="T2396" s="414">
        <f>U2396</f>
        <v>0</v>
      </c>
      <c r="U2396" s="474">
        <v>0</v>
      </c>
    </row>
    <row r="2397" spans="2:21" s="341" customFormat="1" ht="14.25">
      <c r="F2397" s="351"/>
      <c r="G2397" s="353" t="s">
        <v>319</v>
      </c>
      <c r="H2397" s="351"/>
      <c r="I2397" s="426"/>
      <c r="J2397" s="427"/>
      <c r="K2397" s="427"/>
      <c r="L2397" s="427"/>
      <c r="M2397" s="427"/>
      <c r="N2397" s="427"/>
      <c r="O2397" s="427"/>
      <c r="P2397" s="427"/>
      <c r="Q2397" s="427"/>
      <c r="R2397" s="427"/>
      <c r="S2397" s="428"/>
      <c r="T2397" s="427"/>
      <c r="U2397" s="475">
        <v>0</v>
      </c>
    </row>
    <row r="2398" spans="2:21" s="341" customFormat="1" ht="14.25">
      <c r="B2398" s="489" t="s">
        <v>228</v>
      </c>
      <c r="F2398" s="351"/>
      <c r="G2398" s="355" t="s">
        <v>17</v>
      </c>
      <c r="H2398" s="351"/>
      <c r="I2398" s="398">
        <f xml:space="preserve"> I2379 - I2378</f>
        <v>0</v>
      </c>
      <c r="J2398" s="398">
        <f xml:space="preserve"> J2378 + J2381 - J2380 - J2379</f>
        <v>0</v>
      </c>
      <c r="K2398" s="398">
        <f>K2380 - K2381</f>
        <v>0</v>
      </c>
      <c r="L2398" s="398">
        <f>L2380 - L2381</f>
        <v>0</v>
      </c>
      <c r="M2398" s="398">
        <f>M2379-M2380-M2381</f>
        <v>0</v>
      </c>
      <c r="N2398" s="398">
        <f>N2381-N2382-N2383</f>
        <v>0</v>
      </c>
      <c r="O2398" s="398">
        <f>O2383-O2384-O2385</f>
        <v>0</v>
      </c>
      <c r="P2398" s="429">
        <f>P2385-P2386-P2387</f>
        <v>0</v>
      </c>
      <c r="Q2398" s="429">
        <f>Q2387+Q2390-Q2389-Q2388</f>
        <v>0</v>
      </c>
      <c r="R2398" s="429">
        <f>R2389-R2390+R2392</f>
        <v>0</v>
      </c>
      <c r="S2398" s="399">
        <f>S2391-S2392+S2393-S2394</f>
        <v>0</v>
      </c>
      <c r="T2398" s="398">
        <f>T2393-T2394-T2395+T2396</f>
        <v>0</v>
      </c>
      <c r="U2398" s="398">
        <f>U2395-U2396-U2397</f>
        <v>0</v>
      </c>
    </row>
    <row r="2399" spans="2:21" s="341" customFormat="1" ht="14.25">
      <c r="F2399" s="351"/>
      <c r="G2399" s="356"/>
      <c r="H2399" s="351"/>
      <c r="I2399" s="429"/>
      <c r="J2399" s="429"/>
      <c r="K2399" s="429"/>
      <c r="L2399" s="429"/>
      <c r="M2399" s="429"/>
      <c r="N2399" s="429"/>
      <c r="O2399" s="429"/>
      <c r="P2399" s="429"/>
      <c r="Q2399" s="429"/>
      <c r="R2399" s="429"/>
      <c r="S2399" s="430"/>
      <c r="T2399" s="429"/>
      <c r="U2399" s="429"/>
    </row>
    <row r="2400" spans="2:21" s="341" customFormat="1" ht="14.25">
      <c r="F2400" s="351"/>
      <c r="G2400" s="355" t="s">
        <v>12</v>
      </c>
      <c r="H2400" s="354"/>
      <c r="I2400" s="431"/>
      <c r="J2400" s="432"/>
      <c r="K2400" s="432"/>
      <c r="L2400" s="432"/>
      <c r="M2400" s="432"/>
      <c r="N2400" s="432"/>
      <c r="O2400" s="432"/>
      <c r="P2400" s="432"/>
      <c r="Q2400" s="432"/>
      <c r="R2400" s="432"/>
      <c r="S2400" s="432"/>
      <c r="T2400" s="432"/>
      <c r="U2400" s="476"/>
    </row>
    <row r="2401" spans="1:25" s="341" customFormat="1" ht="14.25">
      <c r="F2401" s="351"/>
      <c r="G2401" s="356"/>
      <c r="H2401" s="351"/>
      <c r="I2401" s="429"/>
      <c r="J2401" s="429"/>
      <c r="K2401" s="429"/>
      <c r="L2401" s="429"/>
      <c r="M2401" s="429"/>
      <c r="N2401" s="429"/>
      <c r="O2401" s="429"/>
      <c r="P2401" s="429"/>
      <c r="Q2401" s="429"/>
      <c r="R2401" s="429"/>
      <c r="S2401" s="429"/>
      <c r="T2401" s="429"/>
      <c r="U2401" s="429"/>
    </row>
    <row r="2402" spans="1:25" s="341" customFormat="1" ht="18">
      <c r="C2402" s="489" t="s">
        <v>228</v>
      </c>
      <c r="D2402" s="489" t="s">
        <v>248</v>
      </c>
      <c r="E2402" s="489" t="s">
        <v>107</v>
      </c>
      <c r="F2402" s="352" t="s">
        <v>26</v>
      </c>
      <c r="G2402" s="351"/>
      <c r="H2402" s="354"/>
      <c r="I2402" s="433">
        <f t="shared" ref="I2402:S2402" si="1081" xml:space="preserve"> I2359 + I2364 - I2370 + I2398 + I2400</f>
        <v>0</v>
      </c>
      <c r="J2402" s="434">
        <f t="shared" si="1081"/>
        <v>0</v>
      </c>
      <c r="K2402" s="434">
        <f t="shared" si="1081"/>
        <v>0</v>
      </c>
      <c r="L2402" s="434">
        <f t="shared" si="1081"/>
        <v>0</v>
      </c>
      <c r="M2402" s="434">
        <f t="shared" si="1081"/>
        <v>0</v>
      </c>
      <c r="N2402" s="434">
        <f t="shared" si="1081"/>
        <v>0</v>
      </c>
      <c r="O2402" s="434">
        <f t="shared" si="1081"/>
        <v>0</v>
      </c>
      <c r="P2402" s="434">
        <f t="shared" si="1081"/>
        <v>0</v>
      </c>
      <c r="Q2402" s="434">
        <f t="shared" si="1081"/>
        <v>0</v>
      </c>
      <c r="R2402" s="434">
        <f t="shared" si="1081"/>
        <v>0</v>
      </c>
      <c r="S2402" s="435">
        <f t="shared" si="1081"/>
        <v>0</v>
      </c>
      <c r="T2402" s="434">
        <f t="shared" ref="T2402:U2402" si="1082" xml:space="preserve"> T2359 + T2364 - T2370 + T2398 + T2400</f>
        <v>0</v>
      </c>
      <c r="U2402" s="477">
        <f t="shared" si="1082"/>
        <v>0</v>
      </c>
    </row>
    <row r="2403" spans="1:25" s="341" customFormat="1" thickBot="1">
      <c r="F2403" s="351"/>
      <c r="G2403" s="351"/>
      <c r="H2403" s="351"/>
      <c r="I2403" s="351"/>
      <c r="J2403" s="351"/>
      <c r="K2403" s="351"/>
      <c r="L2403" s="351"/>
      <c r="M2403" s="351"/>
      <c r="N2403" s="351"/>
      <c r="O2403" s="351"/>
      <c r="P2403" s="351"/>
      <c r="Q2403" s="351"/>
      <c r="R2403" s="351"/>
      <c r="S2403" s="436"/>
      <c r="T2403" s="351"/>
      <c r="U2403" s="351"/>
    </row>
    <row r="2404" spans="1:25">
      <c r="F2404" s="8"/>
      <c r="G2404" s="8"/>
      <c r="H2404" s="8"/>
      <c r="I2404" s="8"/>
      <c r="J2404" s="8"/>
      <c r="K2404" s="8"/>
      <c r="L2404" s="8"/>
      <c r="M2404" s="8"/>
      <c r="N2404" s="8"/>
      <c r="O2404" s="8"/>
      <c r="P2404" s="8"/>
      <c r="Q2404" s="8"/>
      <c r="R2404" s="8"/>
      <c r="S2404" s="290"/>
      <c r="T2404" s="8"/>
      <c r="U2404" s="8"/>
      <c r="W2404" s="1"/>
      <c r="X2404" s="1"/>
      <c r="Y2404" s="1"/>
    </row>
    <row r="2405" spans="1:25" ht="15.75" thickBot="1">
      <c r="W2405" s="1"/>
      <c r="X2405" s="1"/>
      <c r="Y2405" s="1"/>
    </row>
    <row r="2406" spans="1:25" ht="21.75" thickBot="1">
      <c r="F2406" s="13" t="s">
        <v>4</v>
      </c>
      <c r="G2406" s="13"/>
      <c r="H2406" s="185" t="s">
        <v>138</v>
      </c>
      <c r="I2406" s="186"/>
      <c r="J2406" s="174"/>
      <c r="W2406" s="1"/>
      <c r="X2406" s="1"/>
      <c r="Y2406" s="1"/>
    </row>
    <row r="2407" spans="1:25">
      <c r="W2407" s="1"/>
      <c r="X2407" s="1"/>
      <c r="Y2407" s="1"/>
    </row>
    <row r="2408" spans="1:25" ht="18.75">
      <c r="F2408" s="9" t="s">
        <v>21</v>
      </c>
      <c r="G2408" s="9"/>
      <c r="I2408" s="2">
        <f>'Facility Detail'!$G$3260</f>
        <v>2011</v>
      </c>
      <c r="J2408" s="2">
        <f t="shared" ref="J2408:O2408" si="1083">I2408+1</f>
        <v>2012</v>
      </c>
      <c r="K2408" s="2">
        <f t="shared" si="1083"/>
        <v>2013</v>
      </c>
      <c r="L2408" s="2">
        <f t="shared" si="1083"/>
        <v>2014</v>
      </c>
      <c r="M2408" s="2">
        <f t="shared" si="1083"/>
        <v>2015</v>
      </c>
      <c r="N2408" s="2">
        <f t="shared" si="1083"/>
        <v>2016</v>
      </c>
      <c r="O2408" s="2">
        <f t="shared" si="1083"/>
        <v>2017</v>
      </c>
      <c r="P2408" s="2">
        <f t="shared" ref="P2408" si="1084">O2408+1</f>
        <v>2018</v>
      </c>
      <c r="Q2408" s="2">
        <f t="shared" ref="Q2408" si="1085">P2408+1</f>
        <v>2019</v>
      </c>
      <c r="R2408" s="2">
        <f t="shared" ref="R2408" si="1086">Q2408+1</f>
        <v>2020</v>
      </c>
      <c r="S2408" s="2">
        <f>R2408+1</f>
        <v>2021</v>
      </c>
      <c r="T2408" s="2">
        <f>S2408+1</f>
        <v>2022</v>
      </c>
      <c r="U2408" s="2">
        <f>T2408+1</f>
        <v>2023</v>
      </c>
      <c r="W2408" s="1"/>
      <c r="X2408" s="1"/>
      <c r="Y2408" s="1"/>
    </row>
    <row r="2409" spans="1:25">
      <c r="G2409" s="62" t="str">
        <f>"Total MWh Produced / Purchased from " &amp; H2406</f>
        <v>Total MWh Produced / Purchased from Prospect 2 (Upgrade 1999)</v>
      </c>
      <c r="H2409" s="57"/>
      <c r="I2409" s="3"/>
      <c r="J2409" s="4">
        <v>4118.213099999999</v>
      </c>
      <c r="K2409" s="4">
        <v>3721.9047</v>
      </c>
      <c r="L2409" s="4">
        <v>3469</v>
      </c>
      <c r="M2409" s="4">
        <v>2802</v>
      </c>
      <c r="N2409" s="4">
        <v>4030.1855999999998</v>
      </c>
      <c r="O2409" s="4">
        <v>4305</v>
      </c>
      <c r="P2409" s="4">
        <v>3347</v>
      </c>
      <c r="Q2409" s="4">
        <v>3213</v>
      </c>
      <c r="R2409" s="4">
        <v>2946</v>
      </c>
      <c r="S2409" s="4">
        <v>2573</v>
      </c>
      <c r="T2409" s="4">
        <v>2714</v>
      </c>
      <c r="U2409" s="5">
        <v>1592</v>
      </c>
      <c r="W2409" s="1"/>
      <c r="X2409" s="1"/>
      <c r="Y2409" s="1"/>
    </row>
    <row r="2410" spans="1:25">
      <c r="G2410" s="62" t="s">
        <v>25</v>
      </c>
      <c r="H2410" s="57"/>
      <c r="I2410" s="269"/>
      <c r="J2410" s="41">
        <v>1</v>
      </c>
      <c r="K2410" s="41">
        <v>1</v>
      </c>
      <c r="L2410" s="41">
        <v>1</v>
      </c>
      <c r="M2410" s="41">
        <v>1</v>
      </c>
      <c r="N2410" s="41">
        <v>1</v>
      </c>
      <c r="O2410" s="41">
        <v>1</v>
      </c>
      <c r="P2410" s="41">
        <v>1</v>
      </c>
      <c r="Q2410" s="41">
        <v>1</v>
      </c>
      <c r="R2410" s="41">
        <v>1</v>
      </c>
      <c r="S2410" s="41">
        <v>1</v>
      </c>
      <c r="T2410" s="41">
        <v>1</v>
      </c>
      <c r="U2410" s="42">
        <v>1</v>
      </c>
      <c r="W2410" s="1"/>
      <c r="X2410" s="1"/>
      <c r="Y2410" s="1"/>
    </row>
    <row r="2411" spans="1:25">
      <c r="G2411" s="62" t="s">
        <v>20</v>
      </c>
      <c r="H2411" s="57"/>
      <c r="I2411" s="270"/>
      <c r="J2411" s="36">
        <v>7.9619999999999996E-2</v>
      </c>
      <c r="K2411" s="36">
        <v>7.8747999999999999E-2</v>
      </c>
      <c r="L2411" s="36">
        <v>8.0235000000000001E-2</v>
      </c>
      <c r="M2411" s="36">
        <v>8.0535999999999996E-2</v>
      </c>
      <c r="N2411" s="36">
        <v>8.1698151927344531E-2</v>
      </c>
      <c r="O2411" s="36">
        <v>8.0833713568703974E-2</v>
      </c>
      <c r="P2411" s="36">
        <v>7.9451999999999995E-2</v>
      </c>
      <c r="Q2411" s="36">
        <v>7.6724662968274293E-2</v>
      </c>
      <c r="R2411" s="36">
        <f>R1878</f>
        <v>8.1268700519883177E-2</v>
      </c>
      <c r="S2411" s="36">
        <f>S2</f>
        <v>7.9696892166366717E-2</v>
      </c>
      <c r="T2411" s="36">
        <f>T2</f>
        <v>7.8737918965874246E-2</v>
      </c>
      <c r="U2411" s="36">
        <f>U2</f>
        <v>7.8407467372863096E-2</v>
      </c>
      <c r="W2411" s="1"/>
      <c r="X2411" s="1"/>
      <c r="Y2411" s="1"/>
    </row>
    <row r="2412" spans="1:25">
      <c r="A2412" s="1" t="s">
        <v>229</v>
      </c>
      <c r="G2412" s="26" t="s">
        <v>22</v>
      </c>
      <c r="H2412" s="6"/>
      <c r="I2412" s="30">
        <v>0</v>
      </c>
      <c r="J2412" s="30">
        <v>328</v>
      </c>
      <c r="K2412" s="30">
        <v>293</v>
      </c>
      <c r="L2412" s="30">
        <v>278</v>
      </c>
      <c r="M2412" s="30">
        <v>226</v>
      </c>
      <c r="N2412" s="161">
        <v>329</v>
      </c>
      <c r="O2412" s="161">
        <v>346</v>
      </c>
      <c r="P2412" s="161">
        <v>266</v>
      </c>
      <c r="Q2412" s="161">
        <f>Q2409*Q2411</f>
        <v>246.51634211706531</v>
      </c>
      <c r="R2412" s="161">
        <f t="shared" ref="R2412:S2412" si="1087" xml:space="preserve"> ROUND(R2409 * R2410 * R2411,0)</f>
        <v>239</v>
      </c>
      <c r="S2412" s="161">
        <f t="shared" si="1087"/>
        <v>205</v>
      </c>
      <c r="T2412" s="161">
        <f t="shared" ref="T2412:U2412" si="1088" xml:space="preserve"> ROUND(T2409 * T2410 * T2411,0)</f>
        <v>214</v>
      </c>
      <c r="U2412" s="161">
        <f t="shared" si="1088"/>
        <v>125</v>
      </c>
      <c r="W2412" s="1"/>
      <c r="X2412" s="1"/>
      <c r="Y2412" s="1"/>
    </row>
    <row r="2413" spans="1:25">
      <c r="I2413" s="29"/>
      <c r="J2413" s="29"/>
      <c r="K2413" s="29"/>
      <c r="L2413" s="29"/>
      <c r="M2413" s="29"/>
      <c r="N2413" s="20"/>
      <c r="O2413" s="20"/>
      <c r="P2413" s="20"/>
      <c r="Q2413" s="20"/>
      <c r="R2413" s="20"/>
      <c r="S2413" s="292"/>
      <c r="T2413" s="20"/>
      <c r="U2413" s="20"/>
      <c r="W2413" s="1"/>
      <c r="X2413" s="1"/>
      <c r="Y2413" s="1"/>
    </row>
    <row r="2414" spans="1:25" ht="18.75">
      <c r="F2414" s="9" t="s">
        <v>118</v>
      </c>
      <c r="I2414" s="2">
        <f>'Facility Detail'!$G$3260</f>
        <v>2011</v>
      </c>
      <c r="J2414" s="2">
        <f>I2414+1</f>
        <v>2012</v>
      </c>
      <c r="K2414" s="2">
        <f>J2414+1</f>
        <v>2013</v>
      </c>
      <c r="L2414" s="2">
        <f>L2408</f>
        <v>2014</v>
      </c>
      <c r="M2414" s="2">
        <f>M2408</f>
        <v>2015</v>
      </c>
      <c r="N2414" s="2">
        <f>N2408</f>
        <v>2016</v>
      </c>
      <c r="O2414" s="2">
        <f>O2408</f>
        <v>2017</v>
      </c>
      <c r="P2414" s="2">
        <f t="shared" ref="P2414:Q2414" si="1089">P2408</f>
        <v>2018</v>
      </c>
      <c r="Q2414" s="2">
        <f t="shared" si="1089"/>
        <v>2019</v>
      </c>
      <c r="R2414" s="2">
        <f t="shared" ref="R2414:S2414" si="1090">R2408</f>
        <v>2020</v>
      </c>
      <c r="S2414" s="2">
        <f t="shared" si="1090"/>
        <v>2021</v>
      </c>
      <c r="T2414" s="2">
        <f t="shared" ref="T2414:U2414" si="1091">T2408</f>
        <v>2022</v>
      </c>
      <c r="U2414" s="2">
        <f t="shared" si="1091"/>
        <v>2023</v>
      </c>
      <c r="W2414" s="1"/>
      <c r="X2414" s="1"/>
      <c r="Y2414" s="1"/>
    </row>
    <row r="2415" spans="1:25">
      <c r="G2415" s="62" t="s">
        <v>10</v>
      </c>
      <c r="H2415" s="57"/>
      <c r="I2415" s="38">
        <f>IF($J53= "Eligible", I2412 * 'Facility Detail'!$G$3257, 0 )</f>
        <v>0</v>
      </c>
      <c r="J2415" s="11">
        <f>IF($J53= "Eligible", J2412 * 'Facility Detail'!$G$3257, 0 )</f>
        <v>0</v>
      </c>
      <c r="K2415" s="11">
        <f>IF($J53= "Eligible", K2412 * 'Facility Detail'!$G$3257, 0 )</f>
        <v>0</v>
      </c>
      <c r="L2415" s="11">
        <f>IF($J53= "Eligible", L2412 * 'Facility Detail'!$G$3257, 0 )</f>
        <v>0</v>
      </c>
      <c r="M2415" s="11">
        <f>IF($J53= "Eligible", M2412 * 'Facility Detail'!$G$3257, 0 )</f>
        <v>0</v>
      </c>
      <c r="N2415" s="11">
        <f>IF($J53= "Eligible", N2412 * 'Facility Detail'!$G$3257, 0 )</f>
        <v>0</v>
      </c>
      <c r="O2415" s="11">
        <f>IF($J53= "Eligible", O2412 * 'Facility Detail'!$G$3257, 0 )</f>
        <v>0</v>
      </c>
      <c r="P2415" s="11">
        <f>IF($J53= "Eligible", P2412 * 'Facility Detail'!$G$3257, 0 )</f>
        <v>0</v>
      </c>
      <c r="Q2415" s="11">
        <f>IF($J53= "Eligible", Q2412 * 'Facility Detail'!$G$3257, 0 )</f>
        <v>0</v>
      </c>
      <c r="R2415" s="11">
        <f>IF($J53= "Eligible", R2412 * 'Facility Detail'!$G$3257, 0 )</f>
        <v>0</v>
      </c>
      <c r="S2415" s="11">
        <f>IF($J53= "Eligible", S2412 * 'Facility Detail'!$G$3257, 0 )</f>
        <v>0</v>
      </c>
      <c r="T2415" s="11">
        <f>IF($J53= "Eligible", T2412 * 'Facility Detail'!$G$3257, 0 )</f>
        <v>0</v>
      </c>
      <c r="U2415" s="223">
        <f>IF($J53= "Eligible", U2412 * 'Facility Detail'!$G$3257, 0 )</f>
        <v>0</v>
      </c>
      <c r="W2415" s="1"/>
      <c r="X2415" s="1"/>
      <c r="Y2415" s="1"/>
    </row>
    <row r="2416" spans="1:25">
      <c r="G2416" s="62" t="s">
        <v>6</v>
      </c>
      <c r="H2416" s="57"/>
      <c r="I2416" s="39">
        <f t="shared" ref="I2416:U2416" si="1092">IF($K53= "Eligible", I2412, 0 )</f>
        <v>0</v>
      </c>
      <c r="J2416" s="193">
        <f t="shared" si="1092"/>
        <v>0</v>
      </c>
      <c r="K2416" s="193">
        <f t="shared" si="1092"/>
        <v>0</v>
      </c>
      <c r="L2416" s="193">
        <f t="shared" si="1092"/>
        <v>0</v>
      </c>
      <c r="M2416" s="193">
        <f t="shared" si="1092"/>
        <v>0</v>
      </c>
      <c r="N2416" s="193">
        <f t="shared" si="1092"/>
        <v>0</v>
      </c>
      <c r="O2416" s="193">
        <f t="shared" si="1092"/>
        <v>0</v>
      </c>
      <c r="P2416" s="193">
        <f t="shared" si="1092"/>
        <v>0</v>
      </c>
      <c r="Q2416" s="193">
        <f t="shared" si="1092"/>
        <v>0</v>
      </c>
      <c r="R2416" s="193">
        <f t="shared" si="1092"/>
        <v>0</v>
      </c>
      <c r="S2416" s="193">
        <f t="shared" si="1092"/>
        <v>0</v>
      </c>
      <c r="T2416" s="193">
        <f t="shared" si="1092"/>
        <v>0</v>
      </c>
      <c r="U2416" s="224">
        <f t="shared" si="1092"/>
        <v>0</v>
      </c>
      <c r="W2416" s="1"/>
      <c r="X2416" s="1"/>
      <c r="Y2416" s="1"/>
    </row>
    <row r="2417" spans="6:25">
      <c r="G2417" s="26" t="s">
        <v>120</v>
      </c>
      <c r="H2417" s="6"/>
      <c r="I2417" s="32">
        <f>SUM(I2415:I2416)</f>
        <v>0</v>
      </c>
      <c r="J2417" s="33">
        <f t="shared" ref="J2417:S2417" si="1093">SUM(J2415:J2416)</f>
        <v>0</v>
      </c>
      <c r="K2417" s="33">
        <f t="shared" si="1093"/>
        <v>0</v>
      </c>
      <c r="L2417" s="33">
        <f t="shared" si="1093"/>
        <v>0</v>
      </c>
      <c r="M2417" s="33">
        <f t="shared" si="1093"/>
        <v>0</v>
      </c>
      <c r="N2417" s="33">
        <f t="shared" si="1093"/>
        <v>0</v>
      </c>
      <c r="O2417" s="33">
        <f t="shared" si="1093"/>
        <v>0</v>
      </c>
      <c r="P2417" s="33">
        <f t="shared" si="1093"/>
        <v>0</v>
      </c>
      <c r="Q2417" s="33">
        <f t="shared" si="1093"/>
        <v>0</v>
      </c>
      <c r="R2417" s="33">
        <f t="shared" si="1093"/>
        <v>0</v>
      </c>
      <c r="S2417" s="33">
        <f t="shared" si="1093"/>
        <v>0</v>
      </c>
      <c r="T2417" s="33">
        <f t="shared" ref="T2417:U2417" si="1094">SUM(T2415:T2416)</f>
        <v>0</v>
      </c>
      <c r="U2417" s="33">
        <f t="shared" si="1094"/>
        <v>0</v>
      </c>
      <c r="W2417" s="1"/>
      <c r="X2417" s="1"/>
      <c r="Y2417" s="1"/>
    </row>
    <row r="2418" spans="6:25">
      <c r="I2418" s="31"/>
      <c r="J2418" s="24"/>
      <c r="K2418" s="24"/>
      <c r="L2418" s="24"/>
      <c r="M2418" s="24"/>
      <c r="N2418" s="24"/>
      <c r="O2418" s="24"/>
      <c r="P2418" s="24"/>
      <c r="Q2418" s="24"/>
      <c r="R2418" s="24"/>
      <c r="S2418" s="24"/>
      <c r="T2418" s="24"/>
      <c r="U2418" s="24"/>
      <c r="W2418" s="1"/>
      <c r="X2418" s="1"/>
      <c r="Y2418" s="1"/>
    </row>
    <row r="2419" spans="6:25" ht="18.75">
      <c r="F2419" s="9" t="s">
        <v>30</v>
      </c>
      <c r="I2419" s="2">
        <f>'Facility Detail'!$G$3260</f>
        <v>2011</v>
      </c>
      <c r="J2419" s="2">
        <f>I2419+1</f>
        <v>2012</v>
      </c>
      <c r="K2419" s="2">
        <f>J2419+1</f>
        <v>2013</v>
      </c>
      <c r="L2419" s="2">
        <f>L2408</f>
        <v>2014</v>
      </c>
      <c r="M2419" s="2">
        <f>M2408</f>
        <v>2015</v>
      </c>
      <c r="N2419" s="2">
        <f>N2408</f>
        <v>2016</v>
      </c>
      <c r="O2419" s="2">
        <f>O2408</f>
        <v>2017</v>
      </c>
      <c r="P2419" s="2">
        <f t="shared" ref="P2419:Q2419" si="1095">P2408</f>
        <v>2018</v>
      </c>
      <c r="Q2419" s="2">
        <f t="shared" si="1095"/>
        <v>2019</v>
      </c>
      <c r="R2419" s="2">
        <f t="shared" ref="R2419:S2419" si="1096">R2408</f>
        <v>2020</v>
      </c>
      <c r="S2419" s="2">
        <f t="shared" si="1096"/>
        <v>2021</v>
      </c>
      <c r="T2419" s="2">
        <f t="shared" ref="T2419:U2419" si="1097">T2408</f>
        <v>2022</v>
      </c>
      <c r="U2419" s="2">
        <f t="shared" si="1097"/>
        <v>2023</v>
      </c>
      <c r="W2419" s="1"/>
      <c r="X2419" s="1"/>
      <c r="Y2419" s="1"/>
    </row>
    <row r="2420" spans="6:25">
      <c r="G2420" s="62" t="s">
        <v>47</v>
      </c>
      <c r="H2420" s="57"/>
      <c r="I2420" s="71"/>
      <c r="J2420" s="72"/>
      <c r="K2420" s="72"/>
      <c r="L2420" s="72"/>
      <c r="M2420" s="72"/>
      <c r="N2420" s="72"/>
      <c r="O2420" s="72"/>
      <c r="P2420" s="72"/>
      <c r="Q2420" s="72"/>
      <c r="R2420" s="72"/>
      <c r="S2420" s="72"/>
      <c r="T2420" s="72"/>
      <c r="U2420" s="73"/>
      <c r="W2420" s="1"/>
      <c r="X2420" s="1"/>
      <c r="Y2420" s="1"/>
    </row>
    <row r="2421" spans="6:25">
      <c r="G2421" s="63" t="s">
        <v>23</v>
      </c>
      <c r="H2421" s="135"/>
      <c r="I2421" s="74"/>
      <c r="J2421" s="75"/>
      <c r="K2421" s="75"/>
      <c r="L2421" s="75"/>
      <c r="M2421" s="75"/>
      <c r="N2421" s="75"/>
      <c r="O2421" s="75"/>
      <c r="P2421" s="75"/>
      <c r="Q2421" s="75"/>
      <c r="R2421" s="75"/>
      <c r="S2421" s="75"/>
      <c r="T2421" s="75"/>
      <c r="U2421" s="76"/>
      <c r="W2421" s="1"/>
      <c r="X2421" s="1"/>
      <c r="Y2421" s="1"/>
    </row>
    <row r="2422" spans="6:25">
      <c r="G2422" s="63" t="s">
        <v>89</v>
      </c>
      <c r="H2422" s="134"/>
      <c r="I2422" s="43"/>
      <c r="J2422" s="44"/>
      <c r="K2422" s="44"/>
      <c r="L2422" s="44"/>
      <c r="M2422" s="44"/>
      <c r="N2422" s="44"/>
      <c r="O2422" s="44"/>
      <c r="P2422" s="44"/>
      <c r="Q2422" s="44"/>
      <c r="R2422" s="44"/>
      <c r="S2422" s="44"/>
      <c r="T2422" s="44"/>
      <c r="U2422" s="45"/>
      <c r="W2422" s="1"/>
      <c r="X2422" s="1"/>
      <c r="Y2422" s="1"/>
    </row>
    <row r="2423" spans="6:25">
      <c r="G2423" s="26" t="s">
        <v>90</v>
      </c>
      <c r="I2423" s="7">
        <f t="shared" ref="I2423:N2423" si="1098">SUM(I2420:I2422)</f>
        <v>0</v>
      </c>
      <c r="J2423" s="7">
        <f t="shared" si="1098"/>
        <v>0</v>
      </c>
      <c r="K2423" s="7">
        <f t="shared" si="1098"/>
        <v>0</v>
      </c>
      <c r="L2423" s="7">
        <f t="shared" si="1098"/>
        <v>0</v>
      </c>
      <c r="M2423" s="7">
        <f t="shared" si="1098"/>
        <v>0</v>
      </c>
      <c r="N2423" s="7">
        <f t="shared" si="1098"/>
        <v>0</v>
      </c>
      <c r="O2423" s="7">
        <f t="shared" ref="O2423" si="1099">SUM(O2420:O2422)</f>
        <v>0</v>
      </c>
      <c r="P2423" s="7">
        <f t="shared" ref="P2423:Q2423" si="1100">SUM(P2420:P2422)</f>
        <v>0</v>
      </c>
      <c r="Q2423" s="7">
        <f t="shared" si="1100"/>
        <v>0</v>
      </c>
      <c r="R2423" s="7">
        <f t="shared" ref="R2423:S2423" si="1101">SUM(R2420:R2422)</f>
        <v>0</v>
      </c>
      <c r="S2423" s="7">
        <f t="shared" si="1101"/>
        <v>0</v>
      </c>
      <c r="T2423" s="7">
        <f t="shared" ref="T2423:U2423" si="1102">SUM(T2420:T2422)</f>
        <v>0</v>
      </c>
      <c r="U2423" s="7">
        <f t="shared" si="1102"/>
        <v>0</v>
      </c>
      <c r="W2423" s="1"/>
      <c r="X2423" s="1"/>
      <c r="Y2423" s="1"/>
    </row>
    <row r="2424" spans="6:25">
      <c r="G2424" s="6"/>
      <c r="I2424" s="7"/>
      <c r="J2424" s="7"/>
      <c r="K2424" s="7"/>
      <c r="L2424" s="23"/>
      <c r="M2424" s="23"/>
      <c r="N2424" s="23"/>
      <c r="O2424" s="23"/>
      <c r="P2424" s="23"/>
      <c r="Q2424" s="23"/>
      <c r="R2424" s="23"/>
      <c r="S2424" s="282"/>
      <c r="T2424" s="23"/>
      <c r="U2424" s="23"/>
      <c r="W2424" s="1"/>
      <c r="X2424" s="1"/>
      <c r="Y2424" s="1"/>
    </row>
    <row r="2425" spans="6:25" ht="18.75">
      <c r="F2425" s="9" t="s">
        <v>100</v>
      </c>
      <c r="I2425" s="2">
        <f>'Facility Detail'!$G$3260</f>
        <v>2011</v>
      </c>
      <c r="J2425" s="2">
        <f t="shared" ref="J2425:O2425" si="1103">I2425+1</f>
        <v>2012</v>
      </c>
      <c r="K2425" s="2">
        <f t="shared" si="1103"/>
        <v>2013</v>
      </c>
      <c r="L2425" s="2">
        <f t="shared" si="1103"/>
        <v>2014</v>
      </c>
      <c r="M2425" s="2">
        <f t="shared" si="1103"/>
        <v>2015</v>
      </c>
      <c r="N2425" s="2">
        <f t="shared" si="1103"/>
        <v>2016</v>
      </c>
      <c r="O2425" s="2">
        <f t="shared" si="1103"/>
        <v>2017</v>
      </c>
      <c r="P2425" s="2">
        <f t="shared" ref="P2425" si="1104">O2425+1</f>
        <v>2018</v>
      </c>
      <c r="Q2425" s="2">
        <f t="shared" ref="Q2425" si="1105">P2425+1</f>
        <v>2019</v>
      </c>
      <c r="R2425" s="2">
        <f t="shared" ref="R2425" si="1106">Q2425+1</f>
        <v>2020</v>
      </c>
      <c r="S2425" s="2">
        <f>R2425+1</f>
        <v>2021</v>
      </c>
      <c r="T2425" s="2">
        <f>S2425+1</f>
        <v>2022</v>
      </c>
      <c r="U2425" s="2">
        <f>T2425+1</f>
        <v>2023</v>
      </c>
      <c r="W2425" s="1"/>
      <c r="X2425" s="1"/>
      <c r="Y2425" s="1"/>
    </row>
    <row r="2426" spans="6:25">
      <c r="G2426" s="62" t="s">
        <v>68</v>
      </c>
      <c r="I2426" s="3"/>
      <c r="J2426" s="46">
        <f>I2426</f>
        <v>0</v>
      </c>
      <c r="K2426" s="106"/>
      <c r="L2426" s="106"/>
      <c r="M2426" s="106"/>
      <c r="N2426" s="106"/>
      <c r="O2426" s="106"/>
      <c r="P2426" s="106"/>
      <c r="Q2426" s="106"/>
      <c r="R2426" s="106"/>
      <c r="S2426" s="106"/>
      <c r="T2426" s="217"/>
      <c r="U2426" s="47"/>
      <c r="W2426" s="1"/>
      <c r="X2426" s="1"/>
      <c r="Y2426" s="1"/>
    </row>
    <row r="2427" spans="6:25">
      <c r="G2427" s="62" t="s">
        <v>69</v>
      </c>
      <c r="I2427" s="127">
        <f>J2427</f>
        <v>0</v>
      </c>
      <c r="J2427" s="10"/>
      <c r="K2427" s="60"/>
      <c r="L2427" s="60"/>
      <c r="M2427" s="60"/>
      <c r="N2427" s="60"/>
      <c r="O2427" s="60"/>
      <c r="P2427" s="60"/>
      <c r="Q2427" s="60"/>
      <c r="R2427" s="60"/>
      <c r="S2427" s="60"/>
      <c r="T2427" s="218"/>
      <c r="U2427" s="128"/>
      <c r="W2427" s="1"/>
      <c r="X2427" s="1"/>
      <c r="Y2427" s="1"/>
    </row>
    <row r="2428" spans="6:25">
      <c r="G2428" s="62" t="s">
        <v>70</v>
      </c>
      <c r="I2428" s="48"/>
      <c r="J2428" s="10"/>
      <c r="K2428" s="56">
        <f>J2428</f>
        <v>0</v>
      </c>
      <c r="L2428" s="60"/>
      <c r="M2428" s="60"/>
      <c r="N2428" s="60"/>
      <c r="O2428" s="60"/>
      <c r="P2428" s="60"/>
      <c r="Q2428" s="60"/>
      <c r="R2428" s="60"/>
      <c r="S2428" s="60"/>
      <c r="T2428" s="218"/>
      <c r="U2428" s="128"/>
      <c r="W2428" s="1"/>
      <c r="X2428" s="1"/>
      <c r="Y2428" s="1"/>
    </row>
    <row r="2429" spans="6:25">
      <c r="G2429" s="62" t="s">
        <v>71</v>
      </c>
      <c r="I2429" s="48"/>
      <c r="J2429" s="56">
        <f>K2429</f>
        <v>0</v>
      </c>
      <c r="K2429" s="10"/>
      <c r="L2429" s="60"/>
      <c r="M2429" s="60"/>
      <c r="N2429" s="60"/>
      <c r="O2429" s="60"/>
      <c r="P2429" s="60"/>
      <c r="Q2429" s="60"/>
      <c r="R2429" s="60"/>
      <c r="S2429" s="60"/>
      <c r="T2429" s="218"/>
      <c r="U2429" s="128"/>
      <c r="W2429" s="1"/>
      <c r="X2429" s="1"/>
      <c r="Y2429" s="1"/>
    </row>
    <row r="2430" spans="6:25">
      <c r="G2430" s="62" t="s">
        <v>170</v>
      </c>
      <c r="I2430" s="48"/>
      <c r="J2430" s="118"/>
      <c r="K2430" s="10"/>
      <c r="L2430" s="119">
        <f>K2430</f>
        <v>0</v>
      </c>
      <c r="M2430" s="60"/>
      <c r="N2430" s="60"/>
      <c r="O2430" s="60"/>
      <c r="P2430" s="60"/>
      <c r="Q2430" s="60"/>
      <c r="R2430" s="60"/>
      <c r="S2430" s="60"/>
      <c r="T2430" s="146"/>
      <c r="U2430" s="122"/>
      <c r="W2430" s="1"/>
      <c r="X2430" s="1"/>
      <c r="Y2430" s="1"/>
    </row>
    <row r="2431" spans="6:25">
      <c r="G2431" s="62" t="s">
        <v>171</v>
      </c>
      <c r="I2431" s="48"/>
      <c r="J2431" s="118"/>
      <c r="K2431" s="56">
        <f>L2431</f>
        <v>0</v>
      </c>
      <c r="L2431" s="10"/>
      <c r="M2431" s="60"/>
      <c r="N2431" s="60"/>
      <c r="O2431" s="60" t="s">
        <v>169</v>
      </c>
      <c r="P2431" s="60" t="s">
        <v>169</v>
      </c>
      <c r="Q2431" s="60" t="s">
        <v>169</v>
      </c>
      <c r="R2431" s="60" t="s">
        <v>169</v>
      </c>
      <c r="S2431" s="60" t="s">
        <v>169</v>
      </c>
      <c r="T2431" s="146" t="s">
        <v>169</v>
      </c>
      <c r="U2431" s="122" t="s">
        <v>169</v>
      </c>
      <c r="W2431" s="1"/>
      <c r="X2431" s="1"/>
      <c r="Y2431" s="1"/>
    </row>
    <row r="2432" spans="6:25">
      <c r="G2432" s="62" t="s">
        <v>172</v>
      </c>
      <c r="I2432" s="48"/>
      <c r="J2432" s="118"/>
      <c r="K2432" s="118"/>
      <c r="L2432" s="10"/>
      <c r="M2432" s="119">
        <f>L2432</f>
        <v>0</v>
      </c>
      <c r="N2432" s="118"/>
      <c r="O2432" s="60"/>
      <c r="P2432" s="60"/>
      <c r="Q2432" s="60"/>
      <c r="R2432" s="60"/>
      <c r="S2432" s="60"/>
      <c r="T2432" s="146"/>
      <c r="U2432" s="122"/>
      <c r="W2432" s="1"/>
      <c r="X2432" s="1"/>
      <c r="Y2432" s="1"/>
    </row>
    <row r="2433" spans="7:25">
      <c r="G2433" s="62" t="s">
        <v>173</v>
      </c>
      <c r="I2433" s="48"/>
      <c r="J2433" s="118"/>
      <c r="K2433" s="118"/>
      <c r="L2433" s="56">
        <f>M2433</f>
        <v>0</v>
      </c>
      <c r="M2433" s="10"/>
      <c r="N2433" s="118"/>
      <c r="O2433" s="60"/>
      <c r="P2433" s="60"/>
      <c r="Q2433" s="60"/>
      <c r="R2433" s="60"/>
      <c r="S2433" s="60"/>
      <c r="T2433" s="146"/>
      <c r="U2433" s="122"/>
      <c r="W2433" s="1"/>
      <c r="X2433" s="1"/>
      <c r="Y2433" s="1"/>
    </row>
    <row r="2434" spans="7:25">
      <c r="G2434" s="62" t="s">
        <v>174</v>
      </c>
      <c r="I2434" s="48"/>
      <c r="J2434" s="118"/>
      <c r="K2434" s="118"/>
      <c r="L2434" s="118"/>
      <c r="M2434" s="10"/>
      <c r="N2434" s="119">
        <f>M2434</f>
        <v>0</v>
      </c>
      <c r="O2434" s="60"/>
      <c r="P2434" s="60"/>
      <c r="Q2434" s="60"/>
      <c r="R2434" s="60"/>
      <c r="S2434" s="60"/>
      <c r="T2434" s="146"/>
      <c r="U2434" s="122"/>
      <c r="W2434" s="1"/>
      <c r="X2434" s="1"/>
      <c r="Y2434" s="1"/>
    </row>
    <row r="2435" spans="7:25">
      <c r="G2435" s="62" t="s">
        <v>175</v>
      </c>
      <c r="I2435" s="48"/>
      <c r="J2435" s="118"/>
      <c r="K2435" s="118"/>
      <c r="L2435" s="118"/>
      <c r="M2435" s="56">
        <f>N2435</f>
        <v>0</v>
      </c>
      <c r="N2435" s="10"/>
      <c r="O2435" s="60"/>
      <c r="P2435" s="60"/>
      <c r="Q2435" s="60"/>
      <c r="R2435" s="60"/>
      <c r="S2435" s="60"/>
      <c r="T2435" s="146"/>
      <c r="U2435" s="122"/>
      <c r="W2435" s="1"/>
      <c r="X2435" s="1"/>
      <c r="Y2435" s="1"/>
    </row>
    <row r="2436" spans="7:25">
      <c r="G2436" s="62" t="s">
        <v>176</v>
      </c>
      <c r="I2436" s="48"/>
      <c r="J2436" s="118"/>
      <c r="K2436" s="118"/>
      <c r="L2436" s="118"/>
      <c r="M2436" s="118"/>
      <c r="N2436" s="149">
        <f>O2436</f>
        <v>0</v>
      </c>
      <c r="O2436" s="120"/>
      <c r="P2436" s="60"/>
      <c r="Q2436" s="60"/>
      <c r="R2436" s="60"/>
      <c r="S2436" s="60"/>
      <c r="T2436" s="146"/>
      <c r="U2436" s="122"/>
      <c r="W2436" s="1"/>
      <c r="X2436" s="1"/>
      <c r="Y2436" s="1"/>
    </row>
    <row r="2437" spans="7:25">
      <c r="G2437" s="62" t="s">
        <v>167</v>
      </c>
      <c r="I2437" s="48"/>
      <c r="J2437" s="118"/>
      <c r="K2437" s="118"/>
      <c r="L2437" s="118"/>
      <c r="M2437" s="118"/>
      <c r="N2437" s="150">
        <f>O2436</f>
        <v>0</v>
      </c>
      <c r="O2437" s="121"/>
      <c r="P2437" s="60"/>
      <c r="Q2437" s="60"/>
      <c r="R2437" s="60"/>
      <c r="S2437" s="60"/>
      <c r="T2437" s="146"/>
      <c r="U2437" s="122"/>
      <c r="W2437" s="1"/>
      <c r="X2437" s="1"/>
      <c r="Y2437" s="1"/>
    </row>
    <row r="2438" spans="7:25">
      <c r="G2438" s="62" t="s">
        <v>168</v>
      </c>
      <c r="I2438" s="48"/>
      <c r="J2438" s="118"/>
      <c r="K2438" s="118"/>
      <c r="L2438" s="118"/>
      <c r="M2438" s="118"/>
      <c r="N2438" s="118"/>
      <c r="O2438" s="121">
        <v>0</v>
      </c>
      <c r="P2438" s="120">
        <v>0</v>
      </c>
      <c r="Q2438" s="60"/>
      <c r="R2438" s="60"/>
      <c r="S2438" s="60"/>
      <c r="T2438" s="146"/>
      <c r="U2438" s="122"/>
      <c r="W2438" s="1"/>
      <c r="X2438" s="1"/>
      <c r="Y2438" s="1"/>
    </row>
    <row r="2439" spans="7:25">
      <c r="G2439" s="62" t="s">
        <v>185</v>
      </c>
      <c r="I2439" s="48"/>
      <c r="J2439" s="118"/>
      <c r="K2439" s="118"/>
      <c r="L2439" s="118"/>
      <c r="M2439" s="118"/>
      <c r="N2439" s="118"/>
      <c r="O2439" s="120"/>
      <c r="P2439" s="121"/>
      <c r="Q2439" s="60"/>
      <c r="R2439" s="60"/>
      <c r="S2439" s="60"/>
      <c r="T2439" s="146"/>
      <c r="U2439" s="122"/>
      <c r="W2439" s="1"/>
      <c r="X2439" s="1"/>
      <c r="Y2439" s="1"/>
    </row>
    <row r="2440" spans="7:25">
      <c r="G2440" s="62" t="s">
        <v>186</v>
      </c>
      <c r="I2440" s="48"/>
      <c r="J2440" s="118"/>
      <c r="K2440" s="118"/>
      <c r="L2440" s="118"/>
      <c r="M2440" s="118"/>
      <c r="N2440" s="118"/>
      <c r="O2440" s="118"/>
      <c r="P2440" s="121"/>
      <c r="Q2440" s="56"/>
      <c r="R2440" s="60"/>
      <c r="S2440" s="60"/>
      <c r="T2440" s="146"/>
      <c r="U2440" s="122"/>
      <c r="W2440" s="1"/>
      <c r="X2440" s="1"/>
      <c r="Y2440" s="1"/>
    </row>
    <row r="2441" spans="7:25">
      <c r="G2441" s="62" t="s">
        <v>187</v>
      </c>
      <c r="I2441" s="48"/>
      <c r="J2441" s="118"/>
      <c r="K2441" s="118"/>
      <c r="L2441" s="118"/>
      <c r="M2441" s="118"/>
      <c r="N2441" s="118"/>
      <c r="O2441" s="118"/>
      <c r="P2441" s="120"/>
      <c r="Q2441" s="306"/>
      <c r="R2441" s="60"/>
      <c r="S2441" s="60"/>
      <c r="T2441" s="146"/>
      <c r="U2441" s="122"/>
      <c r="W2441" s="1"/>
      <c r="X2441" s="1"/>
      <c r="Y2441" s="1"/>
    </row>
    <row r="2442" spans="7:25">
      <c r="G2442" s="62" t="s">
        <v>188</v>
      </c>
      <c r="I2442" s="48"/>
      <c r="J2442" s="118"/>
      <c r="K2442" s="118"/>
      <c r="L2442" s="118"/>
      <c r="M2442" s="118"/>
      <c r="N2442" s="118"/>
      <c r="O2442" s="118"/>
      <c r="P2442" s="118"/>
      <c r="Q2442" s="121"/>
      <c r="R2442" s="151"/>
      <c r="S2442" s="60"/>
      <c r="T2442" s="146"/>
      <c r="U2442" s="122"/>
      <c r="W2442" s="1"/>
      <c r="X2442" s="1"/>
      <c r="Y2442" s="1"/>
    </row>
    <row r="2443" spans="7:25">
      <c r="G2443" s="62" t="s">
        <v>189</v>
      </c>
      <c r="I2443" s="48"/>
      <c r="J2443" s="118"/>
      <c r="K2443" s="118"/>
      <c r="L2443" s="118"/>
      <c r="M2443" s="118"/>
      <c r="N2443" s="118"/>
      <c r="O2443" s="118"/>
      <c r="P2443" s="118"/>
      <c r="Q2443" s="151"/>
      <c r="R2443" s="173">
        <f>Q2443</f>
        <v>0</v>
      </c>
      <c r="S2443" s="60"/>
      <c r="T2443" s="146"/>
      <c r="U2443" s="122"/>
      <c r="W2443" s="1"/>
      <c r="X2443" s="1"/>
      <c r="Y2443" s="1"/>
    </row>
    <row r="2444" spans="7:25">
      <c r="G2444" s="62" t="s">
        <v>190</v>
      </c>
      <c r="I2444" s="48"/>
      <c r="J2444" s="118"/>
      <c r="K2444" s="118"/>
      <c r="L2444" s="118"/>
      <c r="M2444" s="118"/>
      <c r="N2444" s="118"/>
      <c r="O2444" s="118"/>
      <c r="P2444" s="118"/>
      <c r="Q2444" s="118"/>
      <c r="R2444" s="173"/>
      <c r="S2444" s="151">
        <f>R2444</f>
        <v>0</v>
      </c>
      <c r="T2444" s="146"/>
      <c r="U2444" s="122"/>
      <c r="W2444" s="1"/>
      <c r="X2444" s="1"/>
      <c r="Y2444" s="1"/>
    </row>
    <row r="2445" spans="7:25">
      <c r="G2445" s="62" t="s">
        <v>199</v>
      </c>
      <c r="I2445" s="48"/>
      <c r="J2445" s="118"/>
      <c r="K2445" s="118"/>
      <c r="L2445" s="118"/>
      <c r="M2445" s="118"/>
      <c r="N2445" s="118"/>
      <c r="O2445" s="118"/>
      <c r="P2445" s="118"/>
      <c r="Q2445" s="118"/>
      <c r="R2445" s="120"/>
      <c r="S2445" s="173">
        <v>0</v>
      </c>
      <c r="T2445" s="146"/>
      <c r="U2445" s="122"/>
      <c r="W2445" s="1"/>
      <c r="X2445" s="1"/>
      <c r="Y2445" s="1"/>
    </row>
    <row r="2446" spans="7:25">
      <c r="G2446" s="62" t="s">
        <v>200</v>
      </c>
      <c r="I2446" s="48"/>
      <c r="J2446" s="118"/>
      <c r="K2446" s="118"/>
      <c r="L2446" s="118"/>
      <c r="M2446" s="118"/>
      <c r="N2446" s="118"/>
      <c r="O2446" s="118"/>
      <c r="P2446" s="118"/>
      <c r="Q2446" s="118"/>
      <c r="R2446" s="118"/>
      <c r="S2446" s="173">
        <v>0</v>
      </c>
      <c r="T2446" s="151">
        <f>S2446</f>
        <v>0</v>
      </c>
      <c r="U2446" s="122"/>
      <c r="W2446" s="1"/>
      <c r="X2446" s="1"/>
      <c r="Y2446" s="1"/>
    </row>
    <row r="2447" spans="7:25">
      <c r="G2447" s="62" t="s">
        <v>308</v>
      </c>
      <c r="I2447" s="48"/>
      <c r="J2447" s="118"/>
      <c r="K2447" s="118"/>
      <c r="L2447" s="118"/>
      <c r="M2447" s="118"/>
      <c r="N2447" s="118"/>
      <c r="O2447" s="118"/>
      <c r="P2447" s="118"/>
      <c r="Q2447" s="118"/>
      <c r="R2447" s="118"/>
      <c r="S2447" s="120">
        <f>T2447</f>
        <v>0</v>
      </c>
      <c r="T2447" s="173">
        <v>0</v>
      </c>
      <c r="U2447" s="122"/>
      <c r="W2447" s="1"/>
      <c r="X2447" s="1"/>
      <c r="Y2447" s="1"/>
    </row>
    <row r="2448" spans="7:25">
      <c r="G2448" s="62" t="s">
        <v>307</v>
      </c>
      <c r="I2448" s="114"/>
      <c r="J2448" s="107"/>
      <c r="K2448" s="107"/>
      <c r="L2448" s="107"/>
      <c r="M2448" s="107"/>
      <c r="N2448" s="107"/>
      <c r="O2448" s="107"/>
      <c r="P2448" s="107"/>
      <c r="Q2448" s="107"/>
      <c r="R2448" s="107"/>
      <c r="S2448" s="107"/>
      <c r="T2448" s="173">
        <v>0</v>
      </c>
      <c r="U2448" s="456">
        <f>T2448</f>
        <v>0</v>
      </c>
      <c r="W2448" s="1"/>
      <c r="X2448" s="1"/>
      <c r="Y2448" s="1"/>
    </row>
    <row r="2449" spans="2:25">
      <c r="G2449" s="62" t="s">
        <v>318</v>
      </c>
      <c r="I2449" s="114"/>
      <c r="J2449" s="107"/>
      <c r="K2449" s="107"/>
      <c r="L2449" s="107"/>
      <c r="M2449" s="107"/>
      <c r="N2449" s="107"/>
      <c r="O2449" s="107"/>
      <c r="P2449" s="107"/>
      <c r="Q2449" s="107"/>
      <c r="R2449" s="107"/>
      <c r="S2449" s="107"/>
      <c r="T2449" s="120">
        <f>U2449</f>
        <v>0</v>
      </c>
      <c r="U2449" s="457">
        <v>0</v>
      </c>
      <c r="W2449" s="1"/>
      <c r="X2449" s="1"/>
      <c r="Y2449" s="1"/>
    </row>
    <row r="2450" spans="2:25">
      <c r="G2450" s="62" t="s">
        <v>319</v>
      </c>
      <c r="I2450" s="49"/>
      <c r="J2450" s="194"/>
      <c r="K2450" s="194"/>
      <c r="L2450" s="194"/>
      <c r="M2450" s="194"/>
      <c r="N2450" s="194"/>
      <c r="O2450" s="194"/>
      <c r="P2450" s="194"/>
      <c r="Q2450" s="194"/>
      <c r="R2450" s="194"/>
      <c r="S2450" s="194"/>
      <c r="T2450" s="194"/>
      <c r="U2450" s="458">
        <v>0</v>
      </c>
      <c r="W2450" s="1"/>
      <c r="X2450" s="1"/>
      <c r="Y2450" s="1"/>
    </row>
    <row r="2451" spans="2:25">
      <c r="B2451" s="1" t="s">
        <v>229</v>
      </c>
      <c r="G2451" s="26" t="s">
        <v>17</v>
      </c>
      <c r="I2451" s="7">
        <f xml:space="preserve"> I2427 - I2426</f>
        <v>0</v>
      </c>
      <c r="J2451" s="7">
        <f xml:space="preserve"> J2426 + J2429 - J2428 - J2427</f>
        <v>0</v>
      </c>
      <c r="K2451" s="7">
        <f>K2428 - K2429 -K2430</f>
        <v>0</v>
      </c>
      <c r="L2451" s="7">
        <f>L2430-L2431-L2432</f>
        <v>0</v>
      </c>
      <c r="M2451" s="7">
        <f>M2432-M2433-M2434</f>
        <v>0</v>
      </c>
      <c r="N2451" s="7">
        <f>N2434-N2435-N2436</f>
        <v>0</v>
      </c>
      <c r="O2451" s="7">
        <f>O2436-O2437-O2438</f>
        <v>0</v>
      </c>
      <c r="P2451" s="154">
        <f>P2438-P2439-P2440</f>
        <v>0</v>
      </c>
      <c r="Q2451" s="154">
        <f>Q2440-Q2441-Q2442</f>
        <v>0</v>
      </c>
      <c r="R2451" s="154">
        <f>R2442</f>
        <v>0</v>
      </c>
      <c r="S2451" s="7">
        <f>S2444-S2445+S2446-S2447</f>
        <v>0</v>
      </c>
      <c r="T2451" s="7">
        <f>T2446-T2447-T2448+T2449</f>
        <v>0</v>
      </c>
      <c r="U2451" s="7">
        <f>U2448-U2449-U2450</f>
        <v>0</v>
      </c>
      <c r="W2451" s="1"/>
      <c r="X2451" s="1"/>
      <c r="Y2451" s="1"/>
    </row>
    <row r="2452" spans="2:25">
      <c r="G2452" s="6"/>
      <c r="I2452" s="154"/>
      <c r="J2452" s="154"/>
      <c r="K2452" s="154"/>
      <c r="L2452" s="154"/>
      <c r="M2452" s="154"/>
      <c r="N2452" s="154"/>
      <c r="O2452" s="154"/>
      <c r="P2452" s="154"/>
      <c r="Q2452" s="154"/>
      <c r="R2452" s="154"/>
      <c r="S2452" s="154"/>
      <c r="T2452" s="154"/>
      <c r="U2452" s="154"/>
      <c r="W2452" s="1"/>
      <c r="X2452" s="1"/>
      <c r="Y2452" s="1"/>
    </row>
    <row r="2453" spans="2:25">
      <c r="G2453" s="26" t="s">
        <v>12</v>
      </c>
      <c r="H2453" s="57"/>
      <c r="I2453" s="155"/>
      <c r="J2453" s="156"/>
      <c r="K2453" s="156"/>
      <c r="L2453" s="156"/>
      <c r="M2453" s="156"/>
      <c r="N2453" s="156"/>
      <c r="O2453" s="156"/>
      <c r="P2453" s="156"/>
      <c r="Q2453" s="156"/>
      <c r="R2453" s="156"/>
      <c r="S2453" s="156"/>
      <c r="T2453" s="156"/>
      <c r="U2453" s="267"/>
      <c r="W2453" s="1"/>
      <c r="X2453" s="1"/>
      <c r="Y2453" s="1"/>
    </row>
    <row r="2454" spans="2:25">
      <c r="G2454" s="6"/>
      <c r="I2454" s="154"/>
      <c r="J2454" s="154"/>
      <c r="K2454" s="154"/>
      <c r="L2454" s="154"/>
      <c r="M2454" s="154"/>
      <c r="N2454" s="154"/>
      <c r="O2454" s="154"/>
      <c r="P2454" s="154"/>
      <c r="Q2454" s="154"/>
      <c r="R2454" s="154"/>
      <c r="S2454" s="154"/>
      <c r="T2454" s="154"/>
      <c r="U2454" s="154"/>
      <c r="W2454" s="1"/>
      <c r="X2454" s="1"/>
      <c r="Y2454" s="1"/>
    </row>
    <row r="2455" spans="2:25" ht="18.75">
      <c r="C2455" s="1" t="s">
        <v>229</v>
      </c>
      <c r="D2455" s="1" t="s">
        <v>139</v>
      </c>
      <c r="E2455" s="1" t="s">
        <v>114</v>
      </c>
      <c r="F2455" s="9" t="s">
        <v>26</v>
      </c>
      <c r="H2455" s="57"/>
      <c r="I2455" s="157">
        <f t="shared" ref="I2455:Q2455" si="1107" xml:space="preserve"> I2412 + I2417 - I2423 + I2451 + I2453</f>
        <v>0</v>
      </c>
      <c r="J2455" s="158">
        <f t="shared" si="1107"/>
        <v>328</v>
      </c>
      <c r="K2455" s="158">
        <f t="shared" si="1107"/>
        <v>293</v>
      </c>
      <c r="L2455" s="158">
        <f t="shared" si="1107"/>
        <v>278</v>
      </c>
      <c r="M2455" s="158">
        <f t="shared" si="1107"/>
        <v>226</v>
      </c>
      <c r="N2455" s="158">
        <f t="shared" si="1107"/>
        <v>329</v>
      </c>
      <c r="O2455" s="158">
        <f t="shared" si="1107"/>
        <v>346</v>
      </c>
      <c r="P2455" s="158">
        <f t="shared" si="1107"/>
        <v>266</v>
      </c>
      <c r="Q2455" s="158">
        <f t="shared" si="1107"/>
        <v>246.51634211706531</v>
      </c>
      <c r="R2455" s="158">
        <f t="shared" ref="R2455:S2455" si="1108" xml:space="preserve"> R2412 + R2417 - R2423 + R2451 + R2453</f>
        <v>239</v>
      </c>
      <c r="S2455" s="158">
        <f t="shared" si="1108"/>
        <v>205</v>
      </c>
      <c r="T2455" s="158">
        <f t="shared" ref="T2455:U2455" si="1109" xml:space="preserve"> T2412 + T2417 - T2423 + T2451 + T2453</f>
        <v>214</v>
      </c>
      <c r="U2455" s="268">
        <f t="shared" si="1109"/>
        <v>125</v>
      </c>
      <c r="W2455" s="1"/>
      <c r="X2455" s="1"/>
      <c r="Y2455" s="1"/>
    </row>
    <row r="2456" spans="2:25">
      <c r="G2456" s="6"/>
      <c r="I2456" s="7"/>
      <c r="J2456" s="7"/>
      <c r="K2456" s="7"/>
      <c r="L2456" s="23"/>
      <c r="M2456" s="23"/>
      <c r="N2456" s="23"/>
      <c r="O2456" s="23"/>
      <c r="P2456" s="23"/>
      <c r="Q2456" s="23"/>
      <c r="R2456" s="23"/>
      <c r="S2456" s="282"/>
      <c r="T2456" s="23"/>
      <c r="U2456" s="23"/>
      <c r="W2456" s="1"/>
      <c r="X2456" s="1"/>
      <c r="Y2456" s="1"/>
    </row>
    <row r="2457" spans="2:25" ht="15.75" thickBot="1">
      <c r="W2457" s="1"/>
      <c r="X2457" s="1"/>
      <c r="Y2457" s="1"/>
    </row>
    <row r="2458" spans="2:25" ht="15.75" thickBot="1">
      <c r="F2458" s="8"/>
      <c r="G2458" s="8"/>
      <c r="H2458" s="8"/>
      <c r="I2458" s="8"/>
      <c r="J2458" s="8"/>
      <c r="K2458" s="8"/>
      <c r="L2458" s="8"/>
      <c r="M2458" s="8"/>
      <c r="N2458" s="8"/>
      <c r="O2458" s="8"/>
      <c r="P2458" s="8"/>
      <c r="Q2458" s="8"/>
      <c r="R2458" s="8"/>
      <c r="S2458" s="290"/>
      <c r="T2458" s="8"/>
      <c r="U2458" s="8"/>
      <c r="W2458" s="1"/>
      <c r="X2458" s="1"/>
      <c r="Y2458" s="1"/>
    </row>
    <row r="2459" spans="2:25" ht="21.75" thickBot="1">
      <c r="F2459" s="13" t="s">
        <v>4</v>
      </c>
      <c r="G2459" s="13"/>
      <c r="H2459" s="185" t="s">
        <v>263</v>
      </c>
      <c r="I2459" s="183"/>
      <c r="W2459" s="1"/>
      <c r="X2459" s="1"/>
      <c r="Y2459" s="1"/>
    </row>
    <row r="2460" spans="2:25">
      <c r="W2460" s="1"/>
      <c r="X2460" s="1"/>
      <c r="Y2460" s="1"/>
    </row>
    <row r="2461" spans="2:25" ht="18.75">
      <c r="F2461" s="9" t="s">
        <v>21</v>
      </c>
      <c r="G2461" s="9"/>
      <c r="I2461" s="2">
        <v>2011</v>
      </c>
      <c r="J2461" s="2">
        <f>I2461+1</f>
        <v>2012</v>
      </c>
      <c r="K2461" s="2">
        <f t="shared" ref="K2461" si="1110">J2461+1</f>
        <v>2013</v>
      </c>
      <c r="L2461" s="2">
        <f t="shared" ref="L2461" si="1111">K2461+1</f>
        <v>2014</v>
      </c>
      <c r="M2461" s="2">
        <f t="shared" ref="M2461" si="1112">L2461+1</f>
        <v>2015</v>
      </c>
      <c r="N2461" s="2">
        <f t="shared" ref="N2461" si="1113">M2461+1</f>
        <v>2016</v>
      </c>
      <c r="O2461" s="2">
        <f t="shared" ref="O2461" si="1114">N2461+1</f>
        <v>2017</v>
      </c>
      <c r="P2461" s="2">
        <f t="shared" ref="P2461" si="1115">O2461+1</f>
        <v>2018</v>
      </c>
      <c r="Q2461" s="2">
        <f t="shared" ref="Q2461" si="1116">P2461+1</f>
        <v>2019</v>
      </c>
      <c r="R2461" s="2">
        <f t="shared" ref="R2461" si="1117">Q2461+1</f>
        <v>2020</v>
      </c>
      <c r="S2461" s="2">
        <f>R2461+1</f>
        <v>2021</v>
      </c>
      <c r="T2461" s="2">
        <f>S2461+1</f>
        <v>2022</v>
      </c>
      <c r="U2461" s="2">
        <f>T2461+1</f>
        <v>2023</v>
      </c>
      <c r="W2461" s="1"/>
      <c r="X2461" s="1"/>
      <c r="Y2461" s="1"/>
    </row>
    <row r="2462" spans="2:25">
      <c r="G2462" s="62" t="str">
        <f>"Total MWh Produced / Purchased from " &amp; H2459</f>
        <v>Total MWh Produced / Purchased from Rock River</v>
      </c>
      <c r="H2462" s="57"/>
      <c r="I2462" s="3"/>
      <c r="J2462" s="4"/>
      <c r="K2462" s="4"/>
      <c r="L2462" s="4"/>
      <c r="M2462" s="4"/>
      <c r="N2462" s="4"/>
      <c r="O2462" s="4"/>
      <c r="P2462" s="4"/>
      <c r="Q2462" s="4"/>
      <c r="R2462" s="4"/>
      <c r="S2462" s="4">
        <v>108381</v>
      </c>
      <c r="T2462" s="4">
        <v>0</v>
      </c>
      <c r="U2462" s="5">
        <v>0</v>
      </c>
      <c r="W2462" s="1"/>
      <c r="X2462" s="1"/>
      <c r="Y2462" s="1"/>
    </row>
    <row r="2463" spans="2:25">
      <c r="G2463" s="62" t="s">
        <v>25</v>
      </c>
      <c r="H2463" s="57"/>
      <c r="I2463" s="269"/>
      <c r="J2463" s="41"/>
      <c r="K2463" s="41"/>
      <c r="L2463" s="41"/>
      <c r="M2463" s="41"/>
      <c r="N2463" s="41"/>
      <c r="O2463" s="41"/>
      <c r="P2463" s="41"/>
      <c r="Q2463" s="41"/>
      <c r="R2463" s="41"/>
      <c r="S2463" s="41">
        <v>1</v>
      </c>
      <c r="T2463" s="41">
        <v>1</v>
      </c>
      <c r="U2463" s="41">
        <v>1</v>
      </c>
      <c r="W2463" s="1"/>
      <c r="X2463" s="1"/>
      <c r="Y2463" s="1"/>
    </row>
    <row r="2464" spans="2:25">
      <c r="G2464" s="62" t="s">
        <v>20</v>
      </c>
      <c r="H2464" s="57"/>
      <c r="I2464" s="270"/>
      <c r="J2464" s="36"/>
      <c r="K2464" s="36"/>
      <c r="L2464" s="36"/>
      <c r="M2464" s="36"/>
      <c r="N2464" s="36"/>
      <c r="O2464" s="36"/>
      <c r="P2464" s="36"/>
      <c r="Q2464" s="36"/>
      <c r="R2464" s="36"/>
      <c r="S2464" s="36">
        <f>S2</f>
        <v>7.9696892166366717E-2</v>
      </c>
      <c r="T2464" s="36">
        <f t="shared" ref="T2464:U2464" si="1118">T2</f>
        <v>7.8737918965874246E-2</v>
      </c>
      <c r="U2464" s="36">
        <f t="shared" si="1118"/>
        <v>7.8407467372863096E-2</v>
      </c>
      <c r="W2464" s="1"/>
      <c r="X2464" s="1"/>
      <c r="Y2464" s="1"/>
    </row>
    <row r="2465" spans="1:25">
      <c r="A2465" s="1" t="s">
        <v>230</v>
      </c>
      <c r="G2465" s="26" t="s">
        <v>22</v>
      </c>
      <c r="H2465" s="6"/>
      <c r="I2465" s="30">
        <v>0</v>
      </c>
      <c r="J2465" s="30">
        <v>0</v>
      </c>
      <c r="K2465" s="30">
        <v>0</v>
      </c>
      <c r="L2465" s="30">
        <v>0</v>
      </c>
      <c r="M2465" s="30">
        <v>0</v>
      </c>
      <c r="N2465" s="161">
        <v>0</v>
      </c>
      <c r="O2465" s="161">
        <v>0</v>
      </c>
      <c r="P2465" s="161">
        <v>0</v>
      </c>
      <c r="Q2465" s="161">
        <f>Q2462*Q2464</f>
        <v>0</v>
      </c>
      <c r="R2465" s="161">
        <f>R2462*R2464</f>
        <v>0</v>
      </c>
      <c r="S2465" s="161">
        <f>ROUNDUP(S2462*S2464,0)</f>
        <v>8638</v>
      </c>
      <c r="T2465" s="161">
        <f>T2462*T2464</f>
        <v>0</v>
      </c>
      <c r="U2465" s="161">
        <f>U2462*U2464</f>
        <v>0</v>
      </c>
      <c r="W2465" s="1"/>
      <c r="X2465" s="1"/>
      <c r="Y2465" s="1"/>
    </row>
    <row r="2466" spans="1:25">
      <c r="I2466" s="29"/>
      <c r="J2466" s="29"/>
      <c r="K2466" s="29"/>
      <c r="L2466" s="29"/>
      <c r="M2466" s="29"/>
      <c r="N2466" s="20"/>
      <c r="O2466" s="20"/>
      <c r="P2466" s="20"/>
      <c r="Q2466" s="20"/>
      <c r="R2466" s="20"/>
      <c r="S2466" s="20"/>
      <c r="T2466" s="20"/>
      <c r="U2466" s="20"/>
      <c r="W2466" s="1"/>
      <c r="X2466" s="1"/>
      <c r="Y2466" s="1"/>
    </row>
    <row r="2467" spans="1:25" ht="18.75">
      <c r="F2467" s="9" t="s">
        <v>118</v>
      </c>
      <c r="I2467" s="2">
        <v>2011</v>
      </c>
      <c r="J2467" s="2">
        <f>I2467+1</f>
        <v>2012</v>
      </c>
      <c r="K2467" s="2">
        <f t="shared" ref="K2467" si="1119">J2467+1</f>
        <v>2013</v>
      </c>
      <c r="L2467" s="2">
        <f t="shared" ref="L2467" si="1120">K2467+1</f>
        <v>2014</v>
      </c>
      <c r="M2467" s="2">
        <f t="shared" ref="M2467" si="1121">L2467+1</f>
        <v>2015</v>
      </c>
      <c r="N2467" s="2">
        <f t="shared" ref="N2467" si="1122">M2467+1</f>
        <v>2016</v>
      </c>
      <c r="O2467" s="2">
        <f t="shared" ref="O2467" si="1123">N2467+1</f>
        <v>2017</v>
      </c>
      <c r="P2467" s="2">
        <f t="shared" ref="P2467" si="1124">O2467+1</f>
        <v>2018</v>
      </c>
      <c r="Q2467" s="2">
        <f t="shared" ref="Q2467" si="1125">P2467+1</f>
        <v>2019</v>
      </c>
      <c r="R2467" s="2">
        <f t="shared" ref="R2467" si="1126">Q2467+1</f>
        <v>2020</v>
      </c>
      <c r="S2467" s="2">
        <f>R2467+1</f>
        <v>2021</v>
      </c>
      <c r="T2467" s="2">
        <f>S2467+1</f>
        <v>2022</v>
      </c>
      <c r="U2467" s="2">
        <f>T2467+1</f>
        <v>2023</v>
      </c>
      <c r="W2467" s="1"/>
      <c r="X2467" s="1"/>
      <c r="Y2467" s="1"/>
    </row>
    <row r="2468" spans="1:25">
      <c r="G2468" s="62" t="s">
        <v>10</v>
      </c>
      <c r="H2468" s="57"/>
      <c r="I2468" s="38">
        <f>IF($J54= "Eligible", I2465 * 'Facility Detail'!$G$3257, 0 )</f>
        <v>0</v>
      </c>
      <c r="J2468" s="11">
        <f>IF($J54= "Eligible", J2465 * 'Facility Detail'!$G$3257, 0 )</f>
        <v>0</v>
      </c>
      <c r="K2468" s="11">
        <f>IF($J54= "Eligible", K2465 * 'Facility Detail'!$G$3257, 0 )</f>
        <v>0</v>
      </c>
      <c r="L2468" s="11">
        <f>IF($J54= "Eligible", L2465 * 'Facility Detail'!$G$3257, 0 )</f>
        <v>0</v>
      </c>
      <c r="M2468" s="11">
        <f>IF($J54= "Eligible", M2465 * 'Facility Detail'!$G$3257, 0 )</f>
        <v>0</v>
      </c>
      <c r="N2468" s="11">
        <f>IF($J54= "Eligible", N2465 * 'Facility Detail'!$G$3257, 0 )</f>
        <v>0</v>
      </c>
      <c r="O2468" s="11">
        <f>IF($J54= "Eligible", O2465 * 'Facility Detail'!$G$3257, 0 )</f>
        <v>0</v>
      </c>
      <c r="P2468" s="11">
        <f>IF($J54= "Eligible", P2465 * 'Facility Detail'!$G$3257, 0 )</f>
        <v>0</v>
      </c>
      <c r="Q2468" s="11">
        <f>IF($J54= "Eligible", Q2465 * 'Facility Detail'!$G$3257, 0 )</f>
        <v>0</v>
      </c>
      <c r="R2468" s="11">
        <f>IF($J54= "Eligible", R2465 * 'Facility Detail'!$G$3257, 0 )</f>
        <v>0</v>
      </c>
      <c r="S2468" s="11">
        <f>IF($J54= "Eligible", S2465 * 'Facility Detail'!$G$3257, 0 )</f>
        <v>0</v>
      </c>
      <c r="T2468" s="11">
        <f>IF($J54= "Eligible", T2465 * 'Facility Detail'!$G$3257, 0 )</f>
        <v>0</v>
      </c>
      <c r="U2468" s="223">
        <f>IF($J54= "Eligible", U2465 * 'Facility Detail'!$G$3257, 0 )</f>
        <v>0</v>
      </c>
      <c r="W2468" s="1"/>
      <c r="X2468" s="1"/>
      <c r="Y2468" s="1"/>
    </row>
    <row r="2469" spans="1:25">
      <c r="G2469" s="62" t="s">
        <v>6</v>
      </c>
      <c r="H2469" s="57"/>
      <c r="I2469" s="39">
        <f t="shared" ref="I2469:U2469" si="1127">IF($K54= "Eligible", I2465, 0 )</f>
        <v>0</v>
      </c>
      <c r="J2469" s="193">
        <f t="shared" si="1127"/>
        <v>0</v>
      </c>
      <c r="K2469" s="193">
        <f t="shared" si="1127"/>
        <v>0</v>
      </c>
      <c r="L2469" s="193">
        <f t="shared" si="1127"/>
        <v>0</v>
      </c>
      <c r="M2469" s="193">
        <f t="shared" si="1127"/>
        <v>0</v>
      </c>
      <c r="N2469" s="193">
        <f t="shared" si="1127"/>
        <v>0</v>
      </c>
      <c r="O2469" s="193">
        <f t="shared" si="1127"/>
        <v>0</v>
      </c>
      <c r="P2469" s="193">
        <f t="shared" si="1127"/>
        <v>0</v>
      </c>
      <c r="Q2469" s="193">
        <f t="shared" si="1127"/>
        <v>0</v>
      </c>
      <c r="R2469" s="193">
        <f t="shared" si="1127"/>
        <v>0</v>
      </c>
      <c r="S2469" s="193">
        <f t="shared" si="1127"/>
        <v>0</v>
      </c>
      <c r="T2469" s="193">
        <f t="shared" si="1127"/>
        <v>0</v>
      </c>
      <c r="U2469" s="224">
        <f t="shared" si="1127"/>
        <v>0</v>
      </c>
      <c r="W2469" s="1"/>
      <c r="X2469" s="1"/>
      <c r="Y2469" s="1"/>
    </row>
    <row r="2470" spans="1:25">
      <c r="G2470" s="26" t="s">
        <v>120</v>
      </c>
      <c r="H2470" s="6"/>
      <c r="I2470" s="32">
        <f>SUM(I2468:I2469)</f>
        <v>0</v>
      </c>
      <c r="J2470" s="33">
        <f t="shared" ref="J2470:S2470" si="1128">SUM(J2468:J2469)</f>
        <v>0</v>
      </c>
      <c r="K2470" s="33">
        <f t="shared" si="1128"/>
        <v>0</v>
      </c>
      <c r="L2470" s="33">
        <f t="shared" si="1128"/>
        <v>0</v>
      </c>
      <c r="M2470" s="33">
        <f t="shared" si="1128"/>
        <v>0</v>
      </c>
      <c r="N2470" s="33">
        <f t="shared" si="1128"/>
        <v>0</v>
      </c>
      <c r="O2470" s="33">
        <f t="shared" si="1128"/>
        <v>0</v>
      </c>
      <c r="P2470" s="33">
        <f t="shared" si="1128"/>
        <v>0</v>
      </c>
      <c r="Q2470" s="33">
        <f t="shared" si="1128"/>
        <v>0</v>
      </c>
      <c r="R2470" s="33">
        <f t="shared" si="1128"/>
        <v>0</v>
      </c>
      <c r="S2470" s="33">
        <f t="shared" si="1128"/>
        <v>0</v>
      </c>
      <c r="T2470" s="33">
        <f t="shared" ref="T2470:U2470" si="1129">SUM(T2468:T2469)</f>
        <v>0</v>
      </c>
      <c r="U2470" s="33">
        <f t="shared" si="1129"/>
        <v>0</v>
      </c>
      <c r="W2470" s="1"/>
      <c r="X2470" s="1"/>
      <c r="Y2470" s="1"/>
    </row>
    <row r="2471" spans="1:25">
      <c r="I2471" s="31"/>
      <c r="J2471" s="24"/>
      <c r="K2471" s="24"/>
      <c r="L2471" s="24"/>
      <c r="M2471" s="24"/>
      <c r="N2471" s="24"/>
      <c r="O2471" s="24"/>
      <c r="P2471" s="24"/>
      <c r="Q2471" s="24"/>
      <c r="R2471" s="24"/>
      <c r="S2471" s="24"/>
      <c r="T2471" s="24"/>
      <c r="U2471" s="24"/>
      <c r="W2471" s="1"/>
      <c r="X2471" s="1"/>
      <c r="Y2471" s="1"/>
    </row>
    <row r="2472" spans="1:25" ht="18.75">
      <c r="F2472" s="9" t="s">
        <v>30</v>
      </c>
      <c r="I2472" s="2">
        <v>2011</v>
      </c>
      <c r="J2472" s="2">
        <f>I2472+1</f>
        <v>2012</v>
      </c>
      <c r="K2472" s="2">
        <f t="shared" ref="K2472" si="1130">J2472+1</f>
        <v>2013</v>
      </c>
      <c r="L2472" s="2">
        <f t="shared" ref="L2472" si="1131">K2472+1</f>
        <v>2014</v>
      </c>
      <c r="M2472" s="2">
        <f t="shared" ref="M2472" si="1132">L2472+1</f>
        <v>2015</v>
      </c>
      <c r="N2472" s="2">
        <f t="shared" ref="N2472" si="1133">M2472+1</f>
        <v>2016</v>
      </c>
      <c r="O2472" s="2">
        <f t="shared" ref="O2472" si="1134">N2472+1</f>
        <v>2017</v>
      </c>
      <c r="P2472" s="2">
        <f t="shared" ref="P2472" si="1135">O2472+1</f>
        <v>2018</v>
      </c>
      <c r="Q2472" s="2">
        <f t="shared" ref="Q2472" si="1136">P2472+1</f>
        <v>2019</v>
      </c>
      <c r="R2472" s="2">
        <f t="shared" ref="R2472" si="1137">Q2472+1</f>
        <v>2020</v>
      </c>
      <c r="S2472" s="2">
        <f>R2472+1</f>
        <v>2021</v>
      </c>
      <c r="T2472" s="2">
        <f>S2472+1</f>
        <v>2022</v>
      </c>
      <c r="U2472" s="2">
        <f>T2472+1</f>
        <v>2023</v>
      </c>
      <c r="W2472" s="1"/>
      <c r="X2472" s="1"/>
      <c r="Y2472" s="1"/>
    </row>
    <row r="2473" spans="1:25">
      <c r="G2473" s="62" t="s">
        <v>47</v>
      </c>
      <c r="H2473" s="57"/>
      <c r="I2473" s="71"/>
      <c r="J2473" s="72"/>
      <c r="K2473" s="72"/>
      <c r="L2473" s="72"/>
      <c r="M2473" s="72"/>
      <c r="N2473" s="72"/>
      <c r="O2473" s="72"/>
      <c r="P2473" s="72"/>
      <c r="Q2473" s="72"/>
      <c r="R2473" s="72"/>
      <c r="S2473" s="72"/>
      <c r="T2473" s="72"/>
      <c r="U2473" s="73"/>
      <c r="W2473" s="1"/>
      <c r="X2473" s="1"/>
      <c r="Y2473" s="1"/>
    </row>
    <row r="2474" spans="1:25">
      <c r="G2474" s="63" t="s">
        <v>23</v>
      </c>
      <c r="H2474" s="135"/>
      <c r="I2474" s="74"/>
      <c r="J2474" s="75"/>
      <c r="K2474" s="75"/>
      <c r="L2474" s="75"/>
      <c r="M2474" s="75"/>
      <c r="N2474" s="75"/>
      <c r="O2474" s="75"/>
      <c r="P2474" s="75"/>
      <c r="Q2474" s="75"/>
      <c r="R2474" s="75"/>
      <c r="S2474" s="75"/>
      <c r="T2474" s="75"/>
      <c r="U2474" s="76"/>
      <c r="W2474" s="1"/>
      <c r="X2474" s="1"/>
      <c r="Y2474" s="1"/>
    </row>
    <row r="2475" spans="1:25">
      <c r="G2475" s="63" t="s">
        <v>89</v>
      </c>
      <c r="H2475" s="134"/>
      <c r="I2475" s="43"/>
      <c r="J2475" s="44"/>
      <c r="K2475" s="44"/>
      <c r="L2475" s="44"/>
      <c r="M2475" s="44"/>
      <c r="N2475" s="44"/>
      <c r="O2475" s="44"/>
      <c r="P2475" s="44"/>
      <c r="Q2475" s="44"/>
      <c r="R2475" s="44"/>
      <c r="S2475" s="44"/>
      <c r="T2475" s="44"/>
      <c r="U2475" s="45"/>
      <c r="W2475" s="1"/>
      <c r="X2475" s="1"/>
      <c r="Y2475" s="1"/>
    </row>
    <row r="2476" spans="1:25">
      <c r="G2476" s="26" t="s">
        <v>90</v>
      </c>
      <c r="I2476" s="7">
        <v>0</v>
      </c>
      <c r="J2476" s="7">
        <v>0</v>
      </c>
      <c r="K2476" s="7">
        <v>0</v>
      </c>
      <c r="L2476" s="7">
        <v>0</v>
      </c>
      <c r="M2476" s="7">
        <v>0</v>
      </c>
      <c r="N2476" s="7">
        <v>0</v>
      </c>
      <c r="O2476" s="7">
        <v>0</v>
      </c>
      <c r="P2476" s="7">
        <v>0</v>
      </c>
      <c r="Q2476" s="7">
        <v>0</v>
      </c>
      <c r="R2476" s="7">
        <v>0</v>
      </c>
      <c r="S2476" s="7">
        <v>0</v>
      </c>
      <c r="T2476" s="7">
        <v>0</v>
      </c>
      <c r="U2476" s="7">
        <v>0</v>
      </c>
      <c r="W2476" s="1"/>
      <c r="X2476" s="1"/>
      <c r="Y2476" s="1"/>
    </row>
    <row r="2477" spans="1:25">
      <c r="G2477" s="6"/>
      <c r="I2477" s="7"/>
      <c r="J2477" s="7"/>
      <c r="K2477" s="7"/>
      <c r="L2477" s="23"/>
      <c r="M2477" s="23"/>
      <c r="N2477" s="23"/>
      <c r="O2477" s="23"/>
      <c r="P2477" s="23"/>
      <c r="Q2477" s="23"/>
      <c r="R2477" s="23"/>
      <c r="S2477" s="23"/>
      <c r="T2477" s="23"/>
      <c r="U2477" s="23"/>
      <c r="W2477" s="1"/>
      <c r="X2477" s="1"/>
      <c r="Y2477" s="1"/>
    </row>
    <row r="2478" spans="1:25" ht="18.75">
      <c r="F2478" s="9" t="s">
        <v>100</v>
      </c>
      <c r="I2478" s="2">
        <f>'Facility Detail'!$G$3260</f>
        <v>2011</v>
      </c>
      <c r="J2478" s="2">
        <f>I2478+1</f>
        <v>2012</v>
      </c>
      <c r="K2478" s="2">
        <f t="shared" ref="K2478" si="1138">J2478+1</f>
        <v>2013</v>
      </c>
      <c r="L2478" s="2">
        <f t="shared" ref="L2478" si="1139">K2478+1</f>
        <v>2014</v>
      </c>
      <c r="M2478" s="2">
        <f t="shared" ref="M2478" si="1140">L2478+1</f>
        <v>2015</v>
      </c>
      <c r="N2478" s="2">
        <f t="shared" ref="N2478" si="1141">M2478+1</f>
        <v>2016</v>
      </c>
      <c r="O2478" s="2">
        <f t="shared" ref="O2478" si="1142">N2478+1</f>
        <v>2017</v>
      </c>
      <c r="P2478" s="2">
        <f t="shared" ref="P2478" si="1143">O2478+1</f>
        <v>2018</v>
      </c>
      <c r="Q2478" s="2">
        <f t="shared" ref="Q2478" si="1144">P2478+1</f>
        <v>2019</v>
      </c>
      <c r="R2478" s="2">
        <f t="shared" ref="R2478" si="1145">Q2478+1</f>
        <v>2020</v>
      </c>
      <c r="S2478" s="2">
        <f>R2478+1</f>
        <v>2021</v>
      </c>
      <c r="T2478" s="2">
        <f>S2478+1</f>
        <v>2022</v>
      </c>
      <c r="U2478" s="2">
        <f>T2478+1</f>
        <v>2023</v>
      </c>
      <c r="W2478" s="1"/>
      <c r="X2478" s="1"/>
      <c r="Y2478" s="1"/>
    </row>
    <row r="2479" spans="1:25">
      <c r="G2479" s="62" t="s">
        <v>68</v>
      </c>
      <c r="H2479" s="57"/>
      <c r="I2479" s="3"/>
      <c r="J2479" s="46">
        <f>I2479</f>
        <v>0</v>
      </c>
      <c r="K2479" s="106"/>
      <c r="L2479" s="106"/>
      <c r="M2479" s="106"/>
      <c r="N2479" s="106"/>
      <c r="O2479" s="106"/>
      <c r="P2479" s="106"/>
      <c r="Q2479" s="106"/>
      <c r="R2479" s="106"/>
      <c r="S2479" s="106"/>
      <c r="T2479" s="217"/>
      <c r="U2479" s="47"/>
      <c r="W2479" s="1"/>
      <c r="X2479" s="1"/>
      <c r="Y2479" s="1"/>
    </row>
    <row r="2480" spans="1:25">
      <c r="G2480" s="62" t="s">
        <v>69</v>
      </c>
      <c r="H2480" s="57"/>
      <c r="I2480" s="127">
        <f>J2480</f>
        <v>0</v>
      </c>
      <c r="J2480" s="10"/>
      <c r="K2480" s="60"/>
      <c r="L2480" s="60"/>
      <c r="M2480" s="60"/>
      <c r="N2480" s="60"/>
      <c r="O2480" s="60"/>
      <c r="P2480" s="60"/>
      <c r="Q2480" s="60"/>
      <c r="R2480" s="60"/>
      <c r="S2480" s="60"/>
      <c r="T2480" s="218"/>
      <c r="U2480" s="128"/>
      <c r="W2480" s="1"/>
      <c r="X2480" s="1"/>
      <c r="Y2480" s="1"/>
    </row>
    <row r="2481" spans="7:25">
      <c r="G2481" s="62" t="s">
        <v>70</v>
      </c>
      <c r="H2481" s="57"/>
      <c r="I2481" s="48"/>
      <c r="J2481" s="10">
        <f>J2465</f>
        <v>0</v>
      </c>
      <c r="K2481" s="56">
        <f>J2481</f>
        <v>0</v>
      </c>
      <c r="L2481" s="60"/>
      <c r="M2481" s="60"/>
      <c r="N2481" s="60"/>
      <c r="O2481" s="60"/>
      <c r="P2481" s="60"/>
      <c r="Q2481" s="60"/>
      <c r="R2481" s="60"/>
      <c r="S2481" s="60"/>
      <c r="T2481" s="218"/>
      <c r="U2481" s="128"/>
      <c r="W2481" s="1"/>
      <c r="X2481" s="1"/>
      <c r="Y2481" s="1"/>
    </row>
    <row r="2482" spans="7:25">
      <c r="G2482" s="62" t="s">
        <v>71</v>
      </c>
      <c r="H2482" s="57"/>
      <c r="I2482" s="48"/>
      <c r="J2482" s="56">
        <f>K2482</f>
        <v>0</v>
      </c>
      <c r="K2482" s="10"/>
      <c r="L2482" s="60"/>
      <c r="M2482" s="60"/>
      <c r="N2482" s="60"/>
      <c r="O2482" s="60"/>
      <c r="P2482" s="60"/>
      <c r="Q2482" s="60"/>
      <c r="R2482" s="60"/>
      <c r="S2482" s="60"/>
      <c r="T2482" s="218"/>
      <c r="U2482" s="128"/>
      <c r="W2482" s="1"/>
      <c r="X2482" s="1"/>
      <c r="Y2482" s="1"/>
    </row>
    <row r="2483" spans="7:25">
      <c r="G2483" s="62" t="s">
        <v>170</v>
      </c>
      <c r="I2483" s="48"/>
      <c r="J2483" s="118"/>
      <c r="K2483" s="10">
        <f>K2465</f>
        <v>0</v>
      </c>
      <c r="L2483" s="119">
        <f>K2483</f>
        <v>0</v>
      </c>
      <c r="M2483" s="60"/>
      <c r="N2483" s="60"/>
      <c r="O2483" s="60"/>
      <c r="P2483" s="60"/>
      <c r="Q2483" s="60"/>
      <c r="R2483" s="60"/>
      <c r="S2483" s="60"/>
      <c r="T2483" s="146"/>
      <c r="U2483" s="122"/>
      <c r="W2483" s="1"/>
      <c r="X2483" s="1"/>
      <c r="Y2483" s="1"/>
    </row>
    <row r="2484" spans="7:25">
      <c r="G2484" s="62" t="s">
        <v>171</v>
      </c>
      <c r="I2484" s="48"/>
      <c r="J2484" s="118"/>
      <c r="K2484" s="56">
        <f>L2484</f>
        <v>0</v>
      </c>
      <c r="L2484" s="10"/>
      <c r="M2484" s="60"/>
      <c r="N2484" s="60"/>
      <c r="O2484" s="60"/>
      <c r="P2484" s="60"/>
      <c r="Q2484" s="60"/>
      <c r="R2484" s="60"/>
      <c r="S2484" s="60"/>
      <c r="T2484" s="146"/>
      <c r="U2484" s="122"/>
      <c r="W2484" s="1"/>
      <c r="X2484" s="1"/>
      <c r="Y2484" s="1"/>
    </row>
    <row r="2485" spans="7:25">
      <c r="G2485" s="62" t="s">
        <v>172</v>
      </c>
      <c r="I2485" s="48"/>
      <c r="J2485" s="118"/>
      <c r="K2485" s="118"/>
      <c r="L2485" s="10">
        <f>L2465</f>
        <v>0</v>
      </c>
      <c r="M2485" s="119">
        <f>L2485</f>
        <v>0</v>
      </c>
      <c r="N2485" s="118"/>
      <c r="O2485" s="60"/>
      <c r="P2485" s="60"/>
      <c r="Q2485" s="60"/>
      <c r="R2485" s="60"/>
      <c r="S2485" s="60"/>
      <c r="T2485" s="146"/>
      <c r="U2485" s="122"/>
      <c r="W2485" s="1"/>
      <c r="X2485" s="1"/>
      <c r="Y2485" s="1"/>
    </row>
    <row r="2486" spans="7:25">
      <c r="G2486" s="62" t="s">
        <v>173</v>
      </c>
      <c r="I2486" s="48"/>
      <c r="J2486" s="118"/>
      <c r="K2486" s="118"/>
      <c r="L2486" s="56"/>
      <c r="M2486" s="10"/>
      <c r="N2486" s="118"/>
      <c r="O2486" s="60"/>
      <c r="P2486" s="60"/>
      <c r="Q2486" s="60"/>
      <c r="R2486" s="60"/>
      <c r="S2486" s="60"/>
      <c r="T2486" s="146"/>
      <c r="U2486" s="122"/>
      <c r="W2486" s="1"/>
      <c r="X2486" s="1"/>
      <c r="Y2486" s="1"/>
    </row>
    <row r="2487" spans="7:25">
      <c r="G2487" s="62" t="s">
        <v>174</v>
      </c>
      <c r="I2487" s="48"/>
      <c r="J2487" s="118"/>
      <c r="K2487" s="118"/>
      <c r="L2487" s="118"/>
      <c r="M2487" s="10">
        <v>0</v>
      </c>
      <c r="N2487" s="119">
        <f>M2487</f>
        <v>0</v>
      </c>
      <c r="O2487" s="60"/>
      <c r="P2487" s="60"/>
      <c r="Q2487" s="60"/>
      <c r="R2487" s="60"/>
      <c r="S2487" s="60"/>
      <c r="T2487" s="146"/>
      <c r="U2487" s="122"/>
      <c r="W2487" s="1"/>
      <c r="X2487" s="1"/>
      <c r="Y2487" s="1"/>
    </row>
    <row r="2488" spans="7:25">
      <c r="G2488" s="62" t="s">
        <v>175</v>
      </c>
      <c r="I2488" s="48"/>
      <c r="J2488" s="118"/>
      <c r="K2488" s="118"/>
      <c r="L2488" s="118"/>
      <c r="M2488" s="56"/>
      <c r="N2488" s="10"/>
      <c r="O2488" s="60"/>
      <c r="P2488" s="60"/>
      <c r="Q2488" s="60"/>
      <c r="R2488" s="60"/>
      <c r="S2488" s="60"/>
      <c r="T2488" s="146"/>
      <c r="U2488" s="122"/>
      <c r="W2488" s="1"/>
      <c r="X2488" s="1"/>
      <c r="Y2488" s="1"/>
    </row>
    <row r="2489" spans="7:25">
      <c r="G2489" s="62" t="s">
        <v>176</v>
      </c>
      <c r="I2489" s="48"/>
      <c r="J2489" s="118"/>
      <c r="K2489" s="118"/>
      <c r="L2489" s="118"/>
      <c r="M2489" s="118"/>
      <c r="N2489" s="149">
        <f>N2465</f>
        <v>0</v>
      </c>
      <c r="O2489" s="120">
        <f>N2489</f>
        <v>0</v>
      </c>
      <c r="P2489" s="60"/>
      <c r="Q2489" s="60"/>
      <c r="R2489" s="60"/>
      <c r="S2489" s="60"/>
      <c r="T2489" s="146"/>
      <c r="U2489" s="122"/>
      <c r="W2489" s="1"/>
      <c r="X2489" s="1"/>
      <c r="Y2489" s="1"/>
    </row>
    <row r="2490" spans="7:25">
      <c r="G2490" s="62" t="s">
        <v>167</v>
      </c>
      <c r="I2490" s="48"/>
      <c r="J2490" s="118"/>
      <c r="K2490" s="118"/>
      <c r="L2490" s="118"/>
      <c r="M2490" s="118"/>
      <c r="N2490" s="150"/>
      <c r="O2490" s="121"/>
      <c r="P2490" s="60"/>
      <c r="Q2490" s="60"/>
      <c r="R2490" s="60"/>
      <c r="S2490" s="60"/>
      <c r="T2490" s="146"/>
      <c r="U2490" s="122"/>
      <c r="W2490" s="1"/>
      <c r="X2490" s="1"/>
      <c r="Y2490" s="1"/>
    </row>
    <row r="2491" spans="7:25">
      <c r="G2491" s="62" t="s">
        <v>168</v>
      </c>
      <c r="I2491" s="48"/>
      <c r="J2491" s="118"/>
      <c r="K2491" s="118"/>
      <c r="L2491" s="118"/>
      <c r="M2491" s="118"/>
      <c r="N2491" s="118"/>
      <c r="O2491" s="121">
        <f>O2465</f>
        <v>0</v>
      </c>
      <c r="P2491" s="120">
        <f>O2491</f>
        <v>0</v>
      </c>
      <c r="Q2491" s="60"/>
      <c r="R2491" s="60"/>
      <c r="S2491" s="60"/>
      <c r="T2491" s="146"/>
      <c r="U2491" s="122"/>
      <c r="W2491" s="1"/>
      <c r="X2491" s="1"/>
      <c r="Y2491" s="1"/>
    </row>
    <row r="2492" spans="7:25">
      <c r="G2492" s="62" t="s">
        <v>185</v>
      </c>
      <c r="I2492" s="48"/>
      <c r="J2492" s="118"/>
      <c r="K2492" s="118"/>
      <c r="L2492" s="118"/>
      <c r="M2492" s="118"/>
      <c r="N2492" s="118"/>
      <c r="O2492" s="120"/>
      <c r="P2492" s="121"/>
      <c r="Q2492" s="60"/>
      <c r="R2492" s="60"/>
      <c r="S2492" s="60"/>
      <c r="T2492" s="146"/>
      <c r="U2492" s="122"/>
      <c r="W2492" s="1"/>
      <c r="X2492" s="1"/>
      <c r="Y2492" s="1"/>
    </row>
    <row r="2493" spans="7:25">
      <c r="G2493" s="62" t="s">
        <v>186</v>
      </c>
      <c r="I2493" s="48"/>
      <c r="J2493" s="118"/>
      <c r="K2493" s="118"/>
      <c r="L2493" s="118"/>
      <c r="M2493" s="118"/>
      <c r="N2493" s="118"/>
      <c r="O2493" s="118"/>
      <c r="P2493" s="121"/>
      <c r="Q2493" s="56">
        <f>P2493</f>
        <v>0</v>
      </c>
      <c r="R2493" s="60"/>
      <c r="S2493" s="60"/>
      <c r="T2493" s="146"/>
      <c r="U2493" s="122"/>
      <c r="W2493" s="1"/>
      <c r="X2493" s="1"/>
      <c r="Y2493" s="1"/>
    </row>
    <row r="2494" spans="7:25">
      <c r="G2494" s="62" t="s">
        <v>187</v>
      </c>
      <c r="I2494" s="48"/>
      <c r="J2494" s="118"/>
      <c r="K2494" s="118"/>
      <c r="L2494" s="118"/>
      <c r="M2494" s="118"/>
      <c r="N2494" s="118"/>
      <c r="O2494" s="118"/>
      <c r="P2494" s="120"/>
      <c r="Q2494" s="306"/>
      <c r="R2494" s="60"/>
      <c r="S2494" s="60"/>
      <c r="T2494" s="146"/>
      <c r="U2494" s="122"/>
      <c r="W2494" s="1"/>
      <c r="X2494" s="1"/>
      <c r="Y2494" s="1"/>
    </row>
    <row r="2495" spans="7:25">
      <c r="G2495" s="62" t="s">
        <v>188</v>
      </c>
      <c r="I2495" s="48"/>
      <c r="J2495" s="118"/>
      <c r="K2495" s="118"/>
      <c r="L2495" s="118"/>
      <c r="M2495" s="118"/>
      <c r="N2495" s="118"/>
      <c r="O2495" s="118"/>
      <c r="P2495" s="118"/>
      <c r="Q2495" s="121"/>
      <c r="R2495" s="151">
        <f>Q2495</f>
        <v>0</v>
      </c>
      <c r="S2495" s="60"/>
      <c r="T2495" s="146"/>
      <c r="U2495" s="122"/>
      <c r="W2495" s="1"/>
      <c r="X2495" s="1"/>
      <c r="Y2495" s="1"/>
    </row>
    <row r="2496" spans="7:25">
      <c r="G2496" s="62" t="s">
        <v>189</v>
      </c>
      <c r="I2496" s="48"/>
      <c r="J2496" s="118"/>
      <c r="K2496" s="118"/>
      <c r="L2496" s="118"/>
      <c r="M2496" s="118"/>
      <c r="N2496" s="118"/>
      <c r="O2496" s="118"/>
      <c r="P2496" s="118"/>
      <c r="Q2496" s="151">
        <f>R2465</f>
        <v>0</v>
      </c>
      <c r="R2496" s="173">
        <f>Q2496</f>
        <v>0</v>
      </c>
      <c r="S2496" s="60"/>
      <c r="T2496" s="146"/>
      <c r="U2496" s="122"/>
      <c r="W2496" s="1"/>
      <c r="X2496" s="1"/>
      <c r="Y2496" s="1"/>
    </row>
    <row r="2497" spans="2:25">
      <c r="G2497" s="62" t="s">
        <v>190</v>
      </c>
      <c r="I2497" s="48"/>
      <c r="J2497" s="118"/>
      <c r="K2497" s="118"/>
      <c r="L2497" s="118"/>
      <c r="M2497" s="118"/>
      <c r="N2497" s="118"/>
      <c r="O2497" s="118"/>
      <c r="P2497" s="118"/>
      <c r="Q2497" s="118"/>
      <c r="R2497" s="173"/>
      <c r="S2497" s="151">
        <f>R2497</f>
        <v>0</v>
      </c>
      <c r="T2497" s="146"/>
      <c r="U2497" s="122"/>
      <c r="W2497" s="1"/>
      <c r="X2497" s="1"/>
      <c r="Y2497" s="1"/>
    </row>
    <row r="2498" spans="2:25">
      <c r="G2498" s="62" t="s">
        <v>199</v>
      </c>
      <c r="I2498" s="48"/>
      <c r="J2498" s="118"/>
      <c r="K2498" s="118"/>
      <c r="L2498" s="118"/>
      <c r="M2498" s="118"/>
      <c r="N2498" s="118"/>
      <c r="O2498" s="118"/>
      <c r="P2498" s="118"/>
      <c r="Q2498" s="118"/>
      <c r="R2498" s="120"/>
      <c r="S2498" s="173">
        <v>0</v>
      </c>
      <c r="T2498" s="146"/>
      <c r="U2498" s="122"/>
      <c r="W2498" s="1"/>
      <c r="X2498" s="1"/>
      <c r="Y2498" s="1"/>
    </row>
    <row r="2499" spans="2:25">
      <c r="G2499" s="62" t="s">
        <v>200</v>
      </c>
      <c r="I2499" s="48"/>
      <c r="J2499" s="118"/>
      <c r="K2499" s="118"/>
      <c r="L2499" s="118"/>
      <c r="M2499" s="118"/>
      <c r="N2499" s="118"/>
      <c r="O2499" s="118"/>
      <c r="P2499" s="118"/>
      <c r="Q2499" s="118"/>
      <c r="R2499" s="118"/>
      <c r="S2499" s="173">
        <v>0</v>
      </c>
      <c r="T2499" s="151">
        <f>S2499</f>
        <v>0</v>
      </c>
      <c r="U2499" s="122"/>
      <c r="W2499" s="1"/>
      <c r="X2499" s="1"/>
      <c r="Y2499" s="1"/>
    </row>
    <row r="2500" spans="2:25">
      <c r="G2500" s="62" t="s">
        <v>308</v>
      </c>
      <c r="I2500" s="48"/>
      <c r="J2500" s="118"/>
      <c r="K2500" s="118"/>
      <c r="L2500" s="118"/>
      <c r="M2500" s="118"/>
      <c r="N2500" s="118"/>
      <c r="O2500" s="118"/>
      <c r="P2500" s="118"/>
      <c r="Q2500" s="118"/>
      <c r="R2500" s="118"/>
      <c r="S2500" s="120">
        <f>T2500</f>
        <v>0</v>
      </c>
      <c r="T2500" s="173">
        <v>0</v>
      </c>
      <c r="U2500" s="122"/>
      <c r="W2500" s="1"/>
      <c r="X2500" s="1"/>
      <c r="Y2500" s="1"/>
    </row>
    <row r="2501" spans="2:25">
      <c r="G2501" s="62" t="s">
        <v>307</v>
      </c>
      <c r="I2501" s="114"/>
      <c r="J2501" s="107"/>
      <c r="K2501" s="107"/>
      <c r="L2501" s="107"/>
      <c r="M2501" s="107"/>
      <c r="N2501" s="107"/>
      <c r="O2501" s="107"/>
      <c r="P2501" s="107"/>
      <c r="Q2501" s="107"/>
      <c r="R2501" s="107"/>
      <c r="S2501" s="107"/>
      <c r="T2501" s="173">
        <v>0</v>
      </c>
      <c r="U2501" s="456">
        <f>T2501</f>
        <v>0</v>
      </c>
      <c r="W2501" s="1"/>
      <c r="X2501" s="1"/>
      <c r="Y2501" s="1"/>
    </row>
    <row r="2502" spans="2:25">
      <c r="G2502" s="62" t="s">
        <v>318</v>
      </c>
      <c r="I2502" s="114"/>
      <c r="J2502" s="107"/>
      <c r="K2502" s="107"/>
      <c r="L2502" s="107"/>
      <c r="M2502" s="107"/>
      <c r="N2502" s="107"/>
      <c r="O2502" s="107"/>
      <c r="P2502" s="107"/>
      <c r="Q2502" s="107"/>
      <c r="R2502" s="107"/>
      <c r="S2502" s="107"/>
      <c r="T2502" s="120">
        <f>U2502</f>
        <v>0</v>
      </c>
      <c r="U2502" s="457">
        <v>0</v>
      </c>
      <c r="W2502" s="1"/>
      <c r="X2502" s="1"/>
      <c r="Y2502" s="1"/>
    </row>
    <row r="2503" spans="2:25">
      <c r="G2503" s="62" t="s">
        <v>319</v>
      </c>
      <c r="I2503" s="49"/>
      <c r="J2503" s="194"/>
      <c r="K2503" s="194"/>
      <c r="L2503" s="194"/>
      <c r="M2503" s="194"/>
      <c r="N2503" s="194"/>
      <c r="O2503" s="194"/>
      <c r="P2503" s="194"/>
      <c r="Q2503" s="194"/>
      <c r="R2503" s="194"/>
      <c r="S2503" s="194"/>
      <c r="T2503" s="194"/>
      <c r="U2503" s="458">
        <v>0</v>
      </c>
      <c r="W2503" s="1"/>
      <c r="X2503" s="1"/>
      <c r="Y2503" s="1"/>
    </row>
    <row r="2504" spans="2:25">
      <c r="B2504" s="1" t="s">
        <v>230</v>
      </c>
      <c r="G2504" s="26" t="s">
        <v>17</v>
      </c>
      <c r="I2504" s="7">
        <f xml:space="preserve"> I2485 - I2484</f>
        <v>0</v>
      </c>
      <c r="J2504" s="7">
        <f xml:space="preserve"> J2484 + J2487 - J2486 - J2485</f>
        <v>0</v>
      </c>
      <c r="K2504" s="7">
        <f>K2486 - K2487</f>
        <v>0</v>
      </c>
      <c r="L2504" s="7">
        <f>L2486 - L2487</f>
        <v>0</v>
      </c>
      <c r="M2504" s="7">
        <f>M2485-M2486-M2487</f>
        <v>0</v>
      </c>
      <c r="N2504" s="7">
        <f>N2487-N2488-N2489</f>
        <v>0</v>
      </c>
      <c r="O2504" s="7">
        <f>O2489-O2490-O2491</f>
        <v>0</v>
      </c>
      <c r="P2504" s="154">
        <f>P2491-P2492-P2493</f>
        <v>0</v>
      </c>
      <c r="Q2504" s="154">
        <f>Q2493+Q2496-Q2495-Q2494</f>
        <v>0</v>
      </c>
      <c r="R2504" s="154">
        <f>R2495-R2496+R2498</f>
        <v>0</v>
      </c>
      <c r="S2504" s="7">
        <f>S2497-S2498+S2499-S2500</f>
        <v>0</v>
      </c>
      <c r="T2504" s="7">
        <f>T2499-T2500-T2501+T2502</f>
        <v>0</v>
      </c>
      <c r="U2504" s="7">
        <f>U2501-U2502-U2503</f>
        <v>0</v>
      </c>
      <c r="W2504" s="1"/>
      <c r="X2504" s="1"/>
      <c r="Y2504" s="1"/>
    </row>
    <row r="2505" spans="2:25">
      <c r="G2505" s="6"/>
      <c r="I2505" s="154"/>
      <c r="J2505" s="154"/>
      <c r="K2505" s="154"/>
      <c r="L2505" s="154"/>
      <c r="M2505" s="154"/>
      <c r="N2505" s="154"/>
      <c r="O2505" s="154"/>
      <c r="P2505" s="154"/>
      <c r="Q2505" s="154"/>
      <c r="R2505" s="154"/>
      <c r="S2505" s="154"/>
      <c r="T2505" s="154"/>
      <c r="U2505" s="154"/>
      <c r="W2505" s="1"/>
      <c r="X2505" s="1"/>
      <c r="Y2505" s="1"/>
    </row>
    <row r="2506" spans="2:25">
      <c r="G2506" s="26" t="s">
        <v>12</v>
      </c>
      <c r="H2506" s="57"/>
      <c r="I2506" s="155"/>
      <c r="J2506" s="156"/>
      <c r="K2506" s="156"/>
      <c r="L2506" s="156"/>
      <c r="M2506" s="156"/>
      <c r="N2506" s="156"/>
      <c r="O2506" s="156"/>
      <c r="P2506" s="156"/>
      <c r="Q2506" s="156"/>
      <c r="R2506" s="156"/>
      <c r="S2506" s="156"/>
      <c r="T2506" s="156"/>
      <c r="U2506" s="267"/>
      <c r="W2506" s="1"/>
      <c r="X2506" s="1"/>
      <c r="Y2506" s="1"/>
    </row>
    <row r="2507" spans="2:25">
      <c r="G2507" s="6"/>
      <c r="I2507" s="154"/>
      <c r="J2507" s="154"/>
      <c r="K2507" s="154"/>
      <c r="L2507" s="154"/>
      <c r="M2507" s="154"/>
      <c r="N2507" s="154"/>
      <c r="O2507" s="154"/>
      <c r="P2507" s="154"/>
      <c r="Q2507" s="154"/>
      <c r="R2507" s="154"/>
      <c r="S2507" s="154"/>
      <c r="T2507" s="154"/>
      <c r="U2507" s="154"/>
      <c r="W2507" s="1"/>
      <c r="X2507" s="1"/>
      <c r="Y2507" s="1"/>
    </row>
    <row r="2508" spans="2:25" ht="18.75">
      <c r="C2508" s="1" t="s">
        <v>230</v>
      </c>
      <c r="D2508" s="1" t="s">
        <v>249</v>
      </c>
      <c r="E2508" s="1" t="s">
        <v>107</v>
      </c>
      <c r="F2508" s="9" t="s">
        <v>26</v>
      </c>
      <c r="H2508" s="57"/>
      <c r="I2508" s="157">
        <f t="shared" ref="I2508:S2508" si="1146" xml:space="preserve"> I2465 + I2470 - I2476 + I2504 + I2506</f>
        <v>0</v>
      </c>
      <c r="J2508" s="158">
        <f t="shared" si="1146"/>
        <v>0</v>
      </c>
      <c r="K2508" s="158">
        <f t="shared" si="1146"/>
        <v>0</v>
      </c>
      <c r="L2508" s="158">
        <f t="shared" si="1146"/>
        <v>0</v>
      </c>
      <c r="M2508" s="158">
        <f t="shared" si="1146"/>
        <v>0</v>
      </c>
      <c r="N2508" s="158">
        <f t="shared" si="1146"/>
        <v>0</v>
      </c>
      <c r="O2508" s="158">
        <f t="shared" si="1146"/>
        <v>0</v>
      </c>
      <c r="P2508" s="158">
        <f t="shared" si="1146"/>
        <v>0</v>
      </c>
      <c r="Q2508" s="158">
        <f t="shared" si="1146"/>
        <v>0</v>
      </c>
      <c r="R2508" s="158">
        <f t="shared" si="1146"/>
        <v>0</v>
      </c>
      <c r="S2508" s="158">
        <f t="shared" si="1146"/>
        <v>8638</v>
      </c>
      <c r="T2508" s="158">
        <f t="shared" ref="T2508:U2508" si="1147" xml:space="preserve"> T2465 + T2470 - T2476 + T2504 + T2506</f>
        <v>0</v>
      </c>
      <c r="U2508" s="268">
        <f t="shared" si="1147"/>
        <v>0</v>
      </c>
      <c r="W2508" s="1"/>
      <c r="X2508" s="1"/>
      <c r="Y2508" s="1"/>
    </row>
    <row r="2509" spans="2:25" ht="15.75" thickBot="1">
      <c r="W2509" s="1"/>
      <c r="X2509" s="1"/>
      <c r="Y2509" s="1"/>
    </row>
    <row r="2510" spans="2:25" ht="15" customHeight="1">
      <c r="F2510" s="8"/>
      <c r="G2510" s="8"/>
      <c r="H2510" s="8"/>
      <c r="I2510" s="8"/>
      <c r="J2510" s="8"/>
      <c r="K2510" s="8"/>
      <c r="L2510" s="8"/>
      <c r="M2510" s="8"/>
      <c r="N2510" s="8"/>
      <c r="O2510" s="8"/>
      <c r="P2510" s="8"/>
      <c r="Q2510" s="8"/>
      <c r="R2510" s="8"/>
      <c r="S2510" s="290"/>
      <c r="T2510" s="8"/>
      <c r="U2510" s="8"/>
      <c r="W2510" s="1"/>
      <c r="X2510" s="1"/>
      <c r="Y2510" s="1"/>
    </row>
    <row r="2511" spans="2:25" ht="15" customHeight="1" thickBot="1">
      <c r="W2511" s="1"/>
      <c r="X2511" s="1"/>
      <c r="Y2511" s="1"/>
    </row>
    <row r="2512" spans="2:25" ht="21" customHeight="1" thickBot="1">
      <c r="F2512" s="13" t="s">
        <v>4</v>
      </c>
      <c r="G2512" s="13"/>
      <c r="H2512" s="185" t="s">
        <v>162</v>
      </c>
      <c r="I2512" s="183"/>
      <c r="W2512" s="1"/>
      <c r="X2512" s="1"/>
      <c r="Y2512" s="1"/>
    </row>
    <row r="2513" spans="1:25" ht="15" customHeight="1">
      <c r="W2513" s="1"/>
      <c r="X2513" s="1"/>
      <c r="Y2513" s="1"/>
    </row>
    <row r="2514" spans="1:25" ht="18.75" customHeight="1">
      <c r="F2514" s="9" t="s">
        <v>21</v>
      </c>
      <c r="G2514" s="9"/>
      <c r="I2514" s="2">
        <f>'Facility Detail'!$G$3260</f>
        <v>2011</v>
      </c>
      <c r="J2514" s="2">
        <f>I2514+1</f>
        <v>2012</v>
      </c>
      <c r="K2514" s="2">
        <f>J2514+1</f>
        <v>2013</v>
      </c>
      <c r="L2514" s="2">
        <f t="shared" ref="L2514:P2514" si="1148">K2514+1</f>
        <v>2014</v>
      </c>
      <c r="M2514" s="2">
        <f t="shared" si="1148"/>
        <v>2015</v>
      </c>
      <c r="N2514" s="2">
        <f t="shared" si="1148"/>
        <v>2016</v>
      </c>
      <c r="O2514" s="2">
        <f t="shared" si="1148"/>
        <v>2017</v>
      </c>
      <c r="P2514" s="2">
        <f t="shared" si="1148"/>
        <v>2018</v>
      </c>
      <c r="Q2514" s="2">
        <f t="shared" ref="Q2514" si="1149">P2514+1</f>
        <v>2019</v>
      </c>
      <c r="R2514" s="2">
        <f t="shared" ref="R2514" si="1150">Q2514+1</f>
        <v>2020</v>
      </c>
      <c r="S2514" s="2">
        <f>R2514+1</f>
        <v>2021</v>
      </c>
      <c r="T2514" s="2">
        <f>S2514+1</f>
        <v>2022</v>
      </c>
      <c r="U2514" s="2">
        <f>T2514+1</f>
        <v>2023</v>
      </c>
      <c r="W2514" s="1"/>
      <c r="X2514" s="1"/>
      <c r="Y2514" s="1"/>
    </row>
    <row r="2515" spans="1:25" ht="15" customHeight="1">
      <c r="G2515" s="62" t="str">
        <f>"Total MWh Produced / Purchased from " &amp; H2512</f>
        <v>Total MWh Produced / Purchased from Rolling Hills</v>
      </c>
      <c r="H2515" s="57"/>
      <c r="I2515" s="3"/>
      <c r="J2515" s="4"/>
      <c r="K2515" s="4"/>
      <c r="L2515" s="4"/>
      <c r="M2515" s="4">
        <v>5468</v>
      </c>
      <c r="N2515" s="4"/>
      <c r="O2515" s="4"/>
      <c r="P2515" s="4"/>
      <c r="Q2515" s="4"/>
      <c r="R2515" s="4">
        <v>363208</v>
      </c>
      <c r="S2515" s="4">
        <v>296559</v>
      </c>
      <c r="T2515" s="4">
        <v>286356</v>
      </c>
      <c r="U2515" s="5">
        <v>314505</v>
      </c>
      <c r="W2515" s="1"/>
      <c r="X2515" s="1"/>
      <c r="Y2515" s="1"/>
    </row>
    <row r="2516" spans="1:25" ht="15" customHeight="1">
      <c r="G2516" s="62" t="s">
        <v>25</v>
      </c>
      <c r="H2516" s="57"/>
      <c r="I2516" s="269"/>
      <c r="J2516" s="41"/>
      <c r="K2516" s="41"/>
      <c r="L2516" s="41"/>
      <c r="M2516" s="41">
        <v>1</v>
      </c>
      <c r="N2516" s="41"/>
      <c r="O2516" s="41"/>
      <c r="P2516" s="41"/>
      <c r="Q2516" s="41"/>
      <c r="R2516" s="41">
        <v>1</v>
      </c>
      <c r="S2516" s="41">
        <v>1</v>
      </c>
      <c r="T2516" s="41">
        <v>1</v>
      </c>
      <c r="U2516" s="42">
        <v>1</v>
      </c>
      <c r="W2516" s="1"/>
      <c r="X2516" s="1"/>
      <c r="Y2516" s="1"/>
    </row>
    <row r="2517" spans="1:25" ht="15" customHeight="1">
      <c r="G2517" s="62" t="s">
        <v>20</v>
      </c>
      <c r="H2517" s="57"/>
      <c r="I2517" s="270"/>
      <c r="J2517" s="36"/>
      <c r="K2517" s="36"/>
      <c r="L2517" s="36"/>
      <c r="M2517" s="36">
        <v>8.0535999999999996E-2</v>
      </c>
      <c r="N2517" s="36"/>
      <c r="O2517" s="36"/>
      <c r="P2517" s="36"/>
      <c r="Q2517" s="36"/>
      <c r="R2517" s="36">
        <f>R2411</f>
        <v>8.1268700519883177E-2</v>
      </c>
      <c r="S2517" s="36">
        <f>S2</f>
        <v>7.9696892166366717E-2</v>
      </c>
      <c r="T2517" s="36">
        <f>T2</f>
        <v>7.8737918965874246E-2</v>
      </c>
      <c r="U2517" s="36">
        <f>U2</f>
        <v>7.8407467372863096E-2</v>
      </c>
      <c r="W2517" s="1"/>
      <c r="X2517" s="1"/>
      <c r="Y2517" s="1"/>
    </row>
    <row r="2518" spans="1:25" ht="15" customHeight="1">
      <c r="A2518" s="1" t="s">
        <v>162</v>
      </c>
      <c r="G2518" s="26" t="s">
        <v>22</v>
      </c>
      <c r="H2518" s="6"/>
      <c r="I2518" s="30">
        <f xml:space="preserve"> ROUND(I2515 * I2516 * I2517,0)</f>
        <v>0</v>
      </c>
      <c r="J2518" s="30">
        <f t="shared" ref="J2518:L2518" si="1151" xml:space="preserve"> ROUND(J2515 * J2516 * J2517,0)</f>
        <v>0</v>
      </c>
      <c r="K2518" s="30">
        <f t="shared" si="1151"/>
        <v>0</v>
      </c>
      <c r="L2518" s="30">
        <f t="shared" si="1151"/>
        <v>0</v>
      </c>
      <c r="M2518" s="30">
        <v>5468</v>
      </c>
      <c r="N2518" s="161">
        <f t="shared" ref="N2518:O2518" si="1152" xml:space="preserve"> ROUND(N2515 * N2516 * N2517,0)</f>
        <v>0</v>
      </c>
      <c r="O2518" s="161">
        <f t="shared" si="1152"/>
        <v>0</v>
      </c>
      <c r="P2518" s="161">
        <f t="shared" ref="P2518:Q2518" si="1153" xml:space="preserve"> ROUND(P2515 * P2516 * P2517,0)</f>
        <v>0</v>
      </c>
      <c r="Q2518" s="161">
        <f t="shared" si="1153"/>
        <v>0</v>
      </c>
      <c r="R2518" s="161">
        <f t="shared" ref="R2518" si="1154" xml:space="preserve"> ROUND(R2515 * R2516 * R2517,0)</f>
        <v>29517</v>
      </c>
      <c r="S2518" s="161">
        <f xml:space="preserve"> ROUNDUP(S2515 * S2516 * S2517,0)</f>
        <v>23635</v>
      </c>
      <c r="T2518" s="161">
        <f xml:space="preserve"> ROUNDUP(T2515 * T2516 * T2517,0)</f>
        <v>22548</v>
      </c>
      <c r="U2518" s="161">
        <f t="shared" ref="U2518" si="1155" xml:space="preserve"> ROUND(U2515 * U2516 * U2517,0)</f>
        <v>24660</v>
      </c>
      <c r="W2518" s="1"/>
      <c r="X2518" s="1"/>
      <c r="Y2518" s="1"/>
    </row>
    <row r="2519" spans="1:25" ht="15" customHeight="1">
      <c r="I2519" s="29"/>
      <c r="J2519" s="29"/>
      <c r="K2519" s="29"/>
      <c r="L2519" s="29"/>
      <c r="M2519" s="29"/>
      <c r="N2519" s="20"/>
      <c r="O2519" s="20"/>
      <c r="P2519" s="20"/>
      <c r="Q2519" s="20"/>
      <c r="R2519" s="20"/>
      <c r="S2519" s="292"/>
      <c r="T2519" s="20"/>
      <c r="U2519" s="20"/>
      <c r="W2519" s="1"/>
      <c r="X2519" s="1"/>
      <c r="Y2519" s="1"/>
    </row>
    <row r="2520" spans="1:25" ht="18.75" customHeight="1">
      <c r="F2520" s="9" t="s">
        <v>118</v>
      </c>
      <c r="I2520" s="2">
        <f>'Facility Detail'!$G$3260</f>
        <v>2011</v>
      </c>
      <c r="J2520" s="2">
        <f>I2520+1</f>
        <v>2012</v>
      </c>
      <c r="K2520" s="2">
        <f>J2520+1</f>
        <v>2013</v>
      </c>
      <c r="L2520" s="2">
        <f t="shared" ref="L2520:O2520" si="1156">K2520+1</f>
        <v>2014</v>
      </c>
      <c r="M2520" s="2">
        <f t="shared" si="1156"/>
        <v>2015</v>
      </c>
      <c r="N2520" s="2">
        <f t="shared" si="1156"/>
        <v>2016</v>
      </c>
      <c r="O2520" s="2">
        <f t="shared" si="1156"/>
        <v>2017</v>
      </c>
      <c r="P2520" s="2">
        <f>P2514</f>
        <v>2018</v>
      </c>
      <c r="Q2520" s="2">
        <f t="shared" ref="Q2520:S2520" si="1157">Q2514</f>
        <v>2019</v>
      </c>
      <c r="R2520" s="2">
        <f t="shared" si="1157"/>
        <v>2020</v>
      </c>
      <c r="S2520" s="2">
        <f t="shared" si="1157"/>
        <v>2021</v>
      </c>
      <c r="T2520" s="2">
        <f t="shared" ref="T2520:U2520" si="1158">T2514</f>
        <v>2022</v>
      </c>
      <c r="U2520" s="2">
        <f t="shared" si="1158"/>
        <v>2023</v>
      </c>
      <c r="W2520" s="1"/>
      <c r="X2520" s="1"/>
      <c r="Y2520" s="1"/>
    </row>
    <row r="2521" spans="1:25" ht="15" customHeight="1">
      <c r="G2521" s="62" t="s">
        <v>10</v>
      </c>
      <c r="H2521" s="57"/>
      <c r="I2521" s="38">
        <f>IF($J55= "Eligible", I2518 * 'Facility Detail'!$G$3257, 0 )</f>
        <v>0</v>
      </c>
      <c r="J2521" s="11">
        <f>IF($J55= "Eligible", J2518 * 'Facility Detail'!$G$3257, 0 )</f>
        <v>0</v>
      </c>
      <c r="K2521" s="11">
        <f>IF($J55= "Eligible", K2518 * 'Facility Detail'!$G$3257, 0 )</f>
        <v>0</v>
      </c>
      <c r="L2521" s="11">
        <f>IF($J55= "Eligible", L2518 * 'Facility Detail'!$G$3257, 0 )</f>
        <v>0</v>
      </c>
      <c r="M2521" s="11">
        <f>IF($J55= "Eligible", M2518 * 'Facility Detail'!$G$3257, 0 )</f>
        <v>0</v>
      </c>
      <c r="N2521" s="11">
        <f>IF($J55= "Eligible", N2518 * 'Facility Detail'!$G$3257, 0 )</f>
        <v>0</v>
      </c>
      <c r="O2521" s="11">
        <f>IF($J55= "Eligible", O2518 * 'Facility Detail'!$G$3257, 0 )</f>
        <v>0</v>
      </c>
      <c r="P2521" s="11">
        <f>IF($J55= "Eligible", P2518 * 'Facility Detail'!$G$3257, 0 )</f>
        <v>0</v>
      </c>
      <c r="Q2521" s="11">
        <f>IF($J55= "Eligible", Q2518 * 'Facility Detail'!$G$3257, 0 )</f>
        <v>0</v>
      </c>
      <c r="R2521" s="11">
        <f>IF($J55= "Eligible", R2518 * 'Facility Detail'!$G$3257, 0 )</f>
        <v>0</v>
      </c>
      <c r="S2521" s="11">
        <f>IF($J55= "Eligible", S2518 * 'Facility Detail'!$G$3257, 0 )</f>
        <v>0</v>
      </c>
      <c r="T2521" s="11">
        <f>IF($J55= "Eligible", T2518 * 'Facility Detail'!$G$3257, 0 )</f>
        <v>0</v>
      </c>
      <c r="U2521" s="223">
        <f>IF($J55= "Eligible", U2518 * 'Facility Detail'!$G$3257, 0 )</f>
        <v>0</v>
      </c>
      <c r="W2521" s="1"/>
      <c r="X2521" s="1"/>
      <c r="Y2521" s="1"/>
    </row>
    <row r="2522" spans="1:25" ht="15" customHeight="1">
      <c r="G2522" s="62" t="s">
        <v>6</v>
      </c>
      <c r="H2522" s="57"/>
      <c r="I2522" s="39">
        <f t="shared" ref="I2522:U2522" si="1159">IF($K55= "Eligible", I2518, 0 )</f>
        <v>0</v>
      </c>
      <c r="J2522" s="193">
        <f t="shared" si="1159"/>
        <v>0</v>
      </c>
      <c r="K2522" s="193">
        <f t="shared" si="1159"/>
        <v>0</v>
      </c>
      <c r="L2522" s="193">
        <f t="shared" si="1159"/>
        <v>0</v>
      </c>
      <c r="M2522" s="193">
        <f t="shared" si="1159"/>
        <v>0</v>
      </c>
      <c r="N2522" s="193">
        <f t="shared" si="1159"/>
        <v>0</v>
      </c>
      <c r="O2522" s="193">
        <f t="shared" si="1159"/>
        <v>0</v>
      </c>
      <c r="P2522" s="193">
        <f t="shared" si="1159"/>
        <v>0</v>
      </c>
      <c r="Q2522" s="193">
        <f t="shared" si="1159"/>
        <v>0</v>
      </c>
      <c r="R2522" s="193">
        <f t="shared" si="1159"/>
        <v>0</v>
      </c>
      <c r="S2522" s="193">
        <f t="shared" si="1159"/>
        <v>0</v>
      </c>
      <c r="T2522" s="193">
        <f t="shared" si="1159"/>
        <v>0</v>
      </c>
      <c r="U2522" s="224">
        <f t="shared" si="1159"/>
        <v>0</v>
      </c>
      <c r="W2522" s="1"/>
      <c r="X2522" s="1"/>
      <c r="Y2522" s="1"/>
    </row>
    <row r="2523" spans="1:25" ht="15" customHeight="1">
      <c r="G2523" s="26" t="s">
        <v>120</v>
      </c>
      <c r="H2523" s="6"/>
      <c r="I2523" s="32">
        <f>SUM(I2521:I2522)</f>
        <v>0</v>
      </c>
      <c r="J2523" s="33">
        <f t="shared" ref="J2523:S2523" si="1160">SUM(J2521:J2522)</f>
        <v>0</v>
      </c>
      <c r="K2523" s="33">
        <f t="shared" si="1160"/>
        <v>0</v>
      </c>
      <c r="L2523" s="33">
        <f t="shared" si="1160"/>
        <v>0</v>
      </c>
      <c r="M2523" s="33">
        <f t="shared" si="1160"/>
        <v>0</v>
      </c>
      <c r="N2523" s="33">
        <f t="shared" si="1160"/>
        <v>0</v>
      </c>
      <c r="O2523" s="33">
        <f t="shared" si="1160"/>
        <v>0</v>
      </c>
      <c r="P2523" s="33">
        <f t="shared" si="1160"/>
        <v>0</v>
      </c>
      <c r="Q2523" s="33">
        <f t="shared" si="1160"/>
        <v>0</v>
      </c>
      <c r="R2523" s="33">
        <f t="shared" si="1160"/>
        <v>0</v>
      </c>
      <c r="S2523" s="33">
        <f t="shared" si="1160"/>
        <v>0</v>
      </c>
      <c r="T2523" s="33">
        <f t="shared" ref="T2523:U2523" si="1161">SUM(T2521:T2522)</f>
        <v>0</v>
      </c>
      <c r="U2523" s="33">
        <f t="shared" si="1161"/>
        <v>0</v>
      </c>
      <c r="W2523" s="1"/>
      <c r="X2523" s="1"/>
      <c r="Y2523" s="1"/>
    </row>
    <row r="2524" spans="1:25" ht="15" customHeight="1">
      <c r="I2524" s="31"/>
      <c r="J2524" s="24"/>
      <c r="K2524" s="24"/>
      <c r="L2524" s="24"/>
      <c r="M2524" s="24"/>
      <c r="N2524" s="24"/>
      <c r="O2524" s="24"/>
      <c r="P2524" s="24"/>
      <c r="Q2524" s="24"/>
      <c r="R2524" s="24"/>
      <c r="S2524" s="24"/>
      <c r="T2524" s="24"/>
      <c r="U2524" s="24"/>
      <c r="W2524" s="1"/>
      <c r="X2524" s="1"/>
      <c r="Y2524" s="1"/>
    </row>
    <row r="2525" spans="1:25" ht="18.75" customHeight="1">
      <c r="F2525" s="9" t="s">
        <v>30</v>
      </c>
      <c r="I2525" s="2">
        <f>'Facility Detail'!$G$3260</f>
        <v>2011</v>
      </c>
      <c r="J2525" s="2">
        <f>I2525+1</f>
        <v>2012</v>
      </c>
      <c r="K2525" s="2">
        <f>J2525+1</f>
        <v>2013</v>
      </c>
      <c r="L2525" s="2">
        <f t="shared" ref="L2525:O2525" si="1162">K2525+1</f>
        <v>2014</v>
      </c>
      <c r="M2525" s="2">
        <f t="shared" si="1162"/>
        <v>2015</v>
      </c>
      <c r="N2525" s="2">
        <f t="shared" si="1162"/>
        <v>2016</v>
      </c>
      <c r="O2525" s="2">
        <f t="shared" si="1162"/>
        <v>2017</v>
      </c>
      <c r="P2525" s="2">
        <f>P2514</f>
        <v>2018</v>
      </c>
      <c r="Q2525" s="2">
        <f t="shared" ref="Q2525:S2525" si="1163">Q2514</f>
        <v>2019</v>
      </c>
      <c r="R2525" s="2">
        <f t="shared" si="1163"/>
        <v>2020</v>
      </c>
      <c r="S2525" s="2">
        <f t="shared" si="1163"/>
        <v>2021</v>
      </c>
      <c r="T2525" s="2">
        <f t="shared" ref="T2525:U2525" si="1164">T2514</f>
        <v>2022</v>
      </c>
      <c r="U2525" s="2">
        <f t="shared" si="1164"/>
        <v>2023</v>
      </c>
      <c r="W2525" s="1"/>
      <c r="X2525" s="1"/>
      <c r="Y2525" s="1"/>
    </row>
    <row r="2526" spans="1:25" ht="15" customHeight="1">
      <c r="G2526" s="62" t="s">
        <v>47</v>
      </c>
      <c r="H2526" s="57"/>
      <c r="I2526" s="71"/>
      <c r="J2526" s="72"/>
      <c r="K2526" s="72"/>
      <c r="L2526" s="72"/>
      <c r="M2526" s="72"/>
      <c r="N2526" s="72"/>
      <c r="O2526" s="72"/>
      <c r="P2526" s="72"/>
      <c r="Q2526" s="72"/>
      <c r="R2526" s="72"/>
      <c r="S2526" s="72"/>
      <c r="T2526" s="72"/>
      <c r="U2526" s="73"/>
      <c r="W2526" s="1"/>
      <c r="X2526" s="1"/>
      <c r="Y2526" s="1"/>
    </row>
    <row r="2527" spans="1:25" ht="15" customHeight="1">
      <c r="G2527" s="63" t="s">
        <v>23</v>
      </c>
      <c r="H2527" s="135"/>
      <c r="I2527" s="74"/>
      <c r="J2527" s="75"/>
      <c r="K2527" s="75"/>
      <c r="L2527" s="75"/>
      <c r="M2527" s="75"/>
      <c r="N2527" s="75"/>
      <c r="O2527" s="75"/>
      <c r="P2527" s="75"/>
      <c r="Q2527" s="75"/>
      <c r="R2527" s="75"/>
      <c r="S2527" s="75"/>
      <c r="T2527" s="75"/>
      <c r="U2527" s="76"/>
      <c r="W2527" s="1"/>
      <c r="X2527" s="1"/>
      <c r="Y2527" s="1"/>
    </row>
    <row r="2528" spans="1:25" ht="15" customHeight="1">
      <c r="G2528" s="63" t="s">
        <v>89</v>
      </c>
      <c r="H2528" s="134"/>
      <c r="I2528" s="43"/>
      <c r="J2528" s="44"/>
      <c r="K2528" s="44"/>
      <c r="L2528" s="44"/>
      <c r="M2528" s="44"/>
      <c r="N2528" s="44"/>
      <c r="O2528" s="44"/>
      <c r="P2528" s="44"/>
      <c r="Q2528" s="44"/>
      <c r="R2528" s="44"/>
      <c r="S2528" s="44"/>
      <c r="T2528" s="44"/>
      <c r="U2528" s="45"/>
      <c r="W2528" s="1"/>
      <c r="X2528" s="1"/>
      <c r="Y2528" s="1"/>
    </row>
    <row r="2529" spans="6:25" ht="15" customHeight="1">
      <c r="G2529" s="26" t="s">
        <v>90</v>
      </c>
      <c r="I2529" s="7">
        <f>SUM(I2526:I2528)</f>
        <v>0</v>
      </c>
      <c r="J2529" s="7">
        <f>SUM(J2526:J2528)</f>
        <v>0</v>
      </c>
      <c r="K2529" s="7">
        <f>SUM(K2526:K2528)</f>
        <v>0</v>
      </c>
      <c r="L2529" s="7">
        <f t="shared" ref="L2529:N2529" si="1165">SUM(L2526:L2528)</f>
        <v>0</v>
      </c>
      <c r="M2529" s="7">
        <f t="shared" si="1165"/>
        <v>0</v>
      </c>
      <c r="N2529" s="7">
        <f t="shared" si="1165"/>
        <v>0</v>
      </c>
      <c r="O2529" s="7"/>
      <c r="P2529" s="7"/>
      <c r="Q2529" s="7"/>
      <c r="R2529" s="7"/>
      <c r="S2529" s="7"/>
      <c r="T2529" s="7"/>
      <c r="U2529" s="7"/>
      <c r="W2529" s="1"/>
      <c r="X2529" s="1"/>
      <c r="Y2529" s="1"/>
    </row>
    <row r="2530" spans="6:25" ht="15" customHeight="1">
      <c r="G2530" s="6"/>
      <c r="I2530" s="7"/>
      <c r="J2530" s="7"/>
      <c r="K2530" s="7"/>
      <c r="L2530" s="23"/>
      <c r="M2530" s="23"/>
      <c r="N2530" s="23"/>
      <c r="O2530" s="23"/>
      <c r="P2530" s="23"/>
      <c r="Q2530" s="23"/>
      <c r="R2530" s="23"/>
      <c r="S2530" s="23"/>
      <c r="T2530" s="23"/>
      <c r="U2530" s="23"/>
      <c r="W2530" s="1"/>
      <c r="X2530" s="1"/>
      <c r="Y2530" s="1"/>
    </row>
    <row r="2531" spans="6:25" ht="18.75" customHeight="1">
      <c r="F2531" s="9" t="s">
        <v>100</v>
      </c>
      <c r="I2531" s="2">
        <f>'Facility Detail'!$G$3260</f>
        <v>2011</v>
      </c>
      <c r="J2531" s="2">
        <f>I2531+1</f>
        <v>2012</v>
      </c>
      <c r="K2531" s="2">
        <f>J2531+1</f>
        <v>2013</v>
      </c>
      <c r="L2531" s="2">
        <f t="shared" ref="L2531:O2531" si="1166">K2531+1</f>
        <v>2014</v>
      </c>
      <c r="M2531" s="2">
        <f t="shared" si="1166"/>
        <v>2015</v>
      </c>
      <c r="N2531" s="2">
        <f t="shared" si="1166"/>
        <v>2016</v>
      </c>
      <c r="O2531" s="2">
        <f t="shared" si="1166"/>
        <v>2017</v>
      </c>
      <c r="P2531" s="2">
        <f>P2514</f>
        <v>2018</v>
      </c>
      <c r="Q2531" s="2">
        <f t="shared" ref="Q2531:S2531" si="1167">Q2514</f>
        <v>2019</v>
      </c>
      <c r="R2531" s="2">
        <f t="shared" si="1167"/>
        <v>2020</v>
      </c>
      <c r="S2531" s="2">
        <f t="shared" si="1167"/>
        <v>2021</v>
      </c>
      <c r="T2531" s="2">
        <f t="shared" ref="T2531:U2531" si="1168">T2514</f>
        <v>2022</v>
      </c>
      <c r="U2531" s="2">
        <f t="shared" si="1168"/>
        <v>2023</v>
      </c>
      <c r="W2531" s="1"/>
      <c r="X2531" s="1"/>
      <c r="Y2531" s="1"/>
    </row>
    <row r="2532" spans="6:25" ht="15" customHeight="1">
      <c r="F2532" s="9"/>
      <c r="G2532" s="62" t="s">
        <v>68</v>
      </c>
      <c r="I2532" s="3"/>
      <c r="J2532" s="46">
        <f>I2532</f>
        <v>0</v>
      </c>
      <c r="K2532" s="106"/>
      <c r="L2532" s="106"/>
      <c r="M2532" s="106"/>
      <c r="N2532" s="106"/>
      <c r="O2532" s="106"/>
      <c r="P2532" s="106"/>
      <c r="Q2532" s="106"/>
      <c r="R2532" s="106"/>
      <c r="S2532" s="106"/>
      <c r="T2532" s="217"/>
      <c r="U2532" s="47"/>
      <c r="W2532" s="1"/>
      <c r="X2532" s="1"/>
      <c r="Y2532" s="1"/>
    </row>
    <row r="2533" spans="6:25" ht="15" customHeight="1">
      <c r="F2533" s="9"/>
      <c r="G2533" s="62" t="s">
        <v>69</v>
      </c>
      <c r="I2533" s="127">
        <f>J2533</f>
        <v>0</v>
      </c>
      <c r="J2533" s="10"/>
      <c r="K2533" s="60"/>
      <c r="L2533" s="60"/>
      <c r="M2533" s="60"/>
      <c r="N2533" s="60"/>
      <c r="O2533" s="60"/>
      <c r="P2533" s="60"/>
      <c r="Q2533" s="60"/>
      <c r="R2533" s="60"/>
      <c r="S2533" s="60"/>
      <c r="T2533" s="218"/>
      <c r="U2533" s="128"/>
      <c r="W2533" s="1"/>
      <c r="X2533" s="1"/>
      <c r="Y2533" s="1"/>
    </row>
    <row r="2534" spans="6:25" ht="15" customHeight="1">
      <c r="F2534" s="9"/>
      <c r="G2534" s="62" t="s">
        <v>70</v>
      </c>
      <c r="I2534" s="48"/>
      <c r="J2534" s="10">
        <f>J2518</f>
        <v>0</v>
      </c>
      <c r="K2534" s="56">
        <f>J2534</f>
        <v>0</v>
      </c>
      <c r="L2534" s="60"/>
      <c r="M2534" s="60"/>
      <c r="N2534" s="60"/>
      <c r="O2534" s="60"/>
      <c r="P2534" s="60"/>
      <c r="Q2534" s="60"/>
      <c r="R2534" s="60"/>
      <c r="S2534" s="60"/>
      <c r="T2534" s="218"/>
      <c r="U2534" s="128"/>
      <c r="W2534" s="1"/>
      <c r="X2534" s="1"/>
      <c r="Y2534" s="1"/>
    </row>
    <row r="2535" spans="6:25" ht="15" customHeight="1">
      <c r="F2535" s="9"/>
      <c r="G2535" s="62" t="s">
        <v>71</v>
      </c>
      <c r="I2535" s="48"/>
      <c r="J2535" s="56">
        <f>K2535</f>
        <v>0</v>
      </c>
      <c r="K2535" s="10"/>
      <c r="L2535" s="60"/>
      <c r="M2535" s="60"/>
      <c r="N2535" s="60"/>
      <c r="O2535" s="60"/>
      <c r="P2535" s="60"/>
      <c r="Q2535" s="60"/>
      <c r="R2535" s="60"/>
      <c r="S2535" s="60"/>
      <c r="T2535" s="218"/>
      <c r="U2535" s="128"/>
      <c r="W2535" s="1"/>
      <c r="X2535" s="1"/>
      <c r="Y2535" s="1"/>
    </row>
    <row r="2536" spans="6:25" ht="15" customHeight="1">
      <c r="F2536" s="9"/>
      <c r="G2536" s="62" t="s">
        <v>170</v>
      </c>
      <c r="I2536" s="48"/>
      <c r="J2536" s="118"/>
      <c r="K2536" s="10">
        <f>K2518</f>
        <v>0</v>
      </c>
      <c r="L2536" s="119">
        <f>K2536</f>
        <v>0</v>
      </c>
      <c r="M2536" s="60"/>
      <c r="N2536" s="60"/>
      <c r="O2536" s="60"/>
      <c r="P2536" s="60"/>
      <c r="Q2536" s="60"/>
      <c r="R2536" s="60"/>
      <c r="S2536" s="60"/>
      <c r="T2536" s="146"/>
      <c r="U2536" s="122"/>
      <c r="W2536" s="1"/>
      <c r="X2536" s="1"/>
      <c r="Y2536" s="1"/>
    </row>
    <row r="2537" spans="6:25" ht="15" customHeight="1">
      <c r="G2537" s="62" t="s">
        <v>171</v>
      </c>
      <c r="I2537" s="48"/>
      <c r="J2537" s="118"/>
      <c r="K2537" s="56">
        <f>L2537</f>
        <v>0</v>
      </c>
      <c r="L2537" s="10"/>
      <c r="M2537" s="60"/>
      <c r="N2537" s="60"/>
      <c r="O2537" s="60"/>
      <c r="P2537" s="60"/>
      <c r="Q2537" s="60"/>
      <c r="R2537" s="60"/>
      <c r="S2537" s="60"/>
      <c r="T2537" s="146"/>
      <c r="U2537" s="122"/>
      <c r="W2537" s="1"/>
      <c r="X2537" s="1"/>
      <c r="Y2537" s="1"/>
    </row>
    <row r="2538" spans="6:25" ht="15" customHeight="1">
      <c r="G2538" s="62" t="s">
        <v>172</v>
      </c>
      <c r="I2538" s="48"/>
      <c r="J2538" s="118"/>
      <c r="K2538" s="118"/>
      <c r="L2538" s="10"/>
      <c r="M2538" s="119">
        <f>L2538</f>
        <v>0</v>
      </c>
      <c r="N2538" s="118"/>
      <c r="O2538" s="60"/>
      <c r="P2538" s="60"/>
      <c r="Q2538" s="60"/>
      <c r="R2538" s="60"/>
      <c r="S2538" s="60"/>
      <c r="T2538" s="146"/>
      <c r="U2538" s="122"/>
      <c r="W2538" s="1"/>
      <c r="X2538" s="1"/>
      <c r="Y2538" s="1"/>
    </row>
    <row r="2539" spans="6:25" ht="15" customHeight="1">
      <c r="G2539" s="62" t="s">
        <v>173</v>
      </c>
      <c r="I2539" s="48"/>
      <c r="J2539" s="118"/>
      <c r="K2539" s="118"/>
      <c r="L2539" s="56"/>
      <c r="M2539" s="10"/>
      <c r="N2539" s="118"/>
      <c r="O2539" s="60"/>
      <c r="P2539" s="60"/>
      <c r="Q2539" s="60"/>
      <c r="R2539" s="60"/>
      <c r="S2539" s="60"/>
      <c r="T2539" s="146"/>
      <c r="U2539" s="122"/>
      <c r="W2539" s="1"/>
      <c r="X2539" s="1"/>
      <c r="Y2539" s="1"/>
    </row>
    <row r="2540" spans="6:25" ht="15" customHeight="1">
      <c r="G2540" s="62" t="s">
        <v>174</v>
      </c>
      <c r="I2540" s="48"/>
      <c r="J2540" s="118"/>
      <c r="K2540" s="118"/>
      <c r="L2540" s="118"/>
      <c r="M2540" s="10">
        <f>M2518</f>
        <v>5468</v>
      </c>
      <c r="N2540" s="119">
        <f>M2540</f>
        <v>5468</v>
      </c>
      <c r="O2540" s="60"/>
      <c r="P2540" s="60"/>
      <c r="Q2540" s="60"/>
      <c r="R2540" s="60"/>
      <c r="S2540" s="60"/>
      <c r="T2540" s="146"/>
      <c r="U2540" s="122"/>
      <c r="W2540" s="1"/>
      <c r="X2540" s="1"/>
      <c r="Y2540" s="1"/>
    </row>
    <row r="2541" spans="6:25" ht="15" customHeight="1">
      <c r="G2541" s="62" t="s">
        <v>175</v>
      </c>
      <c r="I2541" s="48"/>
      <c r="J2541" s="118"/>
      <c r="K2541" s="118"/>
      <c r="L2541" s="118"/>
      <c r="M2541" s="56"/>
      <c r="N2541" s="10"/>
      <c r="O2541" s="60"/>
      <c r="P2541" s="60"/>
      <c r="Q2541" s="60"/>
      <c r="R2541" s="60"/>
      <c r="S2541" s="60"/>
      <c r="T2541" s="146"/>
      <c r="U2541" s="122"/>
      <c r="W2541" s="1"/>
      <c r="X2541" s="1"/>
      <c r="Y2541" s="1"/>
    </row>
    <row r="2542" spans="6:25" ht="15" customHeight="1">
      <c r="G2542" s="62" t="s">
        <v>176</v>
      </c>
      <c r="I2542" s="48"/>
      <c r="J2542" s="118"/>
      <c r="K2542" s="118"/>
      <c r="L2542" s="118"/>
      <c r="M2542" s="118"/>
      <c r="N2542" s="149">
        <f>N2518</f>
        <v>0</v>
      </c>
      <c r="O2542" s="120">
        <f>N2542</f>
        <v>0</v>
      </c>
      <c r="P2542" s="60"/>
      <c r="Q2542" s="60"/>
      <c r="R2542" s="60"/>
      <c r="S2542" s="60"/>
      <c r="T2542" s="146"/>
      <c r="U2542" s="122"/>
      <c r="W2542" s="1"/>
      <c r="X2542" s="1"/>
      <c r="Y2542" s="1"/>
    </row>
    <row r="2543" spans="6:25" ht="15" customHeight="1">
      <c r="G2543" s="62" t="s">
        <v>167</v>
      </c>
      <c r="I2543" s="48"/>
      <c r="J2543" s="118"/>
      <c r="K2543" s="118"/>
      <c r="L2543" s="118"/>
      <c r="M2543" s="118"/>
      <c r="N2543" s="150"/>
      <c r="O2543" s="121"/>
      <c r="P2543" s="60"/>
      <c r="Q2543" s="60"/>
      <c r="R2543" s="60"/>
      <c r="S2543" s="60"/>
      <c r="T2543" s="146"/>
      <c r="U2543" s="122"/>
      <c r="W2543" s="1"/>
      <c r="X2543" s="1"/>
      <c r="Y2543" s="1"/>
    </row>
    <row r="2544" spans="6:25" ht="15" customHeight="1">
      <c r="G2544" s="62" t="s">
        <v>168</v>
      </c>
      <c r="I2544" s="48"/>
      <c r="J2544" s="118"/>
      <c r="K2544" s="118"/>
      <c r="L2544" s="118"/>
      <c r="M2544" s="118"/>
      <c r="N2544" s="118"/>
      <c r="O2544" s="121"/>
      <c r="P2544" s="120"/>
      <c r="Q2544" s="60"/>
      <c r="R2544" s="60"/>
      <c r="S2544" s="60"/>
      <c r="T2544" s="146"/>
      <c r="U2544" s="122"/>
      <c r="W2544" s="1"/>
      <c r="X2544" s="1"/>
      <c r="Y2544" s="1"/>
    </row>
    <row r="2545" spans="2:25">
      <c r="G2545" s="62" t="s">
        <v>185</v>
      </c>
      <c r="I2545" s="48"/>
      <c r="J2545" s="118"/>
      <c r="K2545" s="118"/>
      <c r="L2545" s="118"/>
      <c r="M2545" s="118"/>
      <c r="N2545" s="118"/>
      <c r="O2545" s="120"/>
      <c r="P2545" s="121"/>
      <c r="Q2545" s="60"/>
      <c r="R2545" s="60"/>
      <c r="S2545" s="60"/>
      <c r="T2545" s="146"/>
      <c r="U2545" s="122"/>
      <c r="W2545" s="1"/>
      <c r="X2545" s="1"/>
      <c r="Y2545" s="1"/>
    </row>
    <row r="2546" spans="2:25">
      <c r="G2546" s="62" t="s">
        <v>186</v>
      </c>
      <c r="I2546" s="48"/>
      <c r="J2546" s="118"/>
      <c r="K2546" s="118"/>
      <c r="L2546" s="118"/>
      <c r="M2546" s="118"/>
      <c r="N2546" s="118"/>
      <c r="O2546" s="118"/>
      <c r="P2546" s="121"/>
      <c r="Q2546" s="56">
        <f>P2546</f>
        <v>0</v>
      </c>
      <c r="R2546" s="60"/>
      <c r="S2546" s="60"/>
      <c r="T2546" s="146"/>
      <c r="U2546" s="122"/>
      <c r="W2546" s="1"/>
      <c r="X2546" s="1"/>
      <c r="Y2546" s="1"/>
    </row>
    <row r="2547" spans="2:25">
      <c r="G2547" s="62" t="s">
        <v>187</v>
      </c>
      <c r="I2547" s="48"/>
      <c r="J2547" s="118"/>
      <c r="K2547" s="118"/>
      <c r="L2547" s="118"/>
      <c r="M2547" s="118"/>
      <c r="N2547" s="118"/>
      <c r="O2547" s="118"/>
      <c r="P2547" s="120"/>
      <c r="Q2547" s="306"/>
      <c r="R2547" s="60"/>
      <c r="S2547" s="60"/>
      <c r="T2547" s="146"/>
      <c r="U2547" s="122"/>
      <c r="W2547" s="1"/>
      <c r="X2547" s="1"/>
      <c r="Y2547" s="1"/>
    </row>
    <row r="2548" spans="2:25">
      <c r="G2548" s="62" t="s">
        <v>188</v>
      </c>
      <c r="I2548" s="48"/>
      <c r="J2548" s="118"/>
      <c r="K2548" s="118"/>
      <c r="L2548" s="118"/>
      <c r="M2548" s="118"/>
      <c r="N2548" s="118"/>
      <c r="O2548" s="118"/>
      <c r="P2548" s="118"/>
      <c r="Q2548" s="121"/>
      <c r="R2548" s="151">
        <f>Q2548</f>
        <v>0</v>
      </c>
      <c r="S2548" s="60"/>
      <c r="T2548" s="146"/>
      <c r="U2548" s="122"/>
      <c r="W2548" s="1"/>
      <c r="X2548" s="1"/>
      <c r="Y2548" s="1"/>
    </row>
    <row r="2549" spans="2:25">
      <c r="G2549" s="62" t="s">
        <v>189</v>
      </c>
      <c r="I2549" s="48"/>
      <c r="J2549" s="118"/>
      <c r="K2549" s="118"/>
      <c r="L2549" s="118"/>
      <c r="M2549" s="118"/>
      <c r="N2549" s="118"/>
      <c r="O2549" s="118"/>
      <c r="P2549" s="118"/>
      <c r="Q2549" s="151"/>
      <c r="R2549" s="173">
        <f>Q2549</f>
        <v>0</v>
      </c>
      <c r="S2549" s="60"/>
      <c r="T2549" s="146"/>
      <c r="U2549" s="122"/>
      <c r="W2549" s="1"/>
      <c r="X2549" s="1"/>
      <c r="Y2549" s="1"/>
    </row>
    <row r="2550" spans="2:25">
      <c r="G2550" s="62" t="s">
        <v>190</v>
      </c>
      <c r="I2550" s="48"/>
      <c r="J2550" s="118"/>
      <c r="K2550" s="118"/>
      <c r="L2550" s="118"/>
      <c r="M2550" s="118"/>
      <c r="N2550" s="118"/>
      <c r="O2550" s="118"/>
      <c r="P2550" s="118"/>
      <c r="Q2550" s="118"/>
      <c r="R2550" s="173"/>
      <c r="S2550" s="151">
        <f>R2550</f>
        <v>0</v>
      </c>
      <c r="T2550" s="146"/>
      <c r="U2550" s="122"/>
      <c r="W2550" s="1"/>
      <c r="X2550" s="1"/>
      <c r="Y2550" s="1"/>
    </row>
    <row r="2551" spans="2:25">
      <c r="G2551" s="62" t="s">
        <v>199</v>
      </c>
      <c r="I2551" s="48"/>
      <c r="J2551" s="118"/>
      <c r="K2551" s="118"/>
      <c r="L2551" s="118"/>
      <c r="M2551" s="118"/>
      <c r="N2551" s="118"/>
      <c r="O2551" s="118"/>
      <c r="P2551" s="118"/>
      <c r="Q2551" s="118"/>
      <c r="R2551" s="120"/>
      <c r="S2551" s="173">
        <v>0</v>
      </c>
      <c r="T2551" s="146"/>
      <c r="U2551" s="122"/>
      <c r="W2551" s="1"/>
      <c r="X2551" s="1"/>
      <c r="Y2551" s="1"/>
    </row>
    <row r="2552" spans="2:25">
      <c r="G2552" s="62" t="s">
        <v>200</v>
      </c>
      <c r="I2552" s="48"/>
      <c r="J2552" s="118"/>
      <c r="K2552" s="118"/>
      <c r="L2552" s="118"/>
      <c r="M2552" s="118"/>
      <c r="N2552" s="118"/>
      <c r="O2552" s="118"/>
      <c r="P2552" s="118"/>
      <c r="Q2552" s="118"/>
      <c r="R2552" s="118"/>
      <c r="S2552" s="173"/>
      <c r="T2552" s="151">
        <f>S2552</f>
        <v>0</v>
      </c>
      <c r="U2552" s="122"/>
      <c r="W2552" s="1"/>
      <c r="X2552" s="1"/>
      <c r="Y2552" s="1"/>
    </row>
    <row r="2553" spans="2:25">
      <c r="G2553" s="62" t="s">
        <v>308</v>
      </c>
      <c r="I2553" s="48"/>
      <c r="J2553" s="118"/>
      <c r="K2553" s="118"/>
      <c r="L2553" s="118"/>
      <c r="M2553" s="118"/>
      <c r="N2553" s="118"/>
      <c r="O2553" s="118"/>
      <c r="P2553" s="118"/>
      <c r="Q2553" s="118"/>
      <c r="R2553" s="118"/>
      <c r="S2553" s="120">
        <f>T2553</f>
        <v>0</v>
      </c>
      <c r="T2553" s="173">
        <v>0</v>
      </c>
      <c r="U2553" s="122"/>
      <c r="W2553" s="1"/>
      <c r="X2553" s="1"/>
      <c r="Y2553" s="1"/>
    </row>
    <row r="2554" spans="2:25">
      <c r="G2554" s="62" t="s">
        <v>307</v>
      </c>
      <c r="I2554" s="114"/>
      <c r="J2554" s="107"/>
      <c r="K2554" s="107"/>
      <c r="L2554" s="107"/>
      <c r="M2554" s="107"/>
      <c r="N2554" s="107"/>
      <c r="O2554" s="107"/>
      <c r="P2554" s="107"/>
      <c r="Q2554" s="107"/>
      <c r="R2554" s="107"/>
      <c r="S2554" s="107"/>
      <c r="T2554" s="173">
        <v>0</v>
      </c>
      <c r="U2554" s="456">
        <f>T2554</f>
        <v>0</v>
      </c>
      <c r="W2554" s="1"/>
      <c r="X2554" s="1"/>
      <c r="Y2554" s="1"/>
    </row>
    <row r="2555" spans="2:25">
      <c r="G2555" s="62" t="s">
        <v>318</v>
      </c>
      <c r="I2555" s="114"/>
      <c r="J2555" s="107"/>
      <c r="K2555" s="107"/>
      <c r="L2555" s="107"/>
      <c r="M2555" s="107"/>
      <c r="N2555" s="107"/>
      <c r="O2555" s="107"/>
      <c r="P2555" s="107"/>
      <c r="Q2555" s="107"/>
      <c r="R2555" s="107"/>
      <c r="S2555" s="107"/>
      <c r="T2555" s="120">
        <f>U2555</f>
        <v>0</v>
      </c>
      <c r="U2555" s="457">
        <v>0</v>
      </c>
      <c r="W2555" s="1"/>
      <c r="X2555" s="1"/>
      <c r="Y2555" s="1"/>
    </row>
    <row r="2556" spans="2:25">
      <c r="G2556" s="62" t="s">
        <v>319</v>
      </c>
      <c r="I2556" s="49"/>
      <c r="J2556" s="194"/>
      <c r="K2556" s="194"/>
      <c r="L2556" s="194"/>
      <c r="M2556" s="194"/>
      <c r="N2556" s="194"/>
      <c r="O2556" s="194"/>
      <c r="P2556" s="194"/>
      <c r="Q2556" s="194"/>
      <c r="R2556" s="194"/>
      <c r="S2556" s="194"/>
      <c r="T2556" s="194"/>
      <c r="U2556" s="458">
        <v>0</v>
      </c>
      <c r="W2556" s="1"/>
      <c r="X2556" s="1"/>
      <c r="Y2556" s="1"/>
    </row>
    <row r="2557" spans="2:25" ht="15" customHeight="1">
      <c r="B2557" s="1" t="s">
        <v>162</v>
      </c>
      <c r="G2557" s="26" t="s">
        <v>17</v>
      </c>
      <c r="I2557" s="7">
        <f xml:space="preserve"> I2538 - I2537</f>
        <v>0</v>
      </c>
      <c r="J2557" s="7">
        <f xml:space="preserve"> J2537 + J2540 - J2539 - J2538</f>
        <v>0</v>
      </c>
      <c r="K2557" s="7">
        <f>K2539 - K2540</f>
        <v>0</v>
      </c>
      <c r="L2557" s="7">
        <f t="shared" ref="L2557:M2557" si="1169">L2539 - L2540</f>
        <v>0</v>
      </c>
      <c r="M2557" s="7">
        <f t="shared" si="1169"/>
        <v>-5468</v>
      </c>
      <c r="N2557" s="7">
        <f>N2540-N2541-N2542</f>
        <v>5468</v>
      </c>
      <c r="O2557" s="7">
        <f t="shared" ref="O2557" si="1170">O2540-O2541-O2542</f>
        <v>0</v>
      </c>
      <c r="P2557" s="154">
        <f t="shared" ref="P2557:Q2557" si="1171">P2540-P2541-P2542</f>
        <v>0</v>
      </c>
      <c r="Q2557" s="154">
        <f t="shared" si="1171"/>
        <v>0</v>
      </c>
      <c r="R2557" s="154">
        <f t="shared" ref="R2557" si="1172">R2540-R2541-R2542</f>
        <v>0</v>
      </c>
      <c r="S2557" s="7">
        <f>S2550+S2551-S2552-S2553</f>
        <v>0</v>
      </c>
      <c r="T2557" s="7">
        <f>T2552-T2553-T2554+T2555</f>
        <v>0</v>
      </c>
      <c r="U2557" s="7">
        <f>U2554-U2555-U2556</f>
        <v>0</v>
      </c>
      <c r="W2557" s="1"/>
      <c r="X2557" s="1"/>
      <c r="Y2557" s="1"/>
    </row>
    <row r="2558" spans="2:25" ht="15" customHeight="1">
      <c r="G2558" s="6"/>
      <c r="I2558" s="154"/>
      <c r="J2558" s="154"/>
      <c r="K2558" s="154"/>
      <c r="L2558" s="154"/>
      <c r="M2558" s="154"/>
      <c r="N2558" s="154"/>
      <c r="O2558" s="154"/>
      <c r="P2558" s="154"/>
      <c r="Q2558" s="154"/>
      <c r="R2558" s="154"/>
      <c r="S2558" s="297"/>
      <c r="T2558" s="154"/>
      <c r="U2558" s="154"/>
      <c r="W2558" s="1"/>
      <c r="X2558" s="1"/>
      <c r="Y2558" s="1"/>
    </row>
    <row r="2559" spans="2:25" ht="15" customHeight="1">
      <c r="G2559" s="26" t="s">
        <v>12</v>
      </c>
      <c r="H2559" s="57"/>
      <c r="I2559" s="155"/>
      <c r="J2559" s="156"/>
      <c r="K2559" s="156"/>
      <c r="L2559" s="156"/>
      <c r="M2559" s="156"/>
      <c r="N2559" s="156"/>
      <c r="O2559" s="156"/>
      <c r="P2559" s="156"/>
      <c r="Q2559" s="156"/>
      <c r="R2559" s="156"/>
      <c r="S2559" s="156"/>
      <c r="T2559" s="156"/>
      <c r="U2559" s="267"/>
      <c r="W2559" s="1"/>
      <c r="X2559" s="1"/>
      <c r="Y2559" s="1"/>
    </row>
    <row r="2560" spans="2:25" ht="15" customHeight="1">
      <c r="G2560" s="6"/>
      <c r="I2560" s="154"/>
      <c r="J2560" s="154"/>
      <c r="K2560" s="154"/>
      <c r="L2560" s="154"/>
      <c r="M2560" s="154"/>
      <c r="N2560" s="154"/>
      <c r="O2560" s="154"/>
      <c r="P2560" s="154"/>
      <c r="Q2560" s="154"/>
      <c r="R2560" s="154"/>
      <c r="S2560" s="154"/>
      <c r="T2560" s="154"/>
      <c r="U2560" s="154"/>
      <c r="W2560" s="1"/>
      <c r="X2560" s="1"/>
      <c r="Y2560" s="1"/>
    </row>
    <row r="2561" spans="1:25" ht="18.75" customHeight="1">
      <c r="C2561" s="1" t="s">
        <v>162</v>
      </c>
      <c r="D2561" s="1" t="s">
        <v>163</v>
      </c>
      <c r="E2561" s="1" t="s">
        <v>107</v>
      </c>
      <c r="F2561" s="9" t="s">
        <v>26</v>
      </c>
      <c r="H2561" s="57"/>
      <c r="I2561" s="157">
        <f xml:space="preserve"> I2518 + I2523 - I2529 + I2557 + I2559</f>
        <v>0</v>
      </c>
      <c r="J2561" s="158">
        <f xml:space="preserve"> J2518 + J2523 - J2529 + J2557 + J2559</f>
        <v>0</v>
      </c>
      <c r="K2561" s="158">
        <f xml:space="preserve"> K2518 + K2523 - K2529 + K2557 + K2559</f>
        <v>0</v>
      </c>
      <c r="L2561" s="158">
        <f t="shared" ref="L2561:S2561" si="1173" xml:space="preserve"> L2518 + L2523 - L2529 + L2557 + L2559</f>
        <v>0</v>
      </c>
      <c r="M2561" s="158">
        <f t="shared" si="1173"/>
        <v>0</v>
      </c>
      <c r="N2561" s="158">
        <f t="shared" si="1173"/>
        <v>5468</v>
      </c>
      <c r="O2561" s="158">
        <f t="shared" si="1173"/>
        <v>0</v>
      </c>
      <c r="P2561" s="158">
        <f t="shared" si="1173"/>
        <v>0</v>
      </c>
      <c r="Q2561" s="158">
        <f t="shared" si="1173"/>
        <v>0</v>
      </c>
      <c r="R2561" s="158">
        <f t="shared" si="1173"/>
        <v>29517</v>
      </c>
      <c r="S2561" s="158">
        <f t="shared" si="1173"/>
        <v>23635</v>
      </c>
      <c r="T2561" s="158">
        <f t="shared" ref="T2561:U2561" si="1174" xml:space="preserve"> T2518 + T2523 - T2529 + T2557 + T2559</f>
        <v>22548</v>
      </c>
      <c r="U2561" s="268">
        <f t="shared" si="1174"/>
        <v>24660</v>
      </c>
      <c r="W2561" s="1"/>
      <c r="X2561" s="1"/>
      <c r="Y2561" s="1"/>
    </row>
    <row r="2562" spans="1:25" ht="15" customHeight="1">
      <c r="G2562" s="6"/>
      <c r="I2562" s="7"/>
      <c r="J2562" s="7"/>
      <c r="K2562" s="7"/>
      <c r="L2562" s="23"/>
      <c r="M2562" s="23"/>
      <c r="N2562" s="23"/>
      <c r="O2562" s="23"/>
      <c r="P2562" s="23"/>
      <c r="Q2562" s="23"/>
      <c r="R2562" s="23"/>
      <c r="S2562" s="282"/>
      <c r="T2562" s="23"/>
      <c r="U2562" s="23"/>
      <c r="W2562" s="1"/>
      <c r="X2562" s="1"/>
      <c r="Y2562" s="1"/>
    </row>
    <row r="2563" spans="1:25" ht="15.75" customHeight="1" thickBot="1">
      <c r="W2563" s="1"/>
      <c r="X2563" s="1"/>
      <c r="Y2563" s="1"/>
    </row>
    <row r="2564" spans="1:25" s="341" customFormat="1" thickBot="1">
      <c r="F2564" s="437"/>
      <c r="G2564" s="437"/>
      <c r="H2564" s="437"/>
      <c r="I2564" s="437"/>
      <c r="J2564" s="437"/>
      <c r="K2564" s="437"/>
      <c r="L2564" s="437"/>
      <c r="M2564" s="437"/>
      <c r="N2564" s="437"/>
      <c r="O2564" s="437"/>
      <c r="P2564" s="437"/>
      <c r="Q2564" s="437"/>
      <c r="R2564" s="437"/>
      <c r="S2564" s="449"/>
      <c r="T2564" s="437"/>
      <c r="U2564" s="437"/>
    </row>
    <row r="2565" spans="1:25" s="341" customFormat="1" ht="21" thickBot="1">
      <c r="F2565" s="349" t="s">
        <v>4</v>
      </c>
      <c r="G2565" s="349"/>
      <c r="H2565" s="350" t="s">
        <v>264</v>
      </c>
      <c r="I2565" s="439"/>
      <c r="J2565" s="351"/>
      <c r="K2565" s="351"/>
      <c r="L2565" s="351"/>
      <c r="M2565" s="351"/>
      <c r="N2565" s="351"/>
      <c r="O2565" s="351"/>
      <c r="P2565" s="351"/>
      <c r="Q2565" s="351"/>
      <c r="R2565" s="351"/>
      <c r="S2565" s="436"/>
      <c r="T2565" s="351"/>
      <c r="U2565" s="351"/>
    </row>
    <row r="2566" spans="1:25" s="341" customFormat="1" ht="14.25">
      <c r="F2566" s="351"/>
      <c r="G2566" s="351"/>
      <c r="H2566" s="351"/>
      <c r="I2566" s="351"/>
      <c r="J2566" s="351"/>
      <c r="K2566" s="351"/>
      <c r="L2566" s="351"/>
      <c r="M2566" s="351"/>
      <c r="N2566" s="351"/>
      <c r="O2566" s="351"/>
      <c r="P2566" s="351"/>
      <c r="Q2566" s="351"/>
      <c r="R2566" s="351"/>
      <c r="S2566" s="436"/>
      <c r="T2566" s="351"/>
      <c r="U2566" s="351"/>
    </row>
    <row r="2567" spans="1:25" s="341" customFormat="1" ht="18">
      <c r="F2567" s="352" t="s">
        <v>21</v>
      </c>
      <c r="G2567" s="352"/>
      <c r="H2567" s="351"/>
      <c r="I2567" s="360">
        <v>2011</v>
      </c>
      <c r="J2567" s="360">
        <f>I2567+1</f>
        <v>2012</v>
      </c>
      <c r="K2567" s="360">
        <f t="shared" ref="K2567" si="1175">J2567+1</f>
        <v>2013</v>
      </c>
      <c r="L2567" s="360">
        <f t="shared" ref="L2567" si="1176">K2567+1</f>
        <v>2014</v>
      </c>
      <c r="M2567" s="360">
        <f t="shared" ref="M2567" si="1177">L2567+1</f>
        <v>2015</v>
      </c>
      <c r="N2567" s="360">
        <f t="shared" ref="N2567" si="1178">M2567+1</f>
        <v>2016</v>
      </c>
      <c r="O2567" s="360">
        <f t="shared" ref="O2567" si="1179">N2567+1</f>
        <v>2017</v>
      </c>
      <c r="P2567" s="360">
        <f t="shared" ref="P2567" si="1180">O2567+1</f>
        <v>2018</v>
      </c>
      <c r="Q2567" s="360">
        <f t="shared" ref="Q2567" si="1181">P2567+1</f>
        <v>2019</v>
      </c>
      <c r="R2567" s="360">
        <f t="shared" ref="R2567" si="1182">Q2567+1</f>
        <v>2020</v>
      </c>
      <c r="S2567" s="360">
        <f>R2567+1</f>
        <v>2021</v>
      </c>
      <c r="T2567" s="360">
        <f>S2567+1</f>
        <v>2022</v>
      </c>
      <c r="U2567" s="360">
        <f>T2567+1</f>
        <v>2023</v>
      </c>
    </row>
    <row r="2568" spans="1:25" s="341" customFormat="1" ht="14.25">
      <c r="F2568" s="351"/>
      <c r="G2568" s="353" t="str">
        <f>"Total MWh Produced / Purchased from " &amp; H2565</f>
        <v>Total MWh Produced / Purchased from Sage Solar I</v>
      </c>
      <c r="H2568" s="354"/>
      <c r="I2568" s="362"/>
      <c r="J2568" s="363"/>
      <c r="K2568" s="363"/>
      <c r="L2568" s="363"/>
      <c r="M2568" s="363"/>
      <c r="N2568" s="363"/>
      <c r="O2568" s="363"/>
      <c r="P2568" s="363"/>
      <c r="Q2568" s="363"/>
      <c r="R2568" s="363"/>
      <c r="S2568" s="363">
        <v>40662</v>
      </c>
      <c r="T2568" s="363"/>
      <c r="U2568" s="460"/>
    </row>
    <row r="2569" spans="1:25" s="341" customFormat="1" ht="14.25">
      <c r="F2569" s="351"/>
      <c r="G2569" s="353" t="s">
        <v>25</v>
      </c>
      <c r="H2569" s="354"/>
      <c r="I2569" s="365"/>
      <c r="J2569" s="366"/>
      <c r="K2569" s="366"/>
      <c r="L2569" s="366"/>
      <c r="M2569" s="366"/>
      <c r="N2569" s="366"/>
      <c r="O2569" s="366"/>
      <c r="P2569" s="366"/>
      <c r="Q2569" s="366"/>
      <c r="R2569" s="366"/>
      <c r="S2569" s="366">
        <v>1</v>
      </c>
      <c r="T2569" s="366">
        <v>1</v>
      </c>
      <c r="U2569" s="461">
        <v>1</v>
      </c>
    </row>
    <row r="2570" spans="1:25" s="341" customFormat="1" ht="14.25">
      <c r="F2570" s="351"/>
      <c r="G2570" s="353" t="s">
        <v>20</v>
      </c>
      <c r="H2570" s="354"/>
      <c r="I2570" s="368"/>
      <c r="J2570" s="369"/>
      <c r="K2570" s="369"/>
      <c r="L2570" s="369"/>
      <c r="M2570" s="369"/>
      <c r="N2570" s="369"/>
      <c r="O2570" s="369"/>
      <c r="P2570" s="369"/>
      <c r="Q2570" s="369"/>
      <c r="R2570" s="369"/>
      <c r="S2570" s="369">
        <v>0</v>
      </c>
      <c r="T2570" s="369">
        <v>0</v>
      </c>
      <c r="U2570" s="369">
        <v>0</v>
      </c>
    </row>
    <row r="2571" spans="1:25" s="341" customFormat="1" ht="14.25">
      <c r="A2571" s="489" t="s">
        <v>231</v>
      </c>
      <c r="F2571" s="351"/>
      <c r="G2571" s="355" t="s">
        <v>22</v>
      </c>
      <c r="H2571" s="356"/>
      <c r="I2571" s="371">
        <v>0</v>
      </c>
      <c r="J2571" s="371">
        <v>0</v>
      </c>
      <c r="K2571" s="371">
        <v>0</v>
      </c>
      <c r="L2571" s="371">
        <v>0</v>
      </c>
      <c r="M2571" s="371">
        <v>0</v>
      </c>
      <c r="N2571" s="372">
        <v>0</v>
      </c>
      <c r="O2571" s="372">
        <v>0</v>
      </c>
      <c r="P2571" s="372">
        <v>0</v>
      </c>
      <c r="Q2571" s="372">
        <f>Q2568*Q2570</f>
        <v>0</v>
      </c>
      <c r="R2571" s="372">
        <f>R2568*R2570</f>
        <v>0</v>
      </c>
      <c r="S2571" s="372">
        <f>S2568*S2570</f>
        <v>0</v>
      </c>
      <c r="T2571" s="372">
        <f>T2568*T2570</f>
        <v>0</v>
      </c>
      <c r="U2571" s="372">
        <f>U2568*U2570</f>
        <v>0</v>
      </c>
    </row>
    <row r="2572" spans="1:25" s="341" customFormat="1" ht="14.25">
      <c r="F2572" s="351"/>
      <c r="G2572" s="351"/>
      <c r="H2572" s="351"/>
      <c r="I2572" s="374"/>
      <c r="J2572" s="374"/>
      <c r="K2572" s="374"/>
      <c r="L2572" s="374"/>
      <c r="M2572" s="374"/>
      <c r="N2572" s="375"/>
      <c r="O2572" s="375"/>
      <c r="P2572" s="375"/>
      <c r="Q2572" s="375"/>
      <c r="R2572" s="375"/>
      <c r="S2572" s="375"/>
      <c r="T2572" s="375"/>
      <c r="U2572" s="375"/>
    </row>
    <row r="2573" spans="1:25" s="341" customFormat="1" ht="18">
      <c r="F2573" s="352" t="s">
        <v>118</v>
      </c>
      <c r="G2573" s="351"/>
      <c r="H2573" s="351"/>
      <c r="I2573" s="360">
        <v>2011</v>
      </c>
      <c r="J2573" s="360">
        <f>I2573+1</f>
        <v>2012</v>
      </c>
      <c r="K2573" s="360">
        <f t="shared" ref="K2573" si="1183">J2573+1</f>
        <v>2013</v>
      </c>
      <c r="L2573" s="360">
        <f t="shared" ref="L2573" si="1184">K2573+1</f>
        <v>2014</v>
      </c>
      <c r="M2573" s="360">
        <f t="shared" ref="M2573" si="1185">L2573+1</f>
        <v>2015</v>
      </c>
      <c r="N2573" s="360">
        <f t="shared" ref="N2573" si="1186">M2573+1</f>
        <v>2016</v>
      </c>
      <c r="O2573" s="360">
        <f t="shared" ref="O2573" si="1187">N2573+1</f>
        <v>2017</v>
      </c>
      <c r="P2573" s="360">
        <f t="shared" ref="P2573" si="1188">O2573+1</f>
        <v>2018</v>
      </c>
      <c r="Q2573" s="360">
        <f t="shared" ref="Q2573" si="1189">P2573+1</f>
        <v>2019</v>
      </c>
      <c r="R2573" s="360">
        <f t="shared" ref="R2573" si="1190">Q2573+1</f>
        <v>2020</v>
      </c>
      <c r="S2573" s="360">
        <f>R2573+1</f>
        <v>2021</v>
      </c>
      <c r="T2573" s="360">
        <f>S2573+1</f>
        <v>2022</v>
      </c>
      <c r="U2573" s="360">
        <f>T2573+1</f>
        <v>2023</v>
      </c>
    </row>
    <row r="2574" spans="1:25" s="341" customFormat="1" ht="14.25">
      <c r="F2574" s="351"/>
      <c r="G2574" s="353" t="s">
        <v>10</v>
      </c>
      <c r="H2574" s="354"/>
      <c r="I2574" s="377">
        <f>IF($J56= "Eligible", I2571 * 'Facility Detail'!$G$3257, 0 )</f>
        <v>0</v>
      </c>
      <c r="J2574" s="378">
        <f>IF($J56= "Eligible", J2571 * 'Facility Detail'!$G$3257, 0 )</f>
        <v>0</v>
      </c>
      <c r="K2574" s="378">
        <f>IF($J56= "Eligible", K2571 * 'Facility Detail'!$G$3257, 0 )</f>
        <v>0</v>
      </c>
      <c r="L2574" s="378">
        <f>IF($J56= "Eligible", L2571 * 'Facility Detail'!$G$3257, 0 )</f>
        <v>0</v>
      </c>
      <c r="M2574" s="378">
        <f>IF($J56= "Eligible", M2571 * 'Facility Detail'!$G$3257, 0 )</f>
        <v>0</v>
      </c>
      <c r="N2574" s="378">
        <f>IF($J56= "Eligible", N2571 * 'Facility Detail'!$G$3257, 0 )</f>
        <v>0</v>
      </c>
      <c r="O2574" s="378">
        <f>IF($J56= "Eligible", O2571 * 'Facility Detail'!$G$3257, 0 )</f>
        <v>0</v>
      </c>
      <c r="P2574" s="378">
        <f>IF($J56= "Eligible", P2571 * 'Facility Detail'!$G$3257, 0 )</f>
        <v>0</v>
      </c>
      <c r="Q2574" s="378">
        <f>IF($J56= "Eligible", Q2571 * 'Facility Detail'!$G$3257, 0 )</f>
        <v>0</v>
      </c>
      <c r="R2574" s="378">
        <f>IF($J56= "Eligible", R2571 * 'Facility Detail'!$G$3257, 0 )</f>
        <v>0</v>
      </c>
      <c r="S2574" s="378">
        <f>IF($J56= "Eligible", S2571 * 'Facility Detail'!$G$3257, 0 )</f>
        <v>0</v>
      </c>
      <c r="T2574" s="378">
        <f>IF($J56= "Eligible", T2571 * 'Facility Detail'!$G$3257, 0 )</f>
        <v>0</v>
      </c>
      <c r="U2574" s="462">
        <f>IF($J56= "Eligible", U2571 * 'Facility Detail'!$G$3257, 0 )</f>
        <v>0</v>
      </c>
    </row>
    <row r="2575" spans="1:25" s="341" customFormat="1" ht="14.25">
      <c r="F2575" s="351"/>
      <c r="G2575" s="353" t="s">
        <v>6</v>
      </c>
      <c r="H2575" s="354"/>
      <c r="I2575" s="380">
        <f t="shared" ref="I2575:U2575" si="1191">IF($K56= "Eligible", I2571, 0 )</f>
        <v>0</v>
      </c>
      <c r="J2575" s="381">
        <f t="shared" si="1191"/>
        <v>0</v>
      </c>
      <c r="K2575" s="381">
        <f t="shared" si="1191"/>
        <v>0</v>
      </c>
      <c r="L2575" s="381">
        <f t="shared" si="1191"/>
        <v>0</v>
      </c>
      <c r="M2575" s="381">
        <f t="shared" si="1191"/>
        <v>0</v>
      </c>
      <c r="N2575" s="381">
        <f t="shared" si="1191"/>
        <v>0</v>
      </c>
      <c r="O2575" s="381">
        <f t="shared" si="1191"/>
        <v>0</v>
      </c>
      <c r="P2575" s="381">
        <f t="shared" si="1191"/>
        <v>0</v>
      </c>
      <c r="Q2575" s="381">
        <f t="shared" si="1191"/>
        <v>0</v>
      </c>
      <c r="R2575" s="381">
        <f t="shared" si="1191"/>
        <v>0</v>
      </c>
      <c r="S2575" s="381">
        <f t="shared" si="1191"/>
        <v>0</v>
      </c>
      <c r="T2575" s="381">
        <f t="shared" si="1191"/>
        <v>0</v>
      </c>
      <c r="U2575" s="463">
        <f t="shared" si="1191"/>
        <v>0</v>
      </c>
    </row>
    <row r="2576" spans="1:25" s="341" customFormat="1" ht="14.25">
      <c r="F2576" s="351"/>
      <c r="G2576" s="355" t="s">
        <v>120</v>
      </c>
      <c r="H2576" s="356"/>
      <c r="I2576" s="383">
        <f>SUM(I2574:I2575)</f>
        <v>0</v>
      </c>
      <c r="J2576" s="384">
        <f t="shared" ref="J2576:S2576" si="1192">SUM(J2574:J2575)</f>
        <v>0</v>
      </c>
      <c r="K2576" s="384">
        <f t="shared" si="1192"/>
        <v>0</v>
      </c>
      <c r="L2576" s="384">
        <f t="shared" si="1192"/>
        <v>0</v>
      </c>
      <c r="M2576" s="384">
        <f t="shared" si="1192"/>
        <v>0</v>
      </c>
      <c r="N2576" s="384">
        <f t="shared" si="1192"/>
        <v>0</v>
      </c>
      <c r="O2576" s="384">
        <f t="shared" si="1192"/>
        <v>0</v>
      </c>
      <c r="P2576" s="384">
        <f t="shared" si="1192"/>
        <v>0</v>
      </c>
      <c r="Q2576" s="384">
        <f t="shared" si="1192"/>
        <v>0</v>
      </c>
      <c r="R2576" s="384">
        <f t="shared" si="1192"/>
        <v>0</v>
      </c>
      <c r="S2576" s="384">
        <f t="shared" si="1192"/>
        <v>0</v>
      </c>
      <c r="T2576" s="384">
        <f t="shared" ref="T2576:U2576" si="1193">SUM(T2574:T2575)</f>
        <v>0</v>
      </c>
      <c r="U2576" s="384">
        <f t="shared" si="1193"/>
        <v>0</v>
      </c>
    </row>
    <row r="2577" spans="6:21" s="341" customFormat="1" ht="14.25">
      <c r="F2577" s="351"/>
      <c r="G2577" s="351"/>
      <c r="H2577" s="351"/>
      <c r="I2577" s="386"/>
      <c r="J2577" s="387"/>
      <c r="K2577" s="387"/>
      <c r="L2577" s="387"/>
      <c r="M2577" s="387"/>
      <c r="N2577" s="387"/>
      <c r="O2577" s="387"/>
      <c r="P2577" s="387"/>
      <c r="Q2577" s="387"/>
      <c r="R2577" s="387"/>
      <c r="S2577" s="387"/>
      <c r="T2577" s="387"/>
      <c r="U2577" s="387"/>
    </row>
    <row r="2578" spans="6:21" s="341" customFormat="1" ht="18">
      <c r="F2578" s="352" t="s">
        <v>30</v>
      </c>
      <c r="G2578" s="351"/>
      <c r="H2578" s="351"/>
      <c r="I2578" s="360">
        <v>2011</v>
      </c>
      <c r="J2578" s="360">
        <f>I2578+1</f>
        <v>2012</v>
      </c>
      <c r="K2578" s="360">
        <f t="shared" ref="K2578" si="1194">J2578+1</f>
        <v>2013</v>
      </c>
      <c r="L2578" s="360">
        <f t="shared" ref="L2578" si="1195">K2578+1</f>
        <v>2014</v>
      </c>
      <c r="M2578" s="360">
        <f t="shared" ref="M2578" si="1196">L2578+1</f>
        <v>2015</v>
      </c>
      <c r="N2578" s="360">
        <f t="shared" ref="N2578" si="1197">M2578+1</f>
        <v>2016</v>
      </c>
      <c r="O2578" s="360">
        <f t="shared" ref="O2578" si="1198">N2578+1</f>
        <v>2017</v>
      </c>
      <c r="P2578" s="360">
        <f t="shared" ref="P2578" si="1199">O2578+1</f>
        <v>2018</v>
      </c>
      <c r="Q2578" s="360">
        <f t="shared" ref="Q2578" si="1200">P2578+1</f>
        <v>2019</v>
      </c>
      <c r="R2578" s="360">
        <f t="shared" ref="R2578" si="1201">Q2578+1</f>
        <v>2020</v>
      </c>
      <c r="S2578" s="360">
        <f>R2578+1</f>
        <v>2021</v>
      </c>
      <c r="T2578" s="360">
        <f>S2578+1</f>
        <v>2022</v>
      </c>
      <c r="U2578" s="360">
        <f>T2578+1</f>
        <v>2023</v>
      </c>
    </row>
    <row r="2579" spans="6:21" s="341" customFormat="1" ht="14.25">
      <c r="F2579" s="351"/>
      <c r="G2579" s="353" t="s">
        <v>47</v>
      </c>
      <c r="H2579" s="354"/>
      <c r="I2579" s="389"/>
      <c r="J2579" s="390"/>
      <c r="K2579" s="390"/>
      <c r="L2579" s="390"/>
      <c r="M2579" s="390"/>
      <c r="N2579" s="390"/>
      <c r="O2579" s="390"/>
      <c r="P2579" s="390"/>
      <c r="Q2579" s="390"/>
      <c r="R2579" s="390"/>
      <c r="S2579" s="390"/>
      <c r="T2579" s="390"/>
      <c r="U2579" s="464"/>
    </row>
    <row r="2580" spans="6:21" s="341" customFormat="1" ht="14.25">
      <c r="F2580" s="351"/>
      <c r="G2580" s="357" t="s">
        <v>23</v>
      </c>
      <c r="H2580" s="358"/>
      <c r="I2580" s="392"/>
      <c r="J2580" s="393"/>
      <c r="K2580" s="393"/>
      <c r="L2580" s="393"/>
      <c r="M2580" s="393"/>
      <c r="N2580" s="393"/>
      <c r="O2580" s="393"/>
      <c r="P2580" s="393"/>
      <c r="Q2580" s="393"/>
      <c r="R2580" s="393"/>
      <c r="S2580" s="393"/>
      <c r="T2580" s="393"/>
      <c r="U2580" s="465"/>
    </row>
    <row r="2581" spans="6:21" s="341" customFormat="1" ht="14.25">
      <c r="F2581" s="351"/>
      <c r="G2581" s="357" t="s">
        <v>89</v>
      </c>
      <c r="H2581" s="359"/>
      <c r="I2581" s="395"/>
      <c r="J2581" s="396"/>
      <c r="K2581" s="396"/>
      <c r="L2581" s="396"/>
      <c r="M2581" s="396"/>
      <c r="N2581" s="396"/>
      <c r="O2581" s="396"/>
      <c r="P2581" s="396"/>
      <c r="Q2581" s="396"/>
      <c r="R2581" s="396"/>
      <c r="S2581" s="396"/>
      <c r="T2581" s="396"/>
      <c r="U2581" s="466"/>
    </row>
    <row r="2582" spans="6:21" s="341" customFormat="1" ht="14.25">
      <c r="F2582" s="351"/>
      <c r="G2582" s="355" t="s">
        <v>90</v>
      </c>
      <c r="H2582" s="351"/>
      <c r="I2582" s="398">
        <v>0</v>
      </c>
      <c r="J2582" s="398">
        <v>0</v>
      </c>
      <c r="K2582" s="398">
        <v>0</v>
      </c>
      <c r="L2582" s="398">
        <v>0</v>
      </c>
      <c r="M2582" s="398">
        <v>0</v>
      </c>
      <c r="N2582" s="398">
        <v>0</v>
      </c>
      <c r="O2582" s="398">
        <v>0</v>
      </c>
      <c r="P2582" s="398">
        <v>0</v>
      </c>
      <c r="Q2582" s="398">
        <v>0</v>
      </c>
      <c r="R2582" s="398">
        <v>0</v>
      </c>
      <c r="S2582" s="398">
        <v>0</v>
      </c>
      <c r="T2582" s="398">
        <v>0</v>
      </c>
      <c r="U2582" s="398">
        <v>0</v>
      </c>
    </row>
    <row r="2583" spans="6:21" s="341" customFormat="1" ht="14.25">
      <c r="F2583" s="351"/>
      <c r="G2583" s="356"/>
      <c r="H2583" s="351"/>
      <c r="I2583" s="398"/>
      <c r="J2583" s="398"/>
      <c r="K2583" s="398"/>
      <c r="L2583" s="400"/>
      <c r="M2583" s="400"/>
      <c r="N2583" s="400"/>
      <c r="O2583" s="400"/>
      <c r="P2583" s="400"/>
      <c r="Q2583" s="400"/>
      <c r="R2583" s="400"/>
      <c r="S2583" s="400"/>
      <c r="T2583" s="400"/>
      <c r="U2583" s="400"/>
    </row>
    <row r="2584" spans="6:21" s="341" customFormat="1" ht="18">
      <c r="F2584" s="352" t="s">
        <v>100</v>
      </c>
      <c r="G2584" s="351"/>
      <c r="H2584" s="351"/>
      <c r="I2584" s="360">
        <f>'Facility Detail'!$G$3260</f>
        <v>2011</v>
      </c>
      <c r="J2584" s="360">
        <f>I2584+1</f>
        <v>2012</v>
      </c>
      <c r="K2584" s="360">
        <f t="shared" ref="K2584" si="1202">J2584+1</f>
        <v>2013</v>
      </c>
      <c r="L2584" s="360">
        <f t="shared" ref="L2584" si="1203">K2584+1</f>
        <v>2014</v>
      </c>
      <c r="M2584" s="360">
        <f t="shared" ref="M2584" si="1204">L2584+1</f>
        <v>2015</v>
      </c>
      <c r="N2584" s="360">
        <f t="shared" ref="N2584" si="1205">M2584+1</f>
        <v>2016</v>
      </c>
      <c r="O2584" s="360">
        <f t="shared" ref="O2584" si="1206">N2584+1</f>
        <v>2017</v>
      </c>
      <c r="P2584" s="360">
        <f t="shared" ref="P2584" si="1207">O2584+1</f>
        <v>2018</v>
      </c>
      <c r="Q2584" s="360">
        <f t="shared" ref="Q2584" si="1208">P2584+1</f>
        <v>2019</v>
      </c>
      <c r="R2584" s="360">
        <f t="shared" ref="R2584" si="1209">Q2584+1</f>
        <v>2020</v>
      </c>
      <c r="S2584" s="360">
        <f>R2584+1</f>
        <v>2021</v>
      </c>
      <c r="T2584" s="360">
        <f>S2584+1</f>
        <v>2022</v>
      </c>
      <c r="U2584" s="360">
        <f>T2584+1</f>
        <v>2023</v>
      </c>
    </row>
    <row r="2585" spans="6:21" s="341" customFormat="1" ht="14.25">
      <c r="F2585" s="351"/>
      <c r="G2585" s="353" t="s">
        <v>68</v>
      </c>
      <c r="H2585" s="354"/>
      <c r="I2585" s="362"/>
      <c r="J2585" s="402">
        <f>I2585</f>
        <v>0</v>
      </c>
      <c r="K2585" s="403"/>
      <c r="L2585" s="403"/>
      <c r="M2585" s="403"/>
      <c r="N2585" s="403"/>
      <c r="O2585" s="403"/>
      <c r="P2585" s="403"/>
      <c r="Q2585" s="403"/>
      <c r="R2585" s="403"/>
      <c r="S2585" s="404"/>
      <c r="T2585" s="467"/>
      <c r="U2585" s="468"/>
    </row>
    <row r="2586" spans="6:21" s="341" customFormat="1" ht="14.25">
      <c r="F2586" s="351"/>
      <c r="G2586" s="353" t="s">
        <v>69</v>
      </c>
      <c r="H2586" s="354"/>
      <c r="I2586" s="405">
        <f>J2586</f>
        <v>0</v>
      </c>
      <c r="J2586" s="406"/>
      <c r="K2586" s="407"/>
      <c r="L2586" s="407"/>
      <c r="M2586" s="407"/>
      <c r="N2586" s="407"/>
      <c r="O2586" s="407"/>
      <c r="P2586" s="407"/>
      <c r="Q2586" s="407"/>
      <c r="R2586" s="407"/>
      <c r="S2586" s="408"/>
      <c r="T2586" s="469"/>
      <c r="U2586" s="470"/>
    </row>
    <row r="2587" spans="6:21" s="341" customFormat="1" ht="14.25">
      <c r="F2587" s="351"/>
      <c r="G2587" s="353" t="s">
        <v>70</v>
      </c>
      <c r="H2587" s="354"/>
      <c r="I2587" s="409"/>
      <c r="J2587" s="406">
        <f>J2571</f>
        <v>0</v>
      </c>
      <c r="K2587" s="410">
        <f>J2587</f>
        <v>0</v>
      </c>
      <c r="L2587" s="407"/>
      <c r="M2587" s="407"/>
      <c r="N2587" s="407"/>
      <c r="O2587" s="407"/>
      <c r="P2587" s="407"/>
      <c r="Q2587" s="407"/>
      <c r="R2587" s="407"/>
      <c r="S2587" s="408"/>
      <c r="T2587" s="469"/>
      <c r="U2587" s="470"/>
    </row>
    <row r="2588" spans="6:21" s="341" customFormat="1" ht="14.25">
      <c r="F2588" s="351"/>
      <c r="G2588" s="353" t="s">
        <v>71</v>
      </c>
      <c r="H2588" s="354"/>
      <c r="I2588" s="409"/>
      <c r="J2588" s="410">
        <f>K2588</f>
        <v>0</v>
      </c>
      <c r="K2588" s="406"/>
      <c r="L2588" s="407"/>
      <c r="M2588" s="407"/>
      <c r="N2588" s="407"/>
      <c r="O2588" s="407"/>
      <c r="P2588" s="407"/>
      <c r="Q2588" s="407"/>
      <c r="R2588" s="407"/>
      <c r="S2588" s="408"/>
      <c r="T2588" s="469"/>
      <c r="U2588" s="470"/>
    </row>
    <row r="2589" spans="6:21" s="341" customFormat="1" ht="14.25">
      <c r="F2589" s="351"/>
      <c r="G2589" s="353" t="s">
        <v>170</v>
      </c>
      <c r="H2589" s="351"/>
      <c r="I2589" s="409"/>
      <c r="J2589" s="411"/>
      <c r="K2589" s="406">
        <f>K2571</f>
        <v>0</v>
      </c>
      <c r="L2589" s="412">
        <f>K2589</f>
        <v>0</v>
      </c>
      <c r="M2589" s="407"/>
      <c r="N2589" s="407"/>
      <c r="O2589" s="407"/>
      <c r="P2589" s="407"/>
      <c r="Q2589" s="407"/>
      <c r="R2589" s="407"/>
      <c r="S2589" s="408"/>
      <c r="T2589" s="471"/>
      <c r="U2589" s="472"/>
    </row>
    <row r="2590" spans="6:21" s="341" customFormat="1" ht="14.25">
      <c r="F2590" s="351"/>
      <c r="G2590" s="353" t="s">
        <v>171</v>
      </c>
      <c r="H2590" s="351"/>
      <c r="I2590" s="409"/>
      <c r="J2590" s="411"/>
      <c r="K2590" s="410">
        <f>L2590</f>
        <v>0</v>
      </c>
      <c r="L2590" s="406"/>
      <c r="M2590" s="407"/>
      <c r="N2590" s="407"/>
      <c r="O2590" s="407"/>
      <c r="P2590" s="407"/>
      <c r="Q2590" s="407"/>
      <c r="R2590" s="407"/>
      <c r="S2590" s="408"/>
      <c r="T2590" s="471"/>
      <c r="U2590" s="472"/>
    </row>
    <row r="2591" spans="6:21" s="341" customFormat="1" ht="14.25">
      <c r="F2591" s="351"/>
      <c r="G2591" s="353" t="s">
        <v>172</v>
      </c>
      <c r="H2591" s="351"/>
      <c r="I2591" s="409"/>
      <c r="J2591" s="411"/>
      <c r="K2591" s="411"/>
      <c r="L2591" s="406">
        <f>L2571</f>
        <v>0</v>
      </c>
      <c r="M2591" s="412">
        <f>L2591</f>
        <v>0</v>
      </c>
      <c r="N2591" s="411"/>
      <c r="O2591" s="407"/>
      <c r="P2591" s="407"/>
      <c r="Q2591" s="407"/>
      <c r="R2591" s="407"/>
      <c r="S2591" s="408"/>
      <c r="T2591" s="471"/>
      <c r="U2591" s="472"/>
    </row>
    <row r="2592" spans="6:21" s="341" customFormat="1" ht="14.25">
      <c r="F2592" s="351"/>
      <c r="G2592" s="353" t="s">
        <v>173</v>
      </c>
      <c r="H2592" s="351"/>
      <c r="I2592" s="409"/>
      <c r="J2592" s="411"/>
      <c r="K2592" s="411"/>
      <c r="L2592" s="410"/>
      <c r="M2592" s="406"/>
      <c r="N2592" s="411"/>
      <c r="O2592" s="407"/>
      <c r="P2592" s="407"/>
      <c r="Q2592" s="407"/>
      <c r="R2592" s="407"/>
      <c r="S2592" s="408"/>
      <c r="T2592" s="471"/>
      <c r="U2592" s="472"/>
    </row>
    <row r="2593" spans="6:21" s="341" customFormat="1" ht="14.25">
      <c r="F2593" s="351"/>
      <c r="G2593" s="353" t="s">
        <v>174</v>
      </c>
      <c r="H2593" s="351"/>
      <c r="I2593" s="409"/>
      <c r="J2593" s="411"/>
      <c r="K2593" s="411"/>
      <c r="L2593" s="411"/>
      <c r="M2593" s="406">
        <v>0</v>
      </c>
      <c r="N2593" s="412">
        <f>M2593</f>
        <v>0</v>
      </c>
      <c r="O2593" s="407"/>
      <c r="P2593" s="407"/>
      <c r="Q2593" s="407"/>
      <c r="R2593" s="407"/>
      <c r="S2593" s="408"/>
      <c r="T2593" s="471"/>
      <c r="U2593" s="472"/>
    </row>
    <row r="2594" spans="6:21" s="341" customFormat="1" ht="14.25">
      <c r="F2594" s="351"/>
      <c r="G2594" s="353" t="s">
        <v>175</v>
      </c>
      <c r="H2594" s="351"/>
      <c r="I2594" s="409"/>
      <c r="J2594" s="411"/>
      <c r="K2594" s="411"/>
      <c r="L2594" s="411"/>
      <c r="M2594" s="410"/>
      <c r="N2594" s="406"/>
      <c r="O2594" s="407"/>
      <c r="P2594" s="407"/>
      <c r="Q2594" s="407"/>
      <c r="R2594" s="407"/>
      <c r="S2594" s="408"/>
      <c r="T2594" s="471"/>
      <c r="U2594" s="472"/>
    </row>
    <row r="2595" spans="6:21" s="341" customFormat="1" ht="14.25">
      <c r="F2595" s="351"/>
      <c r="G2595" s="353" t="s">
        <v>176</v>
      </c>
      <c r="H2595" s="351"/>
      <c r="I2595" s="409"/>
      <c r="J2595" s="411"/>
      <c r="K2595" s="411"/>
      <c r="L2595" s="411"/>
      <c r="M2595" s="411"/>
      <c r="N2595" s="413">
        <f>N2571</f>
        <v>0</v>
      </c>
      <c r="O2595" s="414">
        <f>N2595</f>
        <v>0</v>
      </c>
      <c r="P2595" s="407"/>
      <c r="Q2595" s="407"/>
      <c r="R2595" s="407"/>
      <c r="S2595" s="408"/>
      <c r="T2595" s="471"/>
      <c r="U2595" s="472"/>
    </row>
    <row r="2596" spans="6:21" s="341" customFormat="1" ht="14.25">
      <c r="F2596" s="351"/>
      <c r="G2596" s="353" t="s">
        <v>167</v>
      </c>
      <c r="H2596" s="351"/>
      <c r="I2596" s="409"/>
      <c r="J2596" s="411"/>
      <c r="K2596" s="411"/>
      <c r="L2596" s="411"/>
      <c r="M2596" s="411"/>
      <c r="N2596" s="415"/>
      <c r="O2596" s="416"/>
      <c r="P2596" s="407"/>
      <c r="Q2596" s="407"/>
      <c r="R2596" s="407"/>
      <c r="S2596" s="408"/>
      <c r="T2596" s="471"/>
      <c r="U2596" s="472"/>
    </row>
    <row r="2597" spans="6:21" s="341" customFormat="1" ht="14.25">
      <c r="F2597" s="351"/>
      <c r="G2597" s="353" t="s">
        <v>168</v>
      </c>
      <c r="H2597" s="351"/>
      <c r="I2597" s="409"/>
      <c r="J2597" s="411"/>
      <c r="K2597" s="411"/>
      <c r="L2597" s="411"/>
      <c r="M2597" s="411"/>
      <c r="N2597" s="411"/>
      <c r="O2597" s="416">
        <f>O2571</f>
        <v>0</v>
      </c>
      <c r="P2597" s="414">
        <f>O2597</f>
        <v>0</v>
      </c>
      <c r="Q2597" s="407"/>
      <c r="R2597" s="407"/>
      <c r="S2597" s="408"/>
      <c r="T2597" s="471"/>
      <c r="U2597" s="472"/>
    </row>
    <row r="2598" spans="6:21" s="341" customFormat="1" ht="14.25">
      <c r="F2598" s="351"/>
      <c r="G2598" s="353" t="s">
        <v>185</v>
      </c>
      <c r="H2598" s="351"/>
      <c r="I2598" s="409"/>
      <c r="J2598" s="411"/>
      <c r="K2598" s="411"/>
      <c r="L2598" s="411"/>
      <c r="M2598" s="411"/>
      <c r="N2598" s="411"/>
      <c r="O2598" s="414"/>
      <c r="P2598" s="416"/>
      <c r="Q2598" s="407"/>
      <c r="R2598" s="407"/>
      <c r="S2598" s="408"/>
      <c r="T2598" s="471"/>
      <c r="U2598" s="472"/>
    </row>
    <row r="2599" spans="6:21" s="341" customFormat="1" ht="14.25">
      <c r="F2599" s="351"/>
      <c r="G2599" s="353" t="s">
        <v>186</v>
      </c>
      <c r="H2599" s="351"/>
      <c r="I2599" s="409"/>
      <c r="J2599" s="411"/>
      <c r="K2599" s="411"/>
      <c r="L2599" s="411"/>
      <c r="M2599" s="411"/>
      <c r="N2599" s="411"/>
      <c r="O2599" s="411"/>
      <c r="P2599" s="416"/>
      <c r="Q2599" s="410">
        <f>P2599</f>
        <v>0</v>
      </c>
      <c r="R2599" s="407"/>
      <c r="S2599" s="408"/>
      <c r="T2599" s="471"/>
      <c r="U2599" s="472"/>
    </row>
    <row r="2600" spans="6:21" s="341" customFormat="1" ht="14.25">
      <c r="F2600" s="351"/>
      <c r="G2600" s="353" t="s">
        <v>187</v>
      </c>
      <c r="H2600" s="351"/>
      <c r="I2600" s="409"/>
      <c r="J2600" s="411"/>
      <c r="K2600" s="411"/>
      <c r="L2600" s="411"/>
      <c r="M2600" s="411"/>
      <c r="N2600" s="411"/>
      <c r="O2600" s="411"/>
      <c r="P2600" s="414"/>
      <c r="Q2600" s="417"/>
      <c r="R2600" s="407"/>
      <c r="S2600" s="408"/>
      <c r="T2600" s="471"/>
      <c r="U2600" s="472"/>
    </row>
    <row r="2601" spans="6:21" s="341" customFormat="1" ht="14.25">
      <c r="F2601" s="351"/>
      <c r="G2601" s="353" t="s">
        <v>188</v>
      </c>
      <c r="H2601" s="351"/>
      <c r="I2601" s="409"/>
      <c r="J2601" s="411"/>
      <c r="K2601" s="411"/>
      <c r="L2601" s="411"/>
      <c r="M2601" s="411"/>
      <c r="N2601" s="411"/>
      <c r="O2601" s="411"/>
      <c r="P2601" s="411"/>
      <c r="Q2601" s="416"/>
      <c r="R2601" s="418">
        <f>Q2601</f>
        <v>0</v>
      </c>
      <c r="S2601" s="408"/>
      <c r="T2601" s="471"/>
      <c r="U2601" s="472"/>
    </row>
    <row r="2602" spans="6:21" s="341" customFormat="1" ht="14.25">
      <c r="F2602" s="351"/>
      <c r="G2602" s="353" t="s">
        <v>189</v>
      </c>
      <c r="H2602" s="351"/>
      <c r="I2602" s="409"/>
      <c r="J2602" s="411"/>
      <c r="K2602" s="411"/>
      <c r="L2602" s="411"/>
      <c r="M2602" s="411"/>
      <c r="N2602" s="411"/>
      <c r="O2602" s="411"/>
      <c r="P2602" s="411"/>
      <c r="Q2602" s="418">
        <f>R2571</f>
        <v>0</v>
      </c>
      <c r="R2602" s="419">
        <f>Q2602</f>
        <v>0</v>
      </c>
      <c r="S2602" s="408"/>
      <c r="T2602" s="471"/>
      <c r="U2602" s="472"/>
    </row>
    <row r="2603" spans="6:21" s="341" customFormat="1" ht="14.25">
      <c r="F2603" s="351"/>
      <c r="G2603" s="353" t="s">
        <v>190</v>
      </c>
      <c r="H2603" s="351"/>
      <c r="I2603" s="409"/>
      <c r="J2603" s="411"/>
      <c r="K2603" s="411"/>
      <c r="L2603" s="411"/>
      <c r="M2603" s="411"/>
      <c r="N2603" s="411"/>
      <c r="O2603" s="411"/>
      <c r="P2603" s="411"/>
      <c r="Q2603" s="411"/>
      <c r="R2603" s="419"/>
      <c r="S2603" s="420">
        <f>R2603</f>
        <v>0</v>
      </c>
      <c r="T2603" s="471"/>
      <c r="U2603" s="472"/>
    </row>
    <row r="2604" spans="6:21" s="341" customFormat="1" ht="14.25">
      <c r="F2604" s="351"/>
      <c r="G2604" s="353" t="s">
        <v>199</v>
      </c>
      <c r="H2604" s="351"/>
      <c r="I2604" s="409"/>
      <c r="J2604" s="411"/>
      <c r="K2604" s="411"/>
      <c r="L2604" s="411"/>
      <c r="M2604" s="411"/>
      <c r="N2604" s="411"/>
      <c r="O2604" s="411"/>
      <c r="P2604" s="411"/>
      <c r="Q2604" s="411"/>
      <c r="R2604" s="414"/>
      <c r="S2604" s="421">
        <v>0</v>
      </c>
      <c r="T2604" s="471"/>
      <c r="U2604" s="472"/>
    </row>
    <row r="2605" spans="6:21" s="341" customFormat="1" ht="14.25">
      <c r="F2605" s="351"/>
      <c r="G2605" s="353" t="s">
        <v>200</v>
      </c>
      <c r="H2605" s="351"/>
      <c r="I2605" s="409"/>
      <c r="J2605" s="411"/>
      <c r="K2605" s="411"/>
      <c r="L2605" s="411"/>
      <c r="M2605" s="411"/>
      <c r="N2605" s="411"/>
      <c r="O2605" s="411"/>
      <c r="P2605" s="411"/>
      <c r="Q2605" s="411"/>
      <c r="R2605" s="411"/>
      <c r="S2605" s="421">
        <v>0</v>
      </c>
      <c r="T2605" s="418">
        <f>S2605</f>
        <v>0</v>
      </c>
      <c r="U2605" s="472"/>
    </row>
    <row r="2606" spans="6:21" s="341" customFormat="1" ht="14.25">
      <c r="F2606" s="351"/>
      <c r="G2606" s="353" t="s">
        <v>308</v>
      </c>
      <c r="H2606" s="351"/>
      <c r="I2606" s="409"/>
      <c r="J2606" s="411"/>
      <c r="K2606" s="411"/>
      <c r="L2606" s="411"/>
      <c r="M2606" s="411"/>
      <c r="N2606" s="411"/>
      <c r="O2606" s="411"/>
      <c r="P2606" s="411"/>
      <c r="Q2606" s="411"/>
      <c r="R2606" s="411"/>
      <c r="S2606" s="422">
        <f>T2606</f>
        <v>0</v>
      </c>
      <c r="T2606" s="419">
        <v>0</v>
      </c>
      <c r="U2606" s="472"/>
    </row>
    <row r="2607" spans="6:21" s="341" customFormat="1" ht="14.25">
      <c r="F2607" s="351"/>
      <c r="G2607" s="353" t="s">
        <v>307</v>
      </c>
      <c r="H2607" s="351"/>
      <c r="I2607" s="423"/>
      <c r="J2607" s="424"/>
      <c r="K2607" s="424"/>
      <c r="L2607" s="424"/>
      <c r="M2607" s="424"/>
      <c r="N2607" s="424"/>
      <c r="O2607" s="424"/>
      <c r="P2607" s="424"/>
      <c r="Q2607" s="424"/>
      <c r="R2607" s="424"/>
      <c r="S2607" s="425"/>
      <c r="T2607" s="419">
        <v>0</v>
      </c>
      <c r="U2607" s="473">
        <f>T2607</f>
        <v>0</v>
      </c>
    </row>
    <row r="2608" spans="6:21" s="341" customFormat="1" ht="14.25">
      <c r="F2608" s="351"/>
      <c r="G2608" s="353" t="s">
        <v>318</v>
      </c>
      <c r="H2608" s="351"/>
      <c r="I2608" s="423"/>
      <c r="J2608" s="424"/>
      <c r="K2608" s="424"/>
      <c r="L2608" s="424"/>
      <c r="M2608" s="424"/>
      <c r="N2608" s="424"/>
      <c r="O2608" s="424"/>
      <c r="P2608" s="424"/>
      <c r="Q2608" s="424"/>
      <c r="R2608" s="424"/>
      <c r="S2608" s="425"/>
      <c r="T2608" s="414">
        <f>U2608</f>
        <v>0</v>
      </c>
      <c r="U2608" s="474">
        <v>0</v>
      </c>
    </row>
    <row r="2609" spans="1:21" s="341" customFormat="1" ht="14.25">
      <c r="F2609" s="351"/>
      <c r="G2609" s="353" t="s">
        <v>319</v>
      </c>
      <c r="H2609" s="351"/>
      <c r="I2609" s="426"/>
      <c r="J2609" s="427"/>
      <c r="K2609" s="427"/>
      <c r="L2609" s="427"/>
      <c r="M2609" s="427"/>
      <c r="N2609" s="427"/>
      <c r="O2609" s="427"/>
      <c r="P2609" s="427"/>
      <c r="Q2609" s="427"/>
      <c r="R2609" s="427"/>
      <c r="S2609" s="428"/>
      <c r="T2609" s="427"/>
      <c r="U2609" s="475">
        <v>0</v>
      </c>
    </row>
    <row r="2610" spans="1:21" s="341" customFormat="1" ht="14.25">
      <c r="B2610" s="489" t="s">
        <v>231</v>
      </c>
      <c r="F2610" s="351"/>
      <c r="G2610" s="353" t="s">
        <v>17</v>
      </c>
      <c r="H2610" s="351"/>
      <c r="I2610" s="398">
        <f xml:space="preserve"> I2591 - I2590</f>
        <v>0</v>
      </c>
      <c r="J2610" s="398">
        <f xml:space="preserve"> J2590 + J2593 - J2592 - J2591</f>
        <v>0</v>
      </c>
      <c r="K2610" s="398">
        <f>K2592 - K2593</f>
        <v>0</v>
      </c>
      <c r="L2610" s="398">
        <f>L2592 - L2593</f>
        <v>0</v>
      </c>
      <c r="M2610" s="398">
        <f>M2591-M2592-M2593</f>
        <v>0</v>
      </c>
      <c r="N2610" s="398">
        <f>N2593-N2594-N2595</f>
        <v>0</v>
      </c>
      <c r="O2610" s="398">
        <f>O2595-O2596-O2597</f>
        <v>0</v>
      </c>
      <c r="P2610" s="429">
        <f>P2597-P2598-P2599</f>
        <v>0</v>
      </c>
      <c r="Q2610" s="429">
        <f>Q2599+Q2602-Q2601-Q2600</f>
        <v>0</v>
      </c>
      <c r="R2610" s="429">
        <f>R2601-R2602+R2604</f>
        <v>0</v>
      </c>
      <c r="S2610" s="399">
        <f>S2603-S2604+S2605-S2606</f>
        <v>0</v>
      </c>
      <c r="T2610" s="398">
        <f>T2605-T2606-T2607+T2608</f>
        <v>0</v>
      </c>
      <c r="U2610" s="398">
        <f>U2607-U2608-U2609</f>
        <v>0</v>
      </c>
    </row>
    <row r="2611" spans="1:21" s="341" customFormat="1" ht="14.25">
      <c r="F2611" s="351"/>
      <c r="G2611" s="356"/>
      <c r="H2611" s="351"/>
      <c r="I2611" s="429"/>
      <c r="J2611" s="429"/>
      <c r="K2611" s="429"/>
      <c r="L2611" s="429"/>
      <c r="M2611" s="429"/>
      <c r="N2611" s="429"/>
      <c r="O2611" s="429"/>
      <c r="P2611" s="429"/>
      <c r="Q2611" s="429"/>
      <c r="R2611" s="429"/>
      <c r="S2611" s="430"/>
      <c r="T2611" s="429"/>
      <c r="U2611" s="429"/>
    </row>
    <row r="2612" spans="1:21" s="341" customFormat="1" ht="14.25">
      <c r="F2612" s="351"/>
      <c r="G2612" s="355" t="s">
        <v>12</v>
      </c>
      <c r="H2612" s="354"/>
      <c r="I2612" s="431"/>
      <c r="J2612" s="432"/>
      <c r="K2612" s="432"/>
      <c r="L2612" s="432"/>
      <c r="M2612" s="432"/>
      <c r="N2612" s="432"/>
      <c r="O2612" s="432"/>
      <c r="P2612" s="432"/>
      <c r="Q2612" s="432"/>
      <c r="R2612" s="432"/>
      <c r="S2612" s="432"/>
      <c r="T2612" s="432"/>
      <c r="U2612" s="476"/>
    </row>
    <row r="2613" spans="1:21" s="341" customFormat="1" ht="14.25">
      <c r="F2613" s="351"/>
      <c r="G2613" s="356"/>
      <c r="H2613" s="351"/>
      <c r="I2613" s="429"/>
      <c r="J2613" s="429"/>
      <c r="K2613" s="429"/>
      <c r="L2613" s="429"/>
      <c r="M2613" s="429"/>
      <c r="N2613" s="429"/>
      <c r="O2613" s="429"/>
      <c r="P2613" s="429"/>
      <c r="Q2613" s="429"/>
      <c r="R2613" s="429"/>
      <c r="S2613" s="429"/>
      <c r="T2613" s="429"/>
      <c r="U2613" s="429"/>
    </row>
    <row r="2614" spans="1:21" s="341" customFormat="1" ht="18">
      <c r="C2614" s="489" t="s">
        <v>231</v>
      </c>
      <c r="D2614" s="489" t="s">
        <v>250</v>
      </c>
      <c r="E2614" s="489" t="s">
        <v>108</v>
      </c>
      <c r="F2614" s="352" t="s">
        <v>26</v>
      </c>
      <c r="G2614" s="351"/>
      <c r="H2614" s="354"/>
      <c r="I2614" s="433">
        <f t="shared" ref="I2614:T2614" si="1210" xml:space="preserve"> I2571 + I2576 - I2582 + I2610 + I2612</f>
        <v>0</v>
      </c>
      <c r="J2614" s="434">
        <f t="shared" si="1210"/>
        <v>0</v>
      </c>
      <c r="K2614" s="434">
        <f t="shared" si="1210"/>
        <v>0</v>
      </c>
      <c r="L2614" s="434">
        <f t="shared" si="1210"/>
        <v>0</v>
      </c>
      <c r="M2614" s="434">
        <f t="shared" si="1210"/>
        <v>0</v>
      </c>
      <c r="N2614" s="434">
        <f t="shared" si="1210"/>
        <v>0</v>
      </c>
      <c r="O2614" s="434">
        <f t="shared" si="1210"/>
        <v>0</v>
      </c>
      <c r="P2614" s="434">
        <f t="shared" si="1210"/>
        <v>0</v>
      </c>
      <c r="Q2614" s="434">
        <f t="shared" si="1210"/>
        <v>0</v>
      </c>
      <c r="R2614" s="434">
        <f t="shared" si="1210"/>
        <v>0</v>
      </c>
      <c r="S2614" s="435">
        <f t="shared" si="1210"/>
        <v>0</v>
      </c>
      <c r="T2614" s="434">
        <f t="shared" si="1210"/>
        <v>0</v>
      </c>
      <c r="U2614" s="477">
        <f t="shared" ref="U2614" si="1211" xml:space="preserve"> U2571 + U2576 - U2582 + U2610 + U2612</f>
        <v>0</v>
      </c>
    </row>
    <row r="2615" spans="1:21" s="341" customFormat="1" thickBot="1">
      <c r="F2615" s="351"/>
      <c r="G2615" s="351"/>
      <c r="H2615" s="351"/>
      <c r="I2615" s="351"/>
      <c r="J2615" s="351"/>
      <c r="K2615" s="351"/>
      <c r="L2615" s="351"/>
      <c r="M2615" s="351"/>
      <c r="N2615" s="351"/>
      <c r="O2615" s="351"/>
      <c r="P2615" s="351"/>
      <c r="Q2615" s="351"/>
      <c r="R2615" s="351"/>
      <c r="S2615" s="436"/>
      <c r="T2615" s="351"/>
      <c r="U2615" s="351"/>
    </row>
    <row r="2616" spans="1:21" s="341" customFormat="1" thickBot="1">
      <c r="F2616" s="437"/>
      <c r="G2616" s="437"/>
      <c r="H2616" s="437"/>
      <c r="I2616" s="437"/>
      <c r="J2616" s="437"/>
      <c r="K2616" s="437"/>
      <c r="L2616" s="437"/>
      <c r="M2616" s="437"/>
      <c r="N2616" s="437"/>
      <c r="O2616" s="437"/>
      <c r="P2616" s="437"/>
      <c r="Q2616" s="437"/>
      <c r="R2616" s="437"/>
      <c r="S2616" s="449"/>
      <c r="T2616" s="437"/>
      <c r="U2616" s="437"/>
    </row>
    <row r="2617" spans="1:21" s="341" customFormat="1" ht="21" thickBot="1">
      <c r="F2617" s="349" t="s">
        <v>4</v>
      </c>
      <c r="G2617" s="349"/>
      <c r="H2617" s="350" t="s">
        <v>265</v>
      </c>
      <c r="I2617" s="439"/>
      <c r="J2617" s="351"/>
      <c r="K2617" s="351"/>
      <c r="L2617" s="351"/>
      <c r="M2617" s="351"/>
      <c r="N2617" s="351"/>
      <c r="O2617" s="351"/>
      <c r="P2617" s="351"/>
      <c r="Q2617" s="351"/>
      <c r="R2617" s="351"/>
      <c r="S2617" s="436"/>
      <c r="T2617" s="351"/>
      <c r="U2617" s="351"/>
    </row>
    <row r="2618" spans="1:21" s="341" customFormat="1" ht="14.25">
      <c r="F2618" s="351"/>
      <c r="G2618" s="351"/>
      <c r="H2618" s="351"/>
      <c r="I2618" s="351"/>
      <c r="J2618" s="351"/>
      <c r="K2618" s="351"/>
      <c r="L2618" s="351"/>
      <c r="M2618" s="351"/>
      <c r="N2618" s="351"/>
      <c r="O2618" s="351"/>
      <c r="P2618" s="351"/>
      <c r="Q2618" s="351"/>
      <c r="R2618" s="351"/>
      <c r="S2618" s="436"/>
      <c r="T2618" s="351"/>
      <c r="U2618" s="351"/>
    </row>
    <row r="2619" spans="1:21" s="341" customFormat="1" ht="18">
      <c r="F2619" s="352" t="s">
        <v>21</v>
      </c>
      <c r="G2619" s="352"/>
      <c r="H2619" s="351"/>
      <c r="I2619" s="360">
        <v>2011</v>
      </c>
      <c r="J2619" s="360">
        <f>I2619+1</f>
        <v>2012</v>
      </c>
      <c r="K2619" s="360">
        <f t="shared" ref="K2619" si="1212">J2619+1</f>
        <v>2013</v>
      </c>
      <c r="L2619" s="360">
        <f t="shared" ref="L2619" si="1213">K2619+1</f>
        <v>2014</v>
      </c>
      <c r="M2619" s="360">
        <f t="shared" ref="M2619" si="1214">L2619+1</f>
        <v>2015</v>
      </c>
      <c r="N2619" s="360">
        <f t="shared" ref="N2619" si="1215">M2619+1</f>
        <v>2016</v>
      </c>
      <c r="O2619" s="360">
        <f t="shared" ref="O2619" si="1216">N2619+1</f>
        <v>2017</v>
      </c>
      <c r="P2619" s="360">
        <f t="shared" ref="P2619" si="1217">O2619+1</f>
        <v>2018</v>
      </c>
      <c r="Q2619" s="360">
        <f t="shared" ref="Q2619" si="1218">P2619+1</f>
        <v>2019</v>
      </c>
      <c r="R2619" s="360">
        <f t="shared" ref="R2619" si="1219">Q2619+1</f>
        <v>2020</v>
      </c>
      <c r="S2619" s="360">
        <f>R2619+1</f>
        <v>2021</v>
      </c>
      <c r="T2619" s="360">
        <f>S2619+1</f>
        <v>2022</v>
      </c>
      <c r="U2619" s="360">
        <f>T2619+1</f>
        <v>2023</v>
      </c>
    </row>
    <row r="2620" spans="1:21" s="341" customFormat="1" ht="14.25">
      <c r="F2620" s="351"/>
      <c r="G2620" s="353" t="str">
        <f>"Total MWh Produced / Purchased from " &amp; H2617</f>
        <v>Total MWh Produced / Purchased from Sage Solar II</v>
      </c>
      <c r="H2620" s="354"/>
      <c r="I2620" s="362"/>
      <c r="J2620" s="363"/>
      <c r="K2620" s="363"/>
      <c r="L2620" s="363"/>
      <c r="M2620" s="363"/>
      <c r="N2620" s="363"/>
      <c r="O2620" s="363"/>
      <c r="P2620" s="363"/>
      <c r="Q2620" s="363"/>
      <c r="R2620" s="363"/>
      <c r="S2620" s="363">
        <v>40325</v>
      </c>
      <c r="T2620" s="363"/>
      <c r="U2620" s="460"/>
    </row>
    <row r="2621" spans="1:21" s="341" customFormat="1" ht="14.25">
      <c r="F2621" s="351"/>
      <c r="G2621" s="353" t="s">
        <v>25</v>
      </c>
      <c r="H2621" s="354"/>
      <c r="I2621" s="365"/>
      <c r="J2621" s="366"/>
      <c r="K2621" s="366"/>
      <c r="L2621" s="366"/>
      <c r="M2621" s="366"/>
      <c r="N2621" s="366"/>
      <c r="O2621" s="366"/>
      <c r="P2621" s="366"/>
      <c r="Q2621" s="366"/>
      <c r="R2621" s="366"/>
      <c r="S2621" s="366">
        <v>1</v>
      </c>
      <c r="T2621" s="366">
        <v>1</v>
      </c>
      <c r="U2621" s="366">
        <v>1</v>
      </c>
    </row>
    <row r="2622" spans="1:21" s="341" customFormat="1" ht="14.25">
      <c r="F2622" s="351"/>
      <c r="G2622" s="353" t="s">
        <v>20</v>
      </c>
      <c r="H2622" s="354"/>
      <c r="I2622" s="368"/>
      <c r="J2622" s="369"/>
      <c r="K2622" s="369"/>
      <c r="L2622" s="369"/>
      <c r="M2622" s="369"/>
      <c r="N2622" s="369"/>
      <c r="O2622" s="369"/>
      <c r="P2622" s="369"/>
      <c r="Q2622" s="369"/>
      <c r="R2622" s="369"/>
      <c r="S2622" s="369">
        <v>0</v>
      </c>
      <c r="T2622" s="369">
        <v>0</v>
      </c>
      <c r="U2622" s="369">
        <v>0</v>
      </c>
    </row>
    <row r="2623" spans="1:21" s="341" customFormat="1" ht="14.25">
      <c r="A2623" s="489" t="s">
        <v>232</v>
      </c>
      <c r="B2623" s="489"/>
      <c r="C2623" s="489"/>
      <c r="F2623" s="351"/>
      <c r="G2623" s="355" t="s">
        <v>22</v>
      </c>
      <c r="H2623" s="356"/>
      <c r="I2623" s="371">
        <v>0</v>
      </c>
      <c r="J2623" s="371">
        <v>0</v>
      </c>
      <c r="K2623" s="371">
        <v>0</v>
      </c>
      <c r="L2623" s="371">
        <v>0</v>
      </c>
      <c r="M2623" s="371">
        <v>0</v>
      </c>
      <c r="N2623" s="372">
        <v>0</v>
      </c>
      <c r="O2623" s="372">
        <v>0</v>
      </c>
      <c r="P2623" s="372">
        <v>0</v>
      </c>
      <c r="Q2623" s="372">
        <f>Q2620*Q2622</f>
        <v>0</v>
      </c>
      <c r="R2623" s="372">
        <f>R2620*R2622</f>
        <v>0</v>
      </c>
      <c r="S2623" s="372">
        <f>S2620*S2622</f>
        <v>0</v>
      </c>
      <c r="T2623" s="372">
        <f>T2620*T2622</f>
        <v>0</v>
      </c>
      <c r="U2623" s="372">
        <f>U2620*U2622</f>
        <v>0</v>
      </c>
    </row>
    <row r="2624" spans="1:21" s="341" customFormat="1" ht="14.25">
      <c r="F2624" s="351"/>
      <c r="G2624" s="351"/>
      <c r="H2624" s="351"/>
      <c r="I2624" s="374"/>
      <c r="J2624" s="374"/>
      <c r="K2624" s="374"/>
      <c r="L2624" s="374"/>
      <c r="M2624" s="374"/>
      <c r="N2624" s="375"/>
      <c r="O2624" s="375"/>
      <c r="P2624" s="375"/>
      <c r="Q2624" s="375"/>
      <c r="R2624" s="375"/>
      <c r="S2624" s="375"/>
      <c r="T2624" s="375"/>
      <c r="U2624" s="375"/>
    </row>
    <row r="2625" spans="6:21" s="341" customFormat="1" ht="18">
      <c r="F2625" s="352" t="s">
        <v>118</v>
      </c>
      <c r="G2625" s="351"/>
      <c r="H2625" s="351"/>
      <c r="I2625" s="360">
        <v>2011</v>
      </c>
      <c r="J2625" s="360">
        <f>I2625+1</f>
        <v>2012</v>
      </c>
      <c r="K2625" s="360">
        <f t="shared" ref="K2625" si="1220">J2625+1</f>
        <v>2013</v>
      </c>
      <c r="L2625" s="360">
        <f t="shared" ref="L2625" si="1221">K2625+1</f>
        <v>2014</v>
      </c>
      <c r="M2625" s="360">
        <f t="shared" ref="M2625" si="1222">L2625+1</f>
        <v>2015</v>
      </c>
      <c r="N2625" s="360">
        <f t="shared" ref="N2625" si="1223">M2625+1</f>
        <v>2016</v>
      </c>
      <c r="O2625" s="360">
        <f t="shared" ref="O2625" si="1224">N2625+1</f>
        <v>2017</v>
      </c>
      <c r="P2625" s="360">
        <f t="shared" ref="P2625" si="1225">O2625+1</f>
        <v>2018</v>
      </c>
      <c r="Q2625" s="360">
        <f t="shared" ref="Q2625" si="1226">P2625+1</f>
        <v>2019</v>
      </c>
      <c r="R2625" s="360">
        <f t="shared" ref="R2625" si="1227">Q2625+1</f>
        <v>2020</v>
      </c>
      <c r="S2625" s="360">
        <f>R2625+1</f>
        <v>2021</v>
      </c>
      <c r="T2625" s="360">
        <f>S2625+1</f>
        <v>2022</v>
      </c>
      <c r="U2625" s="360">
        <f>T2625+1</f>
        <v>2023</v>
      </c>
    </row>
    <row r="2626" spans="6:21" s="341" customFormat="1" ht="14.25">
      <c r="F2626" s="351"/>
      <c r="G2626" s="353" t="s">
        <v>10</v>
      </c>
      <c r="H2626" s="354"/>
      <c r="I2626" s="377">
        <f>IF($J57= "Eligible", I2623 * 'Facility Detail'!$G$3257, 0 )</f>
        <v>0</v>
      </c>
      <c r="J2626" s="378">
        <f>IF($J57= "Eligible", J2623 * 'Facility Detail'!$G$3257, 0 )</f>
        <v>0</v>
      </c>
      <c r="K2626" s="378">
        <f>IF($J57= "Eligible", K2623 * 'Facility Detail'!$G$3257, 0 )</f>
        <v>0</v>
      </c>
      <c r="L2626" s="378">
        <f>IF($J57= "Eligible", L2623 * 'Facility Detail'!$G$3257, 0 )</f>
        <v>0</v>
      </c>
      <c r="M2626" s="378">
        <f>IF($J57= "Eligible", M2623 * 'Facility Detail'!$G$3257, 0 )</f>
        <v>0</v>
      </c>
      <c r="N2626" s="378">
        <f>IF($J57= "Eligible", N2623 * 'Facility Detail'!$G$3257, 0 )</f>
        <v>0</v>
      </c>
      <c r="O2626" s="378">
        <f>IF($J57= "Eligible", O2623 * 'Facility Detail'!$G$3257, 0 )</f>
        <v>0</v>
      </c>
      <c r="P2626" s="378">
        <f>IF($J57= "Eligible", P2623 * 'Facility Detail'!$G$3257, 0 )</f>
        <v>0</v>
      </c>
      <c r="Q2626" s="378">
        <f>IF($J57= "Eligible", Q2623 * 'Facility Detail'!$G$3257, 0 )</f>
        <v>0</v>
      </c>
      <c r="R2626" s="378">
        <f>IF($J57= "Eligible", R2623 * 'Facility Detail'!$G$3257, 0 )</f>
        <v>0</v>
      </c>
      <c r="S2626" s="378">
        <f>IF($J57= "Eligible", S2623 * 'Facility Detail'!$G$3257, 0 )</f>
        <v>0</v>
      </c>
      <c r="T2626" s="378">
        <f>IF($J57= "Eligible", T2623 * 'Facility Detail'!$G$3257, 0 )</f>
        <v>0</v>
      </c>
      <c r="U2626" s="462">
        <f>IF($J57= "Eligible", U2623 * 'Facility Detail'!$G$3257, 0 )</f>
        <v>0</v>
      </c>
    </row>
    <row r="2627" spans="6:21" s="341" customFormat="1" ht="14.25">
      <c r="F2627" s="351"/>
      <c r="G2627" s="353" t="s">
        <v>6</v>
      </c>
      <c r="H2627" s="354"/>
      <c r="I2627" s="380">
        <f t="shared" ref="I2627:U2627" si="1228">IF($K57= "Eligible", I2623, 0 )</f>
        <v>0</v>
      </c>
      <c r="J2627" s="381">
        <f t="shared" si="1228"/>
        <v>0</v>
      </c>
      <c r="K2627" s="381">
        <f t="shared" si="1228"/>
        <v>0</v>
      </c>
      <c r="L2627" s="381">
        <f t="shared" si="1228"/>
        <v>0</v>
      </c>
      <c r="M2627" s="381">
        <f t="shared" si="1228"/>
        <v>0</v>
      </c>
      <c r="N2627" s="381">
        <f t="shared" si="1228"/>
        <v>0</v>
      </c>
      <c r="O2627" s="381">
        <f t="shared" si="1228"/>
        <v>0</v>
      </c>
      <c r="P2627" s="381">
        <f t="shared" si="1228"/>
        <v>0</v>
      </c>
      <c r="Q2627" s="381">
        <f t="shared" si="1228"/>
        <v>0</v>
      </c>
      <c r="R2627" s="381">
        <f t="shared" si="1228"/>
        <v>0</v>
      </c>
      <c r="S2627" s="381">
        <f t="shared" si="1228"/>
        <v>0</v>
      </c>
      <c r="T2627" s="381">
        <f t="shared" si="1228"/>
        <v>0</v>
      </c>
      <c r="U2627" s="463">
        <f t="shared" si="1228"/>
        <v>0</v>
      </c>
    </row>
    <row r="2628" spans="6:21" s="341" customFormat="1" ht="14.25">
      <c r="F2628" s="351"/>
      <c r="G2628" s="355" t="s">
        <v>120</v>
      </c>
      <c r="H2628" s="356"/>
      <c r="I2628" s="383">
        <f>SUM(I2626:I2627)</f>
        <v>0</v>
      </c>
      <c r="J2628" s="384">
        <f t="shared" ref="J2628:S2628" si="1229">SUM(J2626:J2627)</f>
        <v>0</v>
      </c>
      <c r="K2628" s="384">
        <f t="shared" si="1229"/>
        <v>0</v>
      </c>
      <c r="L2628" s="384">
        <f t="shared" si="1229"/>
        <v>0</v>
      </c>
      <c r="M2628" s="384">
        <f t="shared" si="1229"/>
        <v>0</v>
      </c>
      <c r="N2628" s="384">
        <f t="shared" si="1229"/>
        <v>0</v>
      </c>
      <c r="O2628" s="384">
        <f t="shared" si="1229"/>
        <v>0</v>
      </c>
      <c r="P2628" s="384">
        <f t="shared" si="1229"/>
        <v>0</v>
      </c>
      <c r="Q2628" s="384">
        <f t="shared" si="1229"/>
        <v>0</v>
      </c>
      <c r="R2628" s="384">
        <f t="shared" si="1229"/>
        <v>0</v>
      </c>
      <c r="S2628" s="384">
        <f t="shared" si="1229"/>
        <v>0</v>
      </c>
      <c r="T2628" s="384">
        <f t="shared" ref="T2628:U2628" si="1230">SUM(T2626:T2627)</f>
        <v>0</v>
      </c>
      <c r="U2628" s="384">
        <f t="shared" si="1230"/>
        <v>0</v>
      </c>
    </row>
    <row r="2629" spans="6:21" s="341" customFormat="1" ht="14.25">
      <c r="F2629" s="351"/>
      <c r="G2629" s="351"/>
      <c r="H2629" s="351"/>
      <c r="I2629" s="386"/>
      <c r="J2629" s="387"/>
      <c r="K2629" s="387"/>
      <c r="L2629" s="387"/>
      <c r="M2629" s="387"/>
      <c r="N2629" s="387"/>
      <c r="O2629" s="387"/>
      <c r="P2629" s="387"/>
      <c r="Q2629" s="387"/>
      <c r="R2629" s="387"/>
      <c r="S2629" s="387"/>
      <c r="T2629" s="387"/>
      <c r="U2629" s="387"/>
    </row>
    <row r="2630" spans="6:21" s="341" customFormat="1" ht="18">
      <c r="F2630" s="352" t="s">
        <v>30</v>
      </c>
      <c r="G2630" s="351"/>
      <c r="H2630" s="351"/>
      <c r="I2630" s="360">
        <v>2011</v>
      </c>
      <c r="J2630" s="360">
        <f>I2630+1</f>
        <v>2012</v>
      </c>
      <c r="K2630" s="360">
        <f t="shared" ref="K2630" si="1231">J2630+1</f>
        <v>2013</v>
      </c>
      <c r="L2630" s="360">
        <f t="shared" ref="L2630" si="1232">K2630+1</f>
        <v>2014</v>
      </c>
      <c r="M2630" s="360">
        <f t="shared" ref="M2630" si="1233">L2630+1</f>
        <v>2015</v>
      </c>
      <c r="N2630" s="360">
        <f t="shared" ref="N2630" si="1234">M2630+1</f>
        <v>2016</v>
      </c>
      <c r="O2630" s="360">
        <f t="shared" ref="O2630" si="1235">N2630+1</f>
        <v>2017</v>
      </c>
      <c r="P2630" s="360">
        <f t="shared" ref="P2630" si="1236">O2630+1</f>
        <v>2018</v>
      </c>
      <c r="Q2630" s="360">
        <f t="shared" ref="Q2630" si="1237">P2630+1</f>
        <v>2019</v>
      </c>
      <c r="R2630" s="360">
        <f t="shared" ref="R2630" si="1238">Q2630+1</f>
        <v>2020</v>
      </c>
      <c r="S2630" s="360">
        <f>R2630+1</f>
        <v>2021</v>
      </c>
      <c r="T2630" s="360">
        <f>S2630+1</f>
        <v>2022</v>
      </c>
      <c r="U2630" s="360">
        <f>T2630+1</f>
        <v>2023</v>
      </c>
    </row>
    <row r="2631" spans="6:21" s="341" customFormat="1" ht="14.25">
      <c r="F2631" s="351"/>
      <c r="G2631" s="353" t="s">
        <v>47</v>
      </c>
      <c r="H2631" s="354"/>
      <c r="I2631" s="389"/>
      <c r="J2631" s="390"/>
      <c r="K2631" s="390"/>
      <c r="L2631" s="390"/>
      <c r="M2631" s="390"/>
      <c r="N2631" s="390"/>
      <c r="O2631" s="390"/>
      <c r="P2631" s="390"/>
      <c r="Q2631" s="390"/>
      <c r="R2631" s="390"/>
      <c r="S2631" s="390"/>
      <c r="T2631" s="390"/>
      <c r="U2631" s="464"/>
    </row>
    <row r="2632" spans="6:21" s="341" customFormat="1" ht="14.25">
      <c r="F2632" s="351"/>
      <c r="G2632" s="357" t="s">
        <v>23</v>
      </c>
      <c r="H2632" s="358"/>
      <c r="I2632" s="392"/>
      <c r="J2632" s="393"/>
      <c r="K2632" s="393"/>
      <c r="L2632" s="393"/>
      <c r="M2632" s="393"/>
      <c r="N2632" s="393"/>
      <c r="O2632" s="393"/>
      <c r="P2632" s="393"/>
      <c r="Q2632" s="393"/>
      <c r="R2632" s="393"/>
      <c r="S2632" s="393"/>
      <c r="T2632" s="393"/>
      <c r="U2632" s="465"/>
    </row>
    <row r="2633" spans="6:21" s="341" customFormat="1" ht="14.25">
      <c r="F2633" s="351"/>
      <c r="G2633" s="357" t="s">
        <v>89</v>
      </c>
      <c r="H2633" s="359"/>
      <c r="I2633" s="395"/>
      <c r="J2633" s="396"/>
      <c r="K2633" s="396"/>
      <c r="L2633" s="396"/>
      <c r="M2633" s="396"/>
      <c r="N2633" s="396"/>
      <c r="O2633" s="396"/>
      <c r="P2633" s="396"/>
      <c r="Q2633" s="396"/>
      <c r="R2633" s="396"/>
      <c r="S2633" s="396"/>
      <c r="T2633" s="396"/>
      <c r="U2633" s="466"/>
    </row>
    <row r="2634" spans="6:21" s="341" customFormat="1" ht="14.25">
      <c r="F2634" s="351"/>
      <c r="G2634" s="355" t="s">
        <v>90</v>
      </c>
      <c r="H2634" s="351"/>
      <c r="I2634" s="398">
        <v>0</v>
      </c>
      <c r="J2634" s="398">
        <v>0</v>
      </c>
      <c r="K2634" s="398">
        <v>0</v>
      </c>
      <c r="L2634" s="398">
        <v>0</v>
      </c>
      <c r="M2634" s="398">
        <v>0</v>
      </c>
      <c r="N2634" s="398">
        <v>0</v>
      </c>
      <c r="O2634" s="398">
        <v>0</v>
      </c>
      <c r="P2634" s="398">
        <v>0</v>
      </c>
      <c r="Q2634" s="398">
        <v>0</v>
      </c>
      <c r="R2634" s="398">
        <v>0</v>
      </c>
      <c r="S2634" s="398">
        <v>0</v>
      </c>
      <c r="T2634" s="398">
        <v>0</v>
      </c>
      <c r="U2634" s="398">
        <v>0</v>
      </c>
    </row>
    <row r="2635" spans="6:21" s="341" customFormat="1" ht="14.25">
      <c r="F2635" s="351"/>
      <c r="G2635" s="356"/>
      <c r="H2635" s="351"/>
      <c r="I2635" s="398"/>
      <c r="J2635" s="398"/>
      <c r="K2635" s="398"/>
      <c r="L2635" s="400"/>
      <c r="M2635" s="400"/>
      <c r="N2635" s="400"/>
      <c r="O2635" s="400"/>
      <c r="P2635" s="400"/>
      <c r="Q2635" s="400"/>
      <c r="R2635" s="400"/>
      <c r="S2635" s="400"/>
      <c r="T2635" s="400"/>
      <c r="U2635" s="400"/>
    </row>
    <row r="2636" spans="6:21" s="341" customFormat="1" ht="18">
      <c r="F2636" s="352" t="s">
        <v>100</v>
      </c>
      <c r="G2636" s="351"/>
      <c r="H2636" s="351"/>
      <c r="I2636" s="360">
        <f>'Facility Detail'!$G$3260</f>
        <v>2011</v>
      </c>
      <c r="J2636" s="360">
        <f>I2636+1</f>
        <v>2012</v>
      </c>
      <c r="K2636" s="360">
        <f t="shared" ref="K2636" si="1239">J2636+1</f>
        <v>2013</v>
      </c>
      <c r="L2636" s="360">
        <f t="shared" ref="L2636" si="1240">K2636+1</f>
        <v>2014</v>
      </c>
      <c r="M2636" s="360">
        <f t="shared" ref="M2636" si="1241">L2636+1</f>
        <v>2015</v>
      </c>
      <c r="N2636" s="360">
        <f t="shared" ref="N2636" si="1242">M2636+1</f>
        <v>2016</v>
      </c>
      <c r="O2636" s="360">
        <f t="shared" ref="O2636" si="1243">N2636+1</f>
        <v>2017</v>
      </c>
      <c r="P2636" s="360">
        <f t="shared" ref="P2636" si="1244">O2636+1</f>
        <v>2018</v>
      </c>
      <c r="Q2636" s="360">
        <f t="shared" ref="Q2636" si="1245">P2636+1</f>
        <v>2019</v>
      </c>
      <c r="R2636" s="360">
        <f t="shared" ref="R2636" si="1246">Q2636+1</f>
        <v>2020</v>
      </c>
      <c r="S2636" s="360">
        <f>R2636+1</f>
        <v>2021</v>
      </c>
      <c r="T2636" s="360">
        <f>S2636+1</f>
        <v>2022</v>
      </c>
      <c r="U2636" s="360">
        <f>T2636+1</f>
        <v>2023</v>
      </c>
    </row>
    <row r="2637" spans="6:21" s="341" customFormat="1" ht="14.25">
      <c r="F2637" s="351"/>
      <c r="G2637" s="353" t="s">
        <v>68</v>
      </c>
      <c r="H2637" s="354"/>
      <c r="I2637" s="362"/>
      <c r="J2637" s="402">
        <f>I2637</f>
        <v>0</v>
      </c>
      <c r="K2637" s="403"/>
      <c r="L2637" s="403"/>
      <c r="M2637" s="403"/>
      <c r="N2637" s="403"/>
      <c r="O2637" s="403"/>
      <c r="P2637" s="403"/>
      <c r="Q2637" s="403"/>
      <c r="R2637" s="403"/>
      <c r="S2637" s="404"/>
      <c r="T2637" s="467"/>
      <c r="U2637" s="468"/>
    </row>
    <row r="2638" spans="6:21" s="341" customFormat="1" ht="14.25">
      <c r="F2638" s="351"/>
      <c r="G2638" s="353" t="s">
        <v>69</v>
      </c>
      <c r="H2638" s="354"/>
      <c r="I2638" s="405">
        <f>J2638</f>
        <v>0</v>
      </c>
      <c r="J2638" s="406"/>
      <c r="K2638" s="407"/>
      <c r="L2638" s="407"/>
      <c r="M2638" s="407"/>
      <c r="N2638" s="407"/>
      <c r="O2638" s="407"/>
      <c r="P2638" s="407"/>
      <c r="Q2638" s="407"/>
      <c r="R2638" s="407"/>
      <c r="S2638" s="408"/>
      <c r="T2638" s="469"/>
      <c r="U2638" s="470"/>
    </row>
    <row r="2639" spans="6:21" s="341" customFormat="1" ht="14.25">
      <c r="F2639" s="351"/>
      <c r="G2639" s="353" t="s">
        <v>70</v>
      </c>
      <c r="H2639" s="354"/>
      <c r="I2639" s="409"/>
      <c r="J2639" s="406">
        <f>J2623</f>
        <v>0</v>
      </c>
      <c r="K2639" s="410">
        <f>J2639</f>
        <v>0</v>
      </c>
      <c r="L2639" s="407"/>
      <c r="M2639" s="407"/>
      <c r="N2639" s="407"/>
      <c r="O2639" s="407"/>
      <c r="P2639" s="407"/>
      <c r="Q2639" s="407"/>
      <c r="R2639" s="407"/>
      <c r="S2639" s="408"/>
      <c r="T2639" s="469"/>
      <c r="U2639" s="470"/>
    </row>
    <row r="2640" spans="6:21" s="341" customFormat="1" ht="14.25">
      <c r="F2640" s="351"/>
      <c r="G2640" s="353" t="s">
        <v>71</v>
      </c>
      <c r="H2640" s="354"/>
      <c r="I2640" s="409"/>
      <c r="J2640" s="410">
        <f>K2640</f>
        <v>0</v>
      </c>
      <c r="K2640" s="406"/>
      <c r="L2640" s="407"/>
      <c r="M2640" s="407"/>
      <c r="N2640" s="407"/>
      <c r="O2640" s="407"/>
      <c r="P2640" s="407"/>
      <c r="Q2640" s="407"/>
      <c r="R2640" s="407"/>
      <c r="S2640" s="408"/>
      <c r="T2640" s="469"/>
      <c r="U2640" s="470"/>
    </row>
    <row r="2641" spans="6:21" s="341" customFormat="1" ht="14.25">
      <c r="F2641" s="351"/>
      <c r="G2641" s="353" t="s">
        <v>170</v>
      </c>
      <c r="H2641" s="351"/>
      <c r="I2641" s="409"/>
      <c r="J2641" s="411"/>
      <c r="K2641" s="406">
        <f>K2623</f>
        <v>0</v>
      </c>
      <c r="L2641" s="412">
        <f>K2641</f>
        <v>0</v>
      </c>
      <c r="M2641" s="407"/>
      <c r="N2641" s="407"/>
      <c r="O2641" s="407"/>
      <c r="P2641" s="407"/>
      <c r="Q2641" s="407"/>
      <c r="R2641" s="407"/>
      <c r="S2641" s="408"/>
      <c r="T2641" s="471"/>
      <c r="U2641" s="472"/>
    </row>
    <row r="2642" spans="6:21" s="341" customFormat="1" ht="14.25">
      <c r="F2642" s="351"/>
      <c r="G2642" s="353" t="s">
        <v>171</v>
      </c>
      <c r="H2642" s="351"/>
      <c r="I2642" s="409"/>
      <c r="J2642" s="411"/>
      <c r="K2642" s="410">
        <f>L2642</f>
        <v>0</v>
      </c>
      <c r="L2642" s="406"/>
      <c r="M2642" s="407"/>
      <c r="N2642" s="407"/>
      <c r="O2642" s="407"/>
      <c r="P2642" s="407"/>
      <c r="Q2642" s="407"/>
      <c r="R2642" s="407"/>
      <c r="S2642" s="408"/>
      <c r="T2642" s="471"/>
      <c r="U2642" s="472"/>
    </row>
    <row r="2643" spans="6:21" s="341" customFormat="1" ht="14.25">
      <c r="F2643" s="351"/>
      <c r="G2643" s="353" t="s">
        <v>172</v>
      </c>
      <c r="H2643" s="351"/>
      <c r="I2643" s="409"/>
      <c r="J2643" s="411"/>
      <c r="K2643" s="411"/>
      <c r="L2643" s="406">
        <f>L2623</f>
        <v>0</v>
      </c>
      <c r="M2643" s="412">
        <f>L2643</f>
        <v>0</v>
      </c>
      <c r="N2643" s="411"/>
      <c r="O2643" s="407"/>
      <c r="P2643" s="407"/>
      <c r="Q2643" s="407"/>
      <c r="R2643" s="407"/>
      <c r="S2643" s="408"/>
      <c r="T2643" s="471"/>
      <c r="U2643" s="472"/>
    </row>
    <row r="2644" spans="6:21" s="341" customFormat="1" ht="14.25">
      <c r="F2644" s="351"/>
      <c r="G2644" s="353" t="s">
        <v>173</v>
      </c>
      <c r="H2644" s="351"/>
      <c r="I2644" s="409"/>
      <c r="J2644" s="411"/>
      <c r="K2644" s="411"/>
      <c r="L2644" s="410"/>
      <c r="M2644" s="406"/>
      <c r="N2644" s="411"/>
      <c r="O2644" s="407"/>
      <c r="P2644" s="407"/>
      <c r="Q2644" s="407"/>
      <c r="R2644" s="407"/>
      <c r="S2644" s="408"/>
      <c r="T2644" s="471"/>
      <c r="U2644" s="472"/>
    </row>
    <row r="2645" spans="6:21" s="341" customFormat="1" ht="14.25">
      <c r="F2645" s="351"/>
      <c r="G2645" s="353" t="s">
        <v>174</v>
      </c>
      <c r="H2645" s="351"/>
      <c r="I2645" s="409"/>
      <c r="J2645" s="411"/>
      <c r="K2645" s="411"/>
      <c r="L2645" s="411"/>
      <c r="M2645" s="406">
        <v>0</v>
      </c>
      <c r="N2645" s="412">
        <f>M2645</f>
        <v>0</v>
      </c>
      <c r="O2645" s="407"/>
      <c r="P2645" s="407"/>
      <c r="Q2645" s="407"/>
      <c r="R2645" s="407"/>
      <c r="S2645" s="408"/>
      <c r="T2645" s="471"/>
      <c r="U2645" s="472"/>
    </row>
    <row r="2646" spans="6:21" s="341" customFormat="1" ht="14.25">
      <c r="F2646" s="351"/>
      <c r="G2646" s="353" t="s">
        <v>175</v>
      </c>
      <c r="H2646" s="351"/>
      <c r="I2646" s="409"/>
      <c r="J2646" s="411"/>
      <c r="K2646" s="411"/>
      <c r="L2646" s="411"/>
      <c r="M2646" s="410"/>
      <c r="N2646" s="406"/>
      <c r="O2646" s="407"/>
      <c r="P2646" s="407"/>
      <c r="Q2646" s="407"/>
      <c r="R2646" s="407"/>
      <c r="S2646" s="408"/>
      <c r="T2646" s="471"/>
      <c r="U2646" s="472"/>
    </row>
    <row r="2647" spans="6:21" s="341" customFormat="1" ht="14.25">
      <c r="F2647" s="351"/>
      <c r="G2647" s="353" t="s">
        <v>176</v>
      </c>
      <c r="H2647" s="351"/>
      <c r="I2647" s="409"/>
      <c r="J2647" s="411"/>
      <c r="K2647" s="411"/>
      <c r="L2647" s="411"/>
      <c r="M2647" s="411"/>
      <c r="N2647" s="413">
        <f>N2623</f>
        <v>0</v>
      </c>
      <c r="O2647" s="414">
        <f>N2647</f>
        <v>0</v>
      </c>
      <c r="P2647" s="407"/>
      <c r="Q2647" s="407"/>
      <c r="R2647" s="407"/>
      <c r="S2647" s="408"/>
      <c r="T2647" s="471"/>
      <c r="U2647" s="472"/>
    </row>
    <row r="2648" spans="6:21" s="341" customFormat="1" ht="14.25">
      <c r="F2648" s="351"/>
      <c r="G2648" s="353" t="s">
        <v>167</v>
      </c>
      <c r="H2648" s="351"/>
      <c r="I2648" s="409"/>
      <c r="J2648" s="411"/>
      <c r="K2648" s="411"/>
      <c r="L2648" s="411"/>
      <c r="M2648" s="411"/>
      <c r="N2648" s="415"/>
      <c r="O2648" s="416"/>
      <c r="P2648" s="407"/>
      <c r="Q2648" s="407"/>
      <c r="R2648" s="407"/>
      <c r="S2648" s="408"/>
      <c r="T2648" s="471"/>
      <c r="U2648" s="472"/>
    </row>
    <row r="2649" spans="6:21" s="341" customFormat="1" ht="14.25">
      <c r="F2649" s="351"/>
      <c r="G2649" s="353" t="s">
        <v>168</v>
      </c>
      <c r="H2649" s="351"/>
      <c r="I2649" s="409"/>
      <c r="J2649" s="411"/>
      <c r="K2649" s="411"/>
      <c r="L2649" s="411"/>
      <c r="M2649" s="411"/>
      <c r="N2649" s="411"/>
      <c r="O2649" s="416">
        <f>O2623</f>
        <v>0</v>
      </c>
      <c r="P2649" s="414">
        <f>O2649</f>
        <v>0</v>
      </c>
      <c r="Q2649" s="407"/>
      <c r="R2649" s="407"/>
      <c r="S2649" s="408"/>
      <c r="T2649" s="471"/>
      <c r="U2649" s="472"/>
    </row>
    <row r="2650" spans="6:21" s="341" customFormat="1" ht="14.25">
      <c r="F2650" s="351"/>
      <c r="G2650" s="353" t="s">
        <v>185</v>
      </c>
      <c r="H2650" s="351"/>
      <c r="I2650" s="409"/>
      <c r="J2650" s="411"/>
      <c r="K2650" s="411"/>
      <c r="L2650" s="411"/>
      <c r="M2650" s="411"/>
      <c r="N2650" s="411"/>
      <c r="O2650" s="414"/>
      <c r="P2650" s="416"/>
      <c r="Q2650" s="407"/>
      <c r="R2650" s="407"/>
      <c r="S2650" s="408"/>
      <c r="T2650" s="471"/>
      <c r="U2650" s="472"/>
    </row>
    <row r="2651" spans="6:21" s="341" customFormat="1" ht="14.25">
      <c r="F2651" s="351"/>
      <c r="G2651" s="353" t="s">
        <v>186</v>
      </c>
      <c r="H2651" s="351"/>
      <c r="I2651" s="409"/>
      <c r="J2651" s="411"/>
      <c r="K2651" s="411"/>
      <c r="L2651" s="411"/>
      <c r="M2651" s="411"/>
      <c r="N2651" s="411"/>
      <c r="O2651" s="411"/>
      <c r="P2651" s="416"/>
      <c r="Q2651" s="410">
        <f>P2651</f>
        <v>0</v>
      </c>
      <c r="R2651" s="407"/>
      <c r="S2651" s="408"/>
      <c r="T2651" s="471"/>
      <c r="U2651" s="472"/>
    </row>
    <row r="2652" spans="6:21" s="341" customFormat="1" ht="14.25">
      <c r="F2652" s="351"/>
      <c r="G2652" s="353" t="s">
        <v>187</v>
      </c>
      <c r="H2652" s="351"/>
      <c r="I2652" s="409"/>
      <c r="J2652" s="411"/>
      <c r="K2652" s="411"/>
      <c r="L2652" s="411"/>
      <c r="M2652" s="411"/>
      <c r="N2652" s="411"/>
      <c r="O2652" s="411"/>
      <c r="P2652" s="414"/>
      <c r="Q2652" s="417"/>
      <c r="R2652" s="407"/>
      <c r="S2652" s="408"/>
      <c r="T2652" s="471"/>
      <c r="U2652" s="472"/>
    </row>
    <row r="2653" spans="6:21" s="341" customFormat="1" ht="14.25">
      <c r="F2653" s="351"/>
      <c r="G2653" s="353" t="s">
        <v>188</v>
      </c>
      <c r="H2653" s="351"/>
      <c r="I2653" s="409"/>
      <c r="J2653" s="411"/>
      <c r="K2653" s="411"/>
      <c r="L2653" s="411"/>
      <c r="M2653" s="411"/>
      <c r="N2653" s="411"/>
      <c r="O2653" s="411"/>
      <c r="P2653" s="411"/>
      <c r="Q2653" s="416"/>
      <c r="R2653" s="418">
        <f>Q2653</f>
        <v>0</v>
      </c>
      <c r="S2653" s="408"/>
      <c r="T2653" s="471"/>
      <c r="U2653" s="472"/>
    </row>
    <row r="2654" spans="6:21" s="341" customFormat="1" ht="14.25">
      <c r="F2654" s="351"/>
      <c r="G2654" s="353" t="s">
        <v>189</v>
      </c>
      <c r="H2654" s="351"/>
      <c r="I2654" s="409"/>
      <c r="J2654" s="411"/>
      <c r="K2654" s="411"/>
      <c r="L2654" s="411"/>
      <c r="M2654" s="411"/>
      <c r="N2654" s="411"/>
      <c r="O2654" s="411"/>
      <c r="P2654" s="411"/>
      <c r="Q2654" s="418">
        <f>R2623</f>
        <v>0</v>
      </c>
      <c r="R2654" s="419">
        <f>Q2654</f>
        <v>0</v>
      </c>
      <c r="S2654" s="408"/>
      <c r="T2654" s="471"/>
      <c r="U2654" s="472"/>
    </row>
    <row r="2655" spans="6:21" s="341" customFormat="1" ht="14.25">
      <c r="F2655" s="351"/>
      <c r="G2655" s="353" t="s">
        <v>190</v>
      </c>
      <c r="H2655" s="351"/>
      <c r="I2655" s="409"/>
      <c r="J2655" s="411"/>
      <c r="K2655" s="411"/>
      <c r="L2655" s="411"/>
      <c r="M2655" s="411"/>
      <c r="N2655" s="411"/>
      <c r="O2655" s="411"/>
      <c r="P2655" s="411"/>
      <c r="Q2655" s="411"/>
      <c r="R2655" s="419"/>
      <c r="S2655" s="420">
        <f>R2655</f>
        <v>0</v>
      </c>
      <c r="T2655" s="471"/>
      <c r="U2655" s="472"/>
    </row>
    <row r="2656" spans="6:21" s="341" customFormat="1" ht="14.25">
      <c r="F2656" s="351"/>
      <c r="G2656" s="353" t="s">
        <v>199</v>
      </c>
      <c r="H2656" s="351"/>
      <c r="I2656" s="409"/>
      <c r="J2656" s="411"/>
      <c r="K2656" s="411"/>
      <c r="L2656" s="411"/>
      <c r="M2656" s="411"/>
      <c r="N2656" s="411"/>
      <c r="O2656" s="411"/>
      <c r="P2656" s="411"/>
      <c r="Q2656" s="411"/>
      <c r="R2656" s="414"/>
      <c r="S2656" s="421">
        <v>0</v>
      </c>
      <c r="T2656" s="471"/>
      <c r="U2656" s="472"/>
    </row>
    <row r="2657" spans="2:21" s="341" customFormat="1" ht="14.25">
      <c r="F2657" s="351"/>
      <c r="G2657" s="353" t="s">
        <v>200</v>
      </c>
      <c r="H2657" s="351"/>
      <c r="I2657" s="409"/>
      <c r="J2657" s="411"/>
      <c r="K2657" s="411"/>
      <c r="L2657" s="411"/>
      <c r="M2657" s="411"/>
      <c r="N2657" s="411"/>
      <c r="O2657" s="411"/>
      <c r="P2657" s="411"/>
      <c r="Q2657" s="411"/>
      <c r="R2657" s="411"/>
      <c r="S2657" s="421">
        <v>0</v>
      </c>
      <c r="T2657" s="418">
        <f>S2657</f>
        <v>0</v>
      </c>
      <c r="U2657" s="472"/>
    </row>
    <row r="2658" spans="2:21" s="341" customFormat="1" ht="14.25">
      <c r="F2658" s="351"/>
      <c r="G2658" s="353" t="s">
        <v>308</v>
      </c>
      <c r="H2658" s="351"/>
      <c r="I2658" s="409"/>
      <c r="J2658" s="411"/>
      <c r="K2658" s="411"/>
      <c r="L2658" s="411"/>
      <c r="M2658" s="411"/>
      <c r="N2658" s="411"/>
      <c r="O2658" s="411"/>
      <c r="P2658" s="411"/>
      <c r="Q2658" s="411"/>
      <c r="R2658" s="411"/>
      <c r="S2658" s="422">
        <f>T2658</f>
        <v>0</v>
      </c>
      <c r="T2658" s="419">
        <v>0</v>
      </c>
      <c r="U2658" s="472"/>
    </row>
    <row r="2659" spans="2:21" s="341" customFormat="1" ht="14.25">
      <c r="F2659" s="351"/>
      <c r="G2659" s="353" t="s">
        <v>307</v>
      </c>
      <c r="H2659" s="351"/>
      <c r="I2659" s="423"/>
      <c r="J2659" s="424"/>
      <c r="K2659" s="424"/>
      <c r="L2659" s="424"/>
      <c r="M2659" s="424"/>
      <c r="N2659" s="424"/>
      <c r="O2659" s="424"/>
      <c r="P2659" s="424"/>
      <c r="Q2659" s="424"/>
      <c r="R2659" s="424"/>
      <c r="S2659" s="425"/>
      <c r="T2659" s="419">
        <v>0</v>
      </c>
      <c r="U2659" s="473">
        <f>T2659</f>
        <v>0</v>
      </c>
    </row>
    <row r="2660" spans="2:21" s="341" customFormat="1" ht="14.25">
      <c r="F2660" s="351"/>
      <c r="G2660" s="353" t="s">
        <v>318</v>
      </c>
      <c r="H2660" s="351"/>
      <c r="I2660" s="423"/>
      <c r="J2660" s="424"/>
      <c r="K2660" s="424"/>
      <c r="L2660" s="424"/>
      <c r="M2660" s="424"/>
      <c r="N2660" s="424"/>
      <c r="O2660" s="424"/>
      <c r="P2660" s="424"/>
      <c r="Q2660" s="424"/>
      <c r="R2660" s="424"/>
      <c r="S2660" s="425"/>
      <c r="T2660" s="414">
        <f>U2660</f>
        <v>0</v>
      </c>
      <c r="U2660" s="474">
        <v>0</v>
      </c>
    </row>
    <row r="2661" spans="2:21" s="341" customFormat="1" ht="14.25">
      <c r="F2661" s="351"/>
      <c r="G2661" s="353" t="s">
        <v>319</v>
      </c>
      <c r="H2661" s="351"/>
      <c r="I2661" s="426"/>
      <c r="J2661" s="427"/>
      <c r="K2661" s="427"/>
      <c r="L2661" s="427"/>
      <c r="M2661" s="427"/>
      <c r="N2661" s="427"/>
      <c r="O2661" s="427"/>
      <c r="P2661" s="427"/>
      <c r="Q2661" s="427"/>
      <c r="R2661" s="427"/>
      <c r="S2661" s="428"/>
      <c r="T2661" s="427"/>
      <c r="U2661" s="475">
        <v>0</v>
      </c>
    </row>
    <row r="2662" spans="2:21" s="341" customFormat="1" ht="14.25">
      <c r="B2662" s="489" t="s">
        <v>232</v>
      </c>
      <c r="C2662" s="489"/>
      <c r="D2662" s="489"/>
      <c r="F2662" s="351"/>
      <c r="G2662" s="355" t="s">
        <v>17</v>
      </c>
      <c r="H2662" s="351"/>
      <c r="I2662" s="398">
        <f xml:space="preserve"> I2643 - I2642</f>
        <v>0</v>
      </c>
      <c r="J2662" s="398">
        <f xml:space="preserve"> J2642 + J2645 - J2644 - J2643</f>
        <v>0</v>
      </c>
      <c r="K2662" s="398">
        <f>K2644 - K2645</f>
        <v>0</v>
      </c>
      <c r="L2662" s="398">
        <f>L2644 - L2645</f>
        <v>0</v>
      </c>
      <c r="M2662" s="398">
        <f>M2643-M2644-M2645</f>
        <v>0</v>
      </c>
      <c r="N2662" s="398">
        <f>N2645-N2646-N2647</f>
        <v>0</v>
      </c>
      <c r="O2662" s="398">
        <f>O2647-O2648-O2649</f>
        <v>0</v>
      </c>
      <c r="P2662" s="429">
        <f>P2649-P2650-P2651</f>
        <v>0</v>
      </c>
      <c r="Q2662" s="429">
        <f>Q2651+Q2654-Q2653-Q2652</f>
        <v>0</v>
      </c>
      <c r="R2662" s="429">
        <f>R2653-R2654+R2656</f>
        <v>0</v>
      </c>
      <c r="S2662" s="399">
        <f>S2655-S2656+S2657-S2658</f>
        <v>0</v>
      </c>
      <c r="T2662" s="398">
        <f>T2657-T2658-T2659+T2660</f>
        <v>0</v>
      </c>
      <c r="U2662" s="398">
        <f>U2659-U2660-U2661</f>
        <v>0</v>
      </c>
    </row>
    <row r="2663" spans="2:21" s="341" customFormat="1" ht="14.25">
      <c r="F2663" s="351"/>
      <c r="G2663" s="356"/>
      <c r="H2663" s="351"/>
      <c r="I2663" s="429"/>
      <c r="J2663" s="429"/>
      <c r="K2663" s="429"/>
      <c r="L2663" s="429"/>
      <c r="M2663" s="429"/>
      <c r="N2663" s="429"/>
      <c r="O2663" s="429"/>
      <c r="P2663" s="429"/>
      <c r="Q2663" s="429"/>
      <c r="R2663" s="429"/>
      <c r="S2663" s="430"/>
      <c r="T2663" s="429"/>
      <c r="U2663" s="429"/>
    </row>
    <row r="2664" spans="2:21" s="341" customFormat="1" ht="14.25">
      <c r="F2664" s="351"/>
      <c r="G2664" s="355" t="s">
        <v>12</v>
      </c>
      <c r="H2664" s="354"/>
      <c r="I2664" s="431"/>
      <c r="J2664" s="432"/>
      <c r="K2664" s="432"/>
      <c r="L2664" s="432"/>
      <c r="M2664" s="432"/>
      <c r="N2664" s="432"/>
      <c r="O2664" s="432"/>
      <c r="P2664" s="432"/>
      <c r="Q2664" s="432"/>
      <c r="R2664" s="432"/>
      <c r="S2664" s="432"/>
      <c r="T2664" s="432"/>
      <c r="U2664" s="476"/>
    </row>
    <row r="2665" spans="2:21" s="341" customFormat="1" ht="14.25">
      <c r="F2665" s="351"/>
      <c r="G2665" s="356"/>
      <c r="H2665" s="351"/>
      <c r="I2665" s="429"/>
      <c r="J2665" s="429"/>
      <c r="K2665" s="429"/>
      <c r="L2665" s="429"/>
      <c r="M2665" s="429"/>
      <c r="N2665" s="429"/>
      <c r="O2665" s="429"/>
      <c r="P2665" s="429"/>
      <c r="Q2665" s="429"/>
      <c r="R2665" s="429"/>
      <c r="S2665" s="429"/>
      <c r="T2665" s="429"/>
      <c r="U2665" s="429"/>
    </row>
    <row r="2666" spans="2:21" s="341" customFormat="1" ht="18">
      <c r="C2666" s="489" t="s">
        <v>232</v>
      </c>
      <c r="D2666" s="489" t="s">
        <v>251</v>
      </c>
      <c r="E2666" s="489" t="s">
        <v>108</v>
      </c>
      <c r="F2666" s="352" t="s">
        <v>26</v>
      </c>
      <c r="G2666" s="351"/>
      <c r="H2666" s="354"/>
      <c r="I2666" s="433">
        <f t="shared" ref="I2666:S2666" si="1247" xml:space="preserve"> I2623 + I2628 - I2634 + I2662 + I2664</f>
        <v>0</v>
      </c>
      <c r="J2666" s="434">
        <f t="shared" si="1247"/>
        <v>0</v>
      </c>
      <c r="K2666" s="434">
        <f t="shared" si="1247"/>
        <v>0</v>
      </c>
      <c r="L2666" s="434">
        <f t="shared" si="1247"/>
        <v>0</v>
      </c>
      <c r="M2666" s="434">
        <f t="shared" si="1247"/>
        <v>0</v>
      </c>
      <c r="N2666" s="434">
        <f t="shared" si="1247"/>
        <v>0</v>
      </c>
      <c r="O2666" s="434">
        <f t="shared" si="1247"/>
        <v>0</v>
      </c>
      <c r="P2666" s="434">
        <f t="shared" si="1247"/>
        <v>0</v>
      </c>
      <c r="Q2666" s="434">
        <f t="shared" si="1247"/>
        <v>0</v>
      </c>
      <c r="R2666" s="434">
        <f t="shared" si="1247"/>
        <v>0</v>
      </c>
      <c r="S2666" s="435">
        <f t="shared" si="1247"/>
        <v>0</v>
      </c>
      <c r="T2666" s="434">
        <f t="shared" ref="T2666:U2666" si="1248" xml:space="preserve"> T2623 + T2628 - T2634 + T2662 + T2664</f>
        <v>0</v>
      </c>
      <c r="U2666" s="477">
        <f t="shared" si="1248"/>
        <v>0</v>
      </c>
    </row>
    <row r="2667" spans="2:21" s="341" customFormat="1" thickBot="1">
      <c r="F2667" s="351"/>
      <c r="G2667" s="351"/>
      <c r="H2667" s="351"/>
      <c r="I2667" s="351"/>
      <c r="J2667" s="351"/>
      <c r="K2667" s="351"/>
      <c r="L2667" s="351"/>
      <c r="M2667" s="351"/>
      <c r="N2667" s="351"/>
      <c r="O2667" s="351"/>
      <c r="P2667" s="351"/>
      <c r="Q2667" s="351"/>
      <c r="R2667" s="351"/>
      <c r="S2667" s="436"/>
      <c r="T2667" s="351"/>
      <c r="U2667" s="351"/>
    </row>
    <row r="2668" spans="2:21" s="341" customFormat="1" thickBot="1">
      <c r="F2668" s="437"/>
      <c r="G2668" s="437"/>
      <c r="H2668" s="437"/>
      <c r="I2668" s="437"/>
      <c r="J2668" s="437"/>
      <c r="K2668" s="437"/>
      <c r="L2668" s="437"/>
      <c r="M2668" s="437"/>
      <c r="N2668" s="437"/>
      <c r="O2668" s="437"/>
      <c r="P2668" s="437"/>
      <c r="Q2668" s="437"/>
      <c r="R2668" s="437"/>
      <c r="S2668" s="449"/>
      <c r="T2668" s="437"/>
      <c r="U2668" s="437"/>
    </row>
    <row r="2669" spans="2:21" s="341" customFormat="1" ht="21" thickBot="1">
      <c r="F2669" s="349" t="s">
        <v>4</v>
      </c>
      <c r="G2669" s="349"/>
      <c r="H2669" s="350" t="s">
        <v>266</v>
      </c>
      <c r="I2669" s="439"/>
      <c r="J2669" s="351"/>
      <c r="K2669" s="351"/>
      <c r="L2669" s="351"/>
      <c r="M2669" s="351"/>
      <c r="N2669" s="351"/>
      <c r="O2669" s="351"/>
      <c r="P2669" s="351"/>
      <c r="Q2669" s="351"/>
      <c r="R2669" s="351"/>
      <c r="S2669" s="436"/>
      <c r="T2669" s="351"/>
      <c r="U2669" s="351"/>
    </row>
    <row r="2670" spans="2:21" s="341" customFormat="1" ht="14.25">
      <c r="F2670" s="351"/>
      <c r="G2670" s="351"/>
      <c r="H2670" s="351"/>
      <c r="I2670" s="351"/>
      <c r="J2670" s="351"/>
      <c r="K2670" s="351"/>
      <c r="L2670" s="351"/>
      <c r="M2670" s="351"/>
      <c r="N2670" s="351"/>
      <c r="O2670" s="351"/>
      <c r="P2670" s="351"/>
      <c r="Q2670" s="351"/>
      <c r="R2670" s="351"/>
      <c r="S2670" s="436"/>
      <c r="T2670" s="351"/>
      <c r="U2670" s="351"/>
    </row>
    <row r="2671" spans="2:21" s="341" customFormat="1" ht="18">
      <c r="F2671" s="352" t="s">
        <v>21</v>
      </c>
      <c r="G2671" s="352"/>
      <c r="H2671" s="351"/>
      <c r="I2671" s="360">
        <v>2011</v>
      </c>
      <c r="J2671" s="360">
        <f>I2671+1</f>
        <v>2012</v>
      </c>
      <c r="K2671" s="360">
        <f t="shared" ref="K2671" si="1249">J2671+1</f>
        <v>2013</v>
      </c>
      <c r="L2671" s="360">
        <f t="shared" ref="L2671" si="1250">K2671+1</f>
        <v>2014</v>
      </c>
      <c r="M2671" s="360">
        <f t="shared" ref="M2671" si="1251">L2671+1</f>
        <v>2015</v>
      </c>
      <c r="N2671" s="360">
        <f t="shared" ref="N2671" si="1252">M2671+1</f>
        <v>2016</v>
      </c>
      <c r="O2671" s="360">
        <f t="shared" ref="O2671" si="1253">N2671+1</f>
        <v>2017</v>
      </c>
      <c r="P2671" s="360">
        <f t="shared" ref="P2671" si="1254">O2671+1</f>
        <v>2018</v>
      </c>
      <c r="Q2671" s="360">
        <f t="shared" ref="Q2671" si="1255">P2671+1</f>
        <v>2019</v>
      </c>
      <c r="R2671" s="360">
        <f t="shared" ref="R2671" si="1256">Q2671+1</f>
        <v>2020</v>
      </c>
      <c r="S2671" s="360">
        <f>R2671+1</f>
        <v>2021</v>
      </c>
      <c r="T2671" s="360">
        <f>S2671+1</f>
        <v>2022</v>
      </c>
      <c r="U2671" s="360">
        <f>T2671+1</f>
        <v>2023</v>
      </c>
    </row>
    <row r="2672" spans="2:21" s="341" customFormat="1" ht="14.25">
      <c r="F2672" s="351"/>
      <c r="G2672" s="353" t="str">
        <f>"Total MWh Produced / Purchased from " &amp; H2669</f>
        <v>Total MWh Produced / Purchased from Sage Solar III</v>
      </c>
      <c r="H2672" s="354"/>
      <c r="I2672" s="362"/>
      <c r="J2672" s="363"/>
      <c r="K2672" s="363"/>
      <c r="L2672" s="363"/>
      <c r="M2672" s="363"/>
      <c r="N2672" s="363"/>
      <c r="O2672" s="363"/>
      <c r="P2672" s="363"/>
      <c r="Q2672" s="363"/>
      <c r="R2672" s="363"/>
      <c r="S2672" s="363">
        <v>39909</v>
      </c>
      <c r="T2672" s="363"/>
      <c r="U2672" s="460"/>
    </row>
    <row r="2673" spans="1:21" s="341" customFormat="1" ht="14.25">
      <c r="F2673" s="351"/>
      <c r="G2673" s="353" t="s">
        <v>25</v>
      </c>
      <c r="H2673" s="354"/>
      <c r="I2673" s="365"/>
      <c r="J2673" s="366"/>
      <c r="K2673" s="366"/>
      <c r="L2673" s="366"/>
      <c r="M2673" s="366"/>
      <c r="N2673" s="366"/>
      <c r="O2673" s="366"/>
      <c r="P2673" s="366"/>
      <c r="Q2673" s="366"/>
      <c r="R2673" s="366"/>
      <c r="S2673" s="366">
        <v>1</v>
      </c>
      <c r="T2673" s="366">
        <v>1</v>
      </c>
      <c r="U2673" s="366">
        <v>1</v>
      </c>
    </row>
    <row r="2674" spans="1:21" s="341" customFormat="1" ht="14.25">
      <c r="F2674" s="351"/>
      <c r="G2674" s="353" t="s">
        <v>20</v>
      </c>
      <c r="H2674" s="354"/>
      <c r="I2674" s="368"/>
      <c r="J2674" s="369"/>
      <c r="K2674" s="369"/>
      <c r="L2674" s="369"/>
      <c r="M2674" s="369"/>
      <c r="N2674" s="369"/>
      <c r="O2674" s="369"/>
      <c r="P2674" s="369"/>
      <c r="Q2674" s="369"/>
      <c r="R2674" s="369"/>
      <c r="S2674" s="369">
        <v>0</v>
      </c>
      <c r="T2674" s="369">
        <v>0</v>
      </c>
      <c r="U2674" s="369">
        <v>0</v>
      </c>
    </row>
    <row r="2675" spans="1:21" s="341" customFormat="1" ht="14.25">
      <c r="A2675" s="489" t="s">
        <v>233</v>
      </c>
      <c r="B2675" s="489"/>
      <c r="C2675" s="489"/>
      <c r="F2675" s="351"/>
      <c r="G2675" s="355" t="s">
        <v>22</v>
      </c>
      <c r="H2675" s="356"/>
      <c r="I2675" s="371">
        <v>0</v>
      </c>
      <c r="J2675" s="371">
        <v>0</v>
      </c>
      <c r="K2675" s="371">
        <v>0</v>
      </c>
      <c r="L2675" s="371">
        <v>0</v>
      </c>
      <c r="M2675" s="371">
        <v>0</v>
      </c>
      <c r="N2675" s="372">
        <v>0</v>
      </c>
      <c r="O2675" s="372">
        <v>0</v>
      </c>
      <c r="P2675" s="372">
        <v>0</v>
      </c>
      <c r="Q2675" s="372">
        <f>Q2672*Q2674</f>
        <v>0</v>
      </c>
      <c r="R2675" s="372">
        <f>R2672*R2674</f>
        <v>0</v>
      </c>
      <c r="S2675" s="372">
        <f>S2672*S2674</f>
        <v>0</v>
      </c>
      <c r="T2675" s="372">
        <f>T2672*T2674</f>
        <v>0</v>
      </c>
      <c r="U2675" s="372">
        <f>U2672*U2674</f>
        <v>0</v>
      </c>
    </row>
    <row r="2676" spans="1:21" s="341" customFormat="1" ht="14.25">
      <c r="F2676" s="351"/>
      <c r="G2676" s="351"/>
      <c r="H2676" s="351"/>
      <c r="I2676" s="374"/>
      <c r="J2676" s="374"/>
      <c r="K2676" s="374"/>
      <c r="L2676" s="374"/>
      <c r="M2676" s="374"/>
      <c r="N2676" s="375"/>
      <c r="O2676" s="375"/>
      <c r="P2676" s="375"/>
      <c r="Q2676" s="375"/>
      <c r="R2676" s="375"/>
      <c r="S2676" s="375"/>
      <c r="T2676" s="375"/>
      <c r="U2676" s="375"/>
    </row>
    <row r="2677" spans="1:21" s="341" customFormat="1" ht="18">
      <c r="F2677" s="352" t="s">
        <v>118</v>
      </c>
      <c r="G2677" s="351"/>
      <c r="H2677" s="351"/>
      <c r="I2677" s="360">
        <v>2011</v>
      </c>
      <c r="J2677" s="360">
        <f>I2677+1</f>
        <v>2012</v>
      </c>
      <c r="K2677" s="360">
        <f t="shared" ref="K2677" si="1257">J2677+1</f>
        <v>2013</v>
      </c>
      <c r="L2677" s="360">
        <f t="shared" ref="L2677" si="1258">K2677+1</f>
        <v>2014</v>
      </c>
      <c r="M2677" s="360">
        <f t="shared" ref="M2677" si="1259">L2677+1</f>
        <v>2015</v>
      </c>
      <c r="N2677" s="360">
        <f t="shared" ref="N2677" si="1260">M2677+1</f>
        <v>2016</v>
      </c>
      <c r="O2677" s="360">
        <f t="shared" ref="O2677" si="1261">N2677+1</f>
        <v>2017</v>
      </c>
      <c r="P2677" s="360">
        <f t="shared" ref="P2677" si="1262">O2677+1</f>
        <v>2018</v>
      </c>
      <c r="Q2677" s="360">
        <f t="shared" ref="Q2677" si="1263">P2677+1</f>
        <v>2019</v>
      </c>
      <c r="R2677" s="360">
        <f t="shared" ref="R2677" si="1264">Q2677+1</f>
        <v>2020</v>
      </c>
      <c r="S2677" s="360">
        <f>R2677+1</f>
        <v>2021</v>
      </c>
      <c r="T2677" s="360">
        <f>S2677+1</f>
        <v>2022</v>
      </c>
      <c r="U2677" s="360">
        <f>T2677+1</f>
        <v>2023</v>
      </c>
    </row>
    <row r="2678" spans="1:21" s="341" customFormat="1" ht="14.25">
      <c r="F2678" s="351"/>
      <c r="G2678" s="353" t="s">
        <v>10</v>
      </c>
      <c r="H2678" s="354"/>
      <c r="I2678" s="377">
        <f>IF($J58= "Eligible", I2675 * 'Facility Detail'!$G$3257, 0 )</f>
        <v>0</v>
      </c>
      <c r="J2678" s="378">
        <f>IF($J58= "Eligible", J2675 * 'Facility Detail'!$G$3257, 0 )</f>
        <v>0</v>
      </c>
      <c r="K2678" s="378">
        <f>IF($J58= "Eligible", K2675 * 'Facility Detail'!$G$3257, 0 )</f>
        <v>0</v>
      </c>
      <c r="L2678" s="378">
        <f>IF($J58= "Eligible", L2675 * 'Facility Detail'!$G$3257, 0 )</f>
        <v>0</v>
      </c>
      <c r="M2678" s="378">
        <f>IF($J58= "Eligible", M2675 * 'Facility Detail'!$G$3257, 0 )</f>
        <v>0</v>
      </c>
      <c r="N2678" s="378">
        <f>IF($J58= "Eligible", N2675 * 'Facility Detail'!$G$3257, 0 )</f>
        <v>0</v>
      </c>
      <c r="O2678" s="378">
        <f>IF($J58= "Eligible", O2675 * 'Facility Detail'!$G$3257, 0 )</f>
        <v>0</v>
      </c>
      <c r="P2678" s="378">
        <f>IF($J58= "Eligible", P2675 * 'Facility Detail'!$G$3257, 0 )</f>
        <v>0</v>
      </c>
      <c r="Q2678" s="378">
        <f>IF($J58= "Eligible", Q2675 * 'Facility Detail'!$G$3257, 0 )</f>
        <v>0</v>
      </c>
      <c r="R2678" s="378">
        <f>IF($J58= "Eligible", R2675 * 'Facility Detail'!$G$3257, 0 )</f>
        <v>0</v>
      </c>
      <c r="S2678" s="378">
        <f>IF($J58= "Eligible", S2675 * 'Facility Detail'!$G$3257, 0 )</f>
        <v>0</v>
      </c>
      <c r="T2678" s="378">
        <f>IF($J58= "Eligible", T2675 * 'Facility Detail'!$G$3257, 0 )</f>
        <v>0</v>
      </c>
      <c r="U2678" s="462">
        <f>IF($J58= "Eligible", U2675 * 'Facility Detail'!$G$3257, 0 )</f>
        <v>0</v>
      </c>
    </row>
    <row r="2679" spans="1:21" s="341" customFormat="1" ht="14.25">
      <c r="F2679" s="351"/>
      <c r="G2679" s="353" t="s">
        <v>6</v>
      </c>
      <c r="H2679" s="354"/>
      <c r="I2679" s="380">
        <f t="shared" ref="I2679:U2679" si="1265">IF($K58= "Eligible", I2675, 0 )</f>
        <v>0</v>
      </c>
      <c r="J2679" s="381">
        <f t="shared" si="1265"/>
        <v>0</v>
      </c>
      <c r="K2679" s="381">
        <f t="shared" si="1265"/>
        <v>0</v>
      </c>
      <c r="L2679" s="381">
        <f t="shared" si="1265"/>
        <v>0</v>
      </c>
      <c r="M2679" s="381">
        <f t="shared" si="1265"/>
        <v>0</v>
      </c>
      <c r="N2679" s="381">
        <f t="shared" si="1265"/>
        <v>0</v>
      </c>
      <c r="O2679" s="381">
        <f t="shared" si="1265"/>
        <v>0</v>
      </c>
      <c r="P2679" s="381">
        <f t="shared" si="1265"/>
        <v>0</v>
      </c>
      <c r="Q2679" s="381">
        <f t="shared" si="1265"/>
        <v>0</v>
      </c>
      <c r="R2679" s="381">
        <f t="shared" si="1265"/>
        <v>0</v>
      </c>
      <c r="S2679" s="381">
        <f t="shared" si="1265"/>
        <v>0</v>
      </c>
      <c r="T2679" s="381">
        <f t="shared" si="1265"/>
        <v>0</v>
      </c>
      <c r="U2679" s="463">
        <f t="shared" si="1265"/>
        <v>0</v>
      </c>
    </row>
    <row r="2680" spans="1:21" s="341" customFormat="1" ht="14.25">
      <c r="F2680" s="351"/>
      <c r="G2680" s="355" t="s">
        <v>120</v>
      </c>
      <c r="H2680" s="356"/>
      <c r="I2680" s="383">
        <f>SUM(I2678:I2679)</f>
        <v>0</v>
      </c>
      <c r="J2680" s="384">
        <f t="shared" ref="J2680:S2680" si="1266">SUM(J2678:J2679)</f>
        <v>0</v>
      </c>
      <c r="K2680" s="384">
        <f t="shared" si="1266"/>
        <v>0</v>
      </c>
      <c r="L2680" s="384">
        <f t="shared" si="1266"/>
        <v>0</v>
      </c>
      <c r="M2680" s="384">
        <f t="shared" si="1266"/>
        <v>0</v>
      </c>
      <c r="N2680" s="384">
        <f t="shared" si="1266"/>
        <v>0</v>
      </c>
      <c r="O2680" s="384">
        <f t="shared" si="1266"/>
        <v>0</v>
      </c>
      <c r="P2680" s="384">
        <f t="shared" si="1266"/>
        <v>0</v>
      </c>
      <c r="Q2680" s="384">
        <f t="shared" si="1266"/>
        <v>0</v>
      </c>
      <c r="R2680" s="384">
        <f t="shared" si="1266"/>
        <v>0</v>
      </c>
      <c r="S2680" s="384">
        <f t="shared" si="1266"/>
        <v>0</v>
      </c>
      <c r="T2680" s="384">
        <f t="shared" ref="T2680:U2680" si="1267">SUM(T2678:T2679)</f>
        <v>0</v>
      </c>
      <c r="U2680" s="384">
        <f t="shared" si="1267"/>
        <v>0</v>
      </c>
    </row>
    <row r="2681" spans="1:21" s="341" customFormat="1" ht="14.25">
      <c r="F2681" s="351"/>
      <c r="G2681" s="351"/>
      <c r="H2681" s="351"/>
      <c r="I2681" s="386"/>
      <c r="J2681" s="387"/>
      <c r="K2681" s="387"/>
      <c r="L2681" s="387"/>
      <c r="M2681" s="387"/>
      <c r="N2681" s="387"/>
      <c r="O2681" s="387"/>
      <c r="P2681" s="387"/>
      <c r="Q2681" s="387"/>
      <c r="R2681" s="387"/>
      <c r="S2681" s="387"/>
      <c r="T2681" s="387"/>
      <c r="U2681" s="387"/>
    </row>
    <row r="2682" spans="1:21" s="341" customFormat="1" ht="18">
      <c r="F2682" s="352" t="s">
        <v>30</v>
      </c>
      <c r="G2682" s="351"/>
      <c r="H2682" s="351"/>
      <c r="I2682" s="360">
        <v>2011</v>
      </c>
      <c r="J2682" s="360">
        <f>I2682+1</f>
        <v>2012</v>
      </c>
      <c r="K2682" s="360">
        <f t="shared" ref="K2682" si="1268">J2682+1</f>
        <v>2013</v>
      </c>
      <c r="L2682" s="360">
        <f t="shared" ref="L2682" si="1269">K2682+1</f>
        <v>2014</v>
      </c>
      <c r="M2682" s="360">
        <f t="shared" ref="M2682" si="1270">L2682+1</f>
        <v>2015</v>
      </c>
      <c r="N2682" s="360">
        <f t="shared" ref="N2682" si="1271">M2682+1</f>
        <v>2016</v>
      </c>
      <c r="O2682" s="360">
        <f t="shared" ref="O2682" si="1272">N2682+1</f>
        <v>2017</v>
      </c>
      <c r="P2682" s="360">
        <f t="shared" ref="P2682" si="1273">O2682+1</f>
        <v>2018</v>
      </c>
      <c r="Q2682" s="360">
        <f t="shared" ref="Q2682" si="1274">P2682+1</f>
        <v>2019</v>
      </c>
      <c r="R2682" s="360">
        <f t="shared" ref="R2682" si="1275">Q2682+1</f>
        <v>2020</v>
      </c>
      <c r="S2682" s="360">
        <f>R2682+1</f>
        <v>2021</v>
      </c>
      <c r="T2682" s="360">
        <f>S2682+1</f>
        <v>2022</v>
      </c>
      <c r="U2682" s="360">
        <f>T2682+1</f>
        <v>2023</v>
      </c>
    </row>
    <row r="2683" spans="1:21" s="341" customFormat="1" ht="14.25">
      <c r="F2683" s="351"/>
      <c r="G2683" s="353" t="s">
        <v>47</v>
      </c>
      <c r="H2683" s="354"/>
      <c r="I2683" s="389"/>
      <c r="J2683" s="390"/>
      <c r="K2683" s="390"/>
      <c r="L2683" s="390"/>
      <c r="M2683" s="390"/>
      <c r="N2683" s="390"/>
      <c r="O2683" s="390"/>
      <c r="P2683" s="390"/>
      <c r="Q2683" s="390"/>
      <c r="R2683" s="390"/>
      <c r="S2683" s="390"/>
      <c r="T2683" s="390"/>
      <c r="U2683" s="464"/>
    </row>
    <row r="2684" spans="1:21" s="341" customFormat="1" ht="14.25">
      <c r="F2684" s="351"/>
      <c r="G2684" s="357" t="s">
        <v>23</v>
      </c>
      <c r="H2684" s="358"/>
      <c r="I2684" s="392"/>
      <c r="J2684" s="393"/>
      <c r="K2684" s="393"/>
      <c r="L2684" s="393"/>
      <c r="M2684" s="393"/>
      <c r="N2684" s="393"/>
      <c r="O2684" s="393"/>
      <c r="P2684" s="393"/>
      <c r="Q2684" s="393"/>
      <c r="R2684" s="393"/>
      <c r="S2684" s="393"/>
      <c r="T2684" s="393"/>
      <c r="U2684" s="465"/>
    </row>
    <row r="2685" spans="1:21" s="341" customFormat="1" ht="14.25">
      <c r="F2685" s="351"/>
      <c r="G2685" s="357" t="s">
        <v>89</v>
      </c>
      <c r="H2685" s="359"/>
      <c r="I2685" s="395"/>
      <c r="J2685" s="396"/>
      <c r="K2685" s="396"/>
      <c r="L2685" s="396"/>
      <c r="M2685" s="396"/>
      <c r="N2685" s="396"/>
      <c r="O2685" s="396"/>
      <c r="P2685" s="396"/>
      <c r="Q2685" s="396"/>
      <c r="R2685" s="396"/>
      <c r="S2685" s="396"/>
      <c r="T2685" s="396"/>
      <c r="U2685" s="466"/>
    </row>
    <row r="2686" spans="1:21" s="341" customFormat="1" ht="14.25">
      <c r="F2686" s="351"/>
      <c r="G2686" s="355" t="s">
        <v>90</v>
      </c>
      <c r="H2686" s="351"/>
      <c r="I2686" s="398">
        <v>0</v>
      </c>
      <c r="J2686" s="398">
        <v>0</v>
      </c>
      <c r="K2686" s="398">
        <v>0</v>
      </c>
      <c r="L2686" s="398">
        <v>0</v>
      </c>
      <c r="M2686" s="398">
        <v>0</v>
      </c>
      <c r="N2686" s="398">
        <v>0</v>
      </c>
      <c r="O2686" s="398">
        <v>0</v>
      </c>
      <c r="P2686" s="398">
        <v>0</v>
      </c>
      <c r="Q2686" s="398">
        <v>0</v>
      </c>
      <c r="R2686" s="398">
        <v>0</v>
      </c>
      <c r="S2686" s="398">
        <v>0</v>
      </c>
      <c r="T2686" s="398">
        <v>0</v>
      </c>
      <c r="U2686" s="398">
        <v>0</v>
      </c>
    </row>
    <row r="2687" spans="1:21" s="341" customFormat="1" ht="14.25">
      <c r="F2687" s="351"/>
      <c r="G2687" s="356"/>
      <c r="H2687" s="351"/>
      <c r="I2687" s="398"/>
      <c r="J2687" s="398"/>
      <c r="K2687" s="398"/>
      <c r="L2687" s="400"/>
      <c r="M2687" s="400"/>
      <c r="N2687" s="400"/>
      <c r="O2687" s="400"/>
      <c r="P2687" s="400"/>
      <c r="Q2687" s="400"/>
      <c r="R2687" s="400"/>
      <c r="S2687" s="400"/>
      <c r="T2687" s="400"/>
      <c r="U2687" s="400"/>
    </row>
    <row r="2688" spans="1:21" s="341" customFormat="1" ht="18">
      <c r="F2688" s="352" t="s">
        <v>100</v>
      </c>
      <c r="G2688" s="351"/>
      <c r="H2688" s="351"/>
      <c r="I2688" s="360">
        <f>'Facility Detail'!$G$3260</f>
        <v>2011</v>
      </c>
      <c r="J2688" s="360">
        <f>I2688+1</f>
        <v>2012</v>
      </c>
      <c r="K2688" s="360">
        <f t="shared" ref="K2688" si="1276">J2688+1</f>
        <v>2013</v>
      </c>
      <c r="L2688" s="360">
        <f t="shared" ref="L2688" si="1277">K2688+1</f>
        <v>2014</v>
      </c>
      <c r="M2688" s="360">
        <f t="shared" ref="M2688" si="1278">L2688+1</f>
        <v>2015</v>
      </c>
      <c r="N2688" s="360">
        <f t="shared" ref="N2688" si="1279">M2688+1</f>
        <v>2016</v>
      </c>
      <c r="O2688" s="360">
        <f t="shared" ref="O2688" si="1280">N2688+1</f>
        <v>2017</v>
      </c>
      <c r="P2688" s="360">
        <f t="shared" ref="P2688" si="1281">O2688+1</f>
        <v>2018</v>
      </c>
      <c r="Q2688" s="360">
        <f t="shared" ref="Q2688" si="1282">P2688+1</f>
        <v>2019</v>
      </c>
      <c r="R2688" s="360">
        <f t="shared" ref="R2688" si="1283">Q2688+1</f>
        <v>2020</v>
      </c>
      <c r="S2688" s="360">
        <f>R2688+1</f>
        <v>2021</v>
      </c>
      <c r="T2688" s="360">
        <f>S2688+1</f>
        <v>2022</v>
      </c>
      <c r="U2688" s="360">
        <f>T2688+1</f>
        <v>2023</v>
      </c>
    </row>
    <row r="2689" spans="6:21" s="341" customFormat="1" ht="14.25">
      <c r="F2689" s="351"/>
      <c r="G2689" s="353" t="s">
        <v>68</v>
      </c>
      <c r="H2689" s="354"/>
      <c r="I2689" s="362"/>
      <c r="J2689" s="402">
        <f>I2689</f>
        <v>0</v>
      </c>
      <c r="K2689" s="403"/>
      <c r="L2689" s="403"/>
      <c r="M2689" s="403"/>
      <c r="N2689" s="403"/>
      <c r="O2689" s="403"/>
      <c r="P2689" s="403"/>
      <c r="Q2689" s="403"/>
      <c r="R2689" s="403"/>
      <c r="S2689" s="404"/>
      <c r="T2689" s="467"/>
      <c r="U2689" s="468"/>
    </row>
    <row r="2690" spans="6:21" s="341" customFormat="1" ht="14.25">
      <c r="F2690" s="351"/>
      <c r="G2690" s="353" t="s">
        <v>69</v>
      </c>
      <c r="H2690" s="354"/>
      <c r="I2690" s="405">
        <f>J2690</f>
        <v>0</v>
      </c>
      <c r="J2690" s="406"/>
      <c r="K2690" s="407"/>
      <c r="L2690" s="407"/>
      <c r="M2690" s="407"/>
      <c r="N2690" s="407"/>
      <c r="O2690" s="407"/>
      <c r="P2690" s="407"/>
      <c r="Q2690" s="407"/>
      <c r="R2690" s="407"/>
      <c r="S2690" s="408"/>
      <c r="T2690" s="469"/>
      <c r="U2690" s="470"/>
    </row>
    <row r="2691" spans="6:21" s="341" customFormat="1" ht="14.25">
      <c r="F2691" s="351"/>
      <c r="G2691" s="353" t="s">
        <v>70</v>
      </c>
      <c r="H2691" s="354"/>
      <c r="I2691" s="409"/>
      <c r="J2691" s="406">
        <f>J2675</f>
        <v>0</v>
      </c>
      <c r="K2691" s="410">
        <f>J2691</f>
        <v>0</v>
      </c>
      <c r="L2691" s="407"/>
      <c r="M2691" s="407"/>
      <c r="N2691" s="407"/>
      <c r="O2691" s="407"/>
      <c r="P2691" s="407"/>
      <c r="Q2691" s="407"/>
      <c r="R2691" s="407"/>
      <c r="S2691" s="408"/>
      <c r="T2691" s="469"/>
      <c r="U2691" s="470"/>
    </row>
    <row r="2692" spans="6:21" s="341" customFormat="1" ht="14.25">
      <c r="F2692" s="351"/>
      <c r="G2692" s="353" t="s">
        <v>71</v>
      </c>
      <c r="H2692" s="354"/>
      <c r="I2692" s="409"/>
      <c r="J2692" s="410">
        <f>K2692</f>
        <v>0</v>
      </c>
      <c r="K2692" s="406"/>
      <c r="L2692" s="407"/>
      <c r="M2692" s="407"/>
      <c r="N2692" s="407"/>
      <c r="O2692" s="407"/>
      <c r="P2692" s="407"/>
      <c r="Q2692" s="407"/>
      <c r="R2692" s="407"/>
      <c r="S2692" s="408"/>
      <c r="T2692" s="469"/>
      <c r="U2692" s="470"/>
    </row>
    <row r="2693" spans="6:21" s="341" customFormat="1" ht="14.25">
      <c r="F2693" s="351"/>
      <c r="G2693" s="353" t="s">
        <v>170</v>
      </c>
      <c r="H2693" s="351"/>
      <c r="I2693" s="409"/>
      <c r="J2693" s="411"/>
      <c r="K2693" s="406">
        <f>K2675</f>
        <v>0</v>
      </c>
      <c r="L2693" s="412">
        <f>K2693</f>
        <v>0</v>
      </c>
      <c r="M2693" s="407"/>
      <c r="N2693" s="407"/>
      <c r="O2693" s="407"/>
      <c r="P2693" s="407"/>
      <c r="Q2693" s="407"/>
      <c r="R2693" s="407"/>
      <c r="S2693" s="408"/>
      <c r="T2693" s="471"/>
      <c r="U2693" s="472"/>
    </row>
    <row r="2694" spans="6:21" s="341" customFormat="1" ht="14.25">
      <c r="F2694" s="351"/>
      <c r="G2694" s="353" t="s">
        <v>171</v>
      </c>
      <c r="H2694" s="351"/>
      <c r="I2694" s="409"/>
      <c r="J2694" s="411"/>
      <c r="K2694" s="410">
        <f>L2694</f>
        <v>0</v>
      </c>
      <c r="L2694" s="406"/>
      <c r="M2694" s="407"/>
      <c r="N2694" s="407"/>
      <c r="O2694" s="407"/>
      <c r="P2694" s="407"/>
      <c r="Q2694" s="407"/>
      <c r="R2694" s="407"/>
      <c r="S2694" s="408"/>
      <c r="T2694" s="471"/>
      <c r="U2694" s="472"/>
    </row>
    <row r="2695" spans="6:21" s="341" customFormat="1" ht="14.25">
      <c r="F2695" s="351"/>
      <c r="G2695" s="353" t="s">
        <v>172</v>
      </c>
      <c r="H2695" s="351"/>
      <c r="I2695" s="409"/>
      <c r="J2695" s="411"/>
      <c r="K2695" s="411"/>
      <c r="L2695" s="406">
        <f>L2675</f>
        <v>0</v>
      </c>
      <c r="M2695" s="412">
        <f>L2695</f>
        <v>0</v>
      </c>
      <c r="N2695" s="411"/>
      <c r="O2695" s="407"/>
      <c r="P2695" s="407"/>
      <c r="Q2695" s="407"/>
      <c r="R2695" s="407"/>
      <c r="S2695" s="408"/>
      <c r="T2695" s="471"/>
      <c r="U2695" s="472"/>
    </row>
    <row r="2696" spans="6:21" s="341" customFormat="1" ht="14.25">
      <c r="F2696" s="351"/>
      <c r="G2696" s="353" t="s">
        <v>173</v>
      </c>
      <c r="H2696" s="351"/>
      <c r="I2696" s="409"/>
      <c r="J2696" s="411"/>
      <c r="K2696" s="411"/>
      <c r="L2696" s="410"/>
      <c r="M2696" s="406"/>
      <c r="N2696" s="411"/>
      <c r="O2696" s="407"/>
      <c r="P2696" s="407"/>
      <c r="Q2696" s="407"/>
      <c r="R2696" s="407"/>
      <c r="S2696" s="408"/>
      <c r="T2696" s="471"/>
      <c r="U2696" s="472"/>
    </row>
    <row r="2697" spans="6:21" s="341" customFormat="1" ht="14.25">
      <c r="F2697" s="351"/>
      <c r="G2697" s="353" t="s">
        <v>174</v>
      </c>
      <c r="H2697" s="351"/>
      <c r="I2697" s="409"/>
      <c r="J2697" s="411"/>
      <c r="K2697" s="411"/>
      <c r="L2697" s="411"/>
      <c r="M2697" s="406">
        <v>0</v>
      </c>
      <c r="N2697" s="412">
        <f>M2697</f>
        <v>0</v>
      </c>
      <c r="O2697" s="407"/>
      <c r="P2697" s="407"/>
      <c r="Q2697" s="407"/>
      <c r="R2697" s="407"/>
      <c r="S2697" s="408"/>
      <c r="T2697" s="471"/>
      <c r="U2697" s="472"/>
    </row>
    <row r="2698" spans="6:21" s="341" customFormat="1" ht="14.25">
      <c r="F2698" s="351"/>
      <c r="G2698" s="353" t="s">
        <v>175</v>
      </c>
      <c r="H2698" s="351"/>
      <c r="I2698" s="409"/>
      <c r="J2698" s="411"/>
      <c r="K2698" s="411"/>
      <c r="L2698" s="411"/>
      <c r="M2698" s="410"/>
      <c r="N2698" s="406"/>
      <c r="O2698" s="407"/>
      <c r="P2698" s="407"/>
      <c r="Q2698" s="407"/>
      <c r="R2698" s="407"/>
      <c r="S2698" s="408"/>
      <c r="T2698" s="471"/>
      <c r="U2698" s="472"/>
    </row>
    <row r="2699" spans="6:21" s="341" customFormat="1" ht="14.25">
      <c r="F2699" s="351"/>
      <c r="G2699" s="353" t="s">
        <v>176</v>
      </c>
      <c r="H2699" s="351"/>
      <c r="I2699" s="409"/>
      <c r="J2699" s="411"/>
      <c r="K2699" s="411"/>
      <c r="L2699" s="411"/>
      <c r="M2699" s="411"/>
      <c r="N2699" s="413">
        <f>N2675</f>
        <v>0</v>
      </c>
      <c r="O2699" s="414">
        <f>N2699</f>
        <v>0</v>
      </c>
      <c r="P2699" s="407"/>
      <c r="Q2699" s="407"/>
      <c r="R2699" s="407"/>
      <c r="S2699" s="408"/>
      <c r="T2699" s="471"/>
      <c r="U2699" s="472"/>
    </row>
    <row r="2700" spans="6:21" s="341" customFormat="1" ht="14.25">
      <c r="F2700" s="351"/>
      <c r="G2700" s="353" t="s">
        <v>167</v>
      </c>
      <c r="H2700" s="351"/>
      <c r="I2700" s="409"/>
      <c r="J2700" s="411"/>
      <c r="K2700" s="411"/>
      <c r="L2700" s="411"/>
      <c r="M2700" s="411"/>
      <c r="N2700" s="415"/>
      <c r="O2700" s="416"/>
      <c r="P2700" s="407"/>
      <c r="Q2700" s="407"/>
      <c r="R2700" s="407"/>
      <c r="S2700" s="408"/>
      <c r="T2700" s="471"/>
      <c r="U2700" s="472"/>
    </row>
    <row r="2701" spans="6:21" s="341" customFormat="1" ht="14.25">
      <c r="F2701" s="351"/>
      <c r="G2701" s="353" t="s">
        <v>168</v>
      </c>
      <c r="H2701" s="351"/>
      <c r="I2701" s="409"/>
      <c r="J2701" s="411"/>
      <c r="K2701" s="411"/>
      <c r="L2701" s="411"/>
      <c r="M2701" s="411"/>
      <c r="N2701" s="411"/>
      <c r="O2701" s="416">
        <f>O2675</f>
        <v>0</v>
      </c>
      <c r="P2701" s="414">
        <f>O2701</f>
        <v>0</v>
      </c>
      <c r="Q2701" s="407"/>
      <c r="R2701" s="407"/>
      <c r="S2701" s="408"/>
      <c r="T2701" s="471"/>
      <c r="U2701" s="472"/>
    </row>
    <row r="2702" spans="6:21" s="341" customFormat="1" ht="14.25">
      <c r="F2702" s="351"/>
      <c r="G2702" s="353" t="s">
        <v>185</v>
      </c>
      <c r="H2702" s="351"/>
      <c r="I2702" s="409"/>
      <c r="J2702" s="411"/>
      <c r="K2702" s="411"/>
      <c r="L2702" s="411"/>
      <c r="M2702" s="411"/>
      <c r="N2702" s="411"/>
      <c r="O2702" s="414"/>
      <c r="P2702" s="416"/>
      <c r="Q2702" s="407"/>
      <c r="R2702" s="407"/>
      <c r="S2702" s="408"/>
      <c r="T2702" s="471"/>
      <c r="U2702" s="472"/>
    </row>
    <row r="2703" spans="6:21" s="341" customFormat="1" ht="14.25">
      <c r="F2703" s="351"/>
      <c r="G2703" s="353" t="s">
        <v>186</v>
      </c>
      <c r="H2703" s="351"/>
      <c r="I2703" s="409"/>
      <c r="J2703" s="411"/>
      <c r="K2703" s="411"/>
      <c r="L2703" s="411"/>
      <c r="M2703" s="411"/>
      <c r="N2703" s="411"/>
      <c r="O2703" s="411"/>
      <c r="P2703" s="416"/>
      <c r="Q2703" s="410">
        <f>P2703</f>
        <v>0</v>
      </c>
      <c r="R2703" s="407"/>
      <c r="S2703" s="408"/>
      <c r="T2703" s="471"/>
      <c r="U2703" s="472"/>
    </row>
    <row r="2704" spans="6:21" s="341" customFormat="1" ht="14.25">
      <c r="F2704" s="351"/>
      <c r="G2704" s="353" t="s">
        <v>187</v>
      </c>
      <c r="H2704" s="351"/>
      <c r="I2704" s="409"/>
      <c r="J2704" s="411"/>
      <c r="K2704" s="411"/>
      <c r="L2704" s="411"/>
      <c r="M2704" s="411"/>
      <c r="N2704" s="411"/>
      <c r="O2704" s="411"/>
      <c r="P2704" s="414"/>
      <c r="Q2704" s="417"/>
      <c r="R2704" s="407"/>
      <c r="S2704" s="408"/>
      <c r="T2704" s="471"/>
      <c r="U2704" s="472"/>
    </row>
    <row r="2705" spans="2:25" s="341" customFormat="1" ht="14.25">
      <c r="F2705" s="351"/>
      <c r="G2705" s="353" t="s">
        <v>188</v>
      </c>
      <c r="H2705" s="351"/>
      <c r="I2705" s="409"/>
      <c r="J2705" s="411"/>
      <c r="K2705" s="411"/>
      <c r="L2705" s="411"/>
      <c r="M2705" s="411"/>
      <c r="N2705" s="411"/>
      <c r="O2705" s="411"/>
      <c r="P2705" s="411"/>
      <c r="Q2705" s="416"/>
      <c r="R2705" s="418">
        <f>Q2705</f>
        <v>0</v>
      </c>
      <c r="S2705" s="408"/>
      <c r="T2705" s="471"/>
      <c r="U2705" s="472"/>
    </row>
    <row r="2706" spans="2:25" s="341" customFormat="1" ht="14.25">
      <c r="F2706" s="351"/>
      <c r="G2706" s="353" t="s">
        <v>189</v>
      </c>
      <c r="H2706" s="351"/>
      <c r="I2706" s="409"/>
      <c r="J2706" s="411"/>
      <c r="K2706" s="411"/>
      <c r="L2706" s="411"/>
      <c r="M2706" s="411"/>
      <c r="N2706" s="411"/>
      <c r="O2706" s="411"/>
      <c r="P2706" s="411"/>
      <c r="Q2706" s="418">
        <f>R2675</f>
        <v>0</v>
      </c>
      <c r="R2706" s="419">
        <f>Q2706</f>
        <v>0</v>
      </c>
      <c r="S2706" s="408"/>
      <c r="T2706" s="471"/>
      <c r="U2706" s="472"/>
    </row>
    <row r="2707" spans="2:25" s="341" customFormat="1" ht="14.25">
      <c r="F2707" s="351"/>
      <c r="G2707" s="353" t="s">
        <v>190</v>
      </c>
      <c r="H2707" s="351"/>
      <c r="I2707" s="409"/>
      <c r="J2707" s="411"/>
      <c r="K2707" s="411"/>
      <c r="L2707" s="411"/>
      <c r="M2707" s="411"/>
      <c r="N2707" s="411"/>
      <c r="O2707" s="411"/>
      <c r="P2707" s="411"/>
      <c r="Q2707" s="411"/>
      <c r="R2707" s="419"/>
      <c r="S2707" s="420">
        <f>R2707</f>
        <v>0</v>
      </c>
      <c r="T2707" s="471"/>
      <c r="U2707" s="472"/>
    </row>
    <row r="2708" spans="2:25" s="341" customFormat="1" ht="14.25">
      <c r="F2708" s="351"/>
      <c r="G2708" s="353" t="s">
        <v>199</v>
      </c>
      <c r="H2708" s="351"/>
      <c r="I2708" s="409"/>
      <c r="J2708" s="411"/>
      <c r="K2708" s="411"/>
      <c r="L2708" s="411"/>
      <c r="M2708" s="411"/>
      <c r="N2708" s="411"/>
      <c r="O2708" s="411"/>
      <c r="P2708" s="411"/>
      <c r="Q2708" s="411"/>
      <c r="R2708" s="414"/>
      <c r="S2708" s="421">
        <v>0</v>
      </c>
      <c r="T2708" s="471"/>
      <c r="U2708" s="472"/>
    </row>
    <row r="2709" spans="2:25" s="341" customFormat="1" ht="14.25">
      <c r="F2709" s="351"/>
      <c r="G2709" s="353" t="s">
        <v>200</v>
      </c>
      <c r="H2709" s="351"/>
      <c r="I2709" s="409"/>
      <c r="J2709" s="411"/>
      <c r="K2709" s="411"/>
      <c r="L2709" s="411"/>
      <c r="M2709" s="411"/>
      <c r="N2709" s="411"/>
      <c r="O2709" s="411"/>
      <c r="P2709" s="411"/>
      <c r="Q2709" s="411"/>
      <c r="R2709" s="411"/>
      <c r="S2709" s="421">
        <v>0</v>
      </c>
      <c r="T2709" s="418">
        <f>S2709</f>
        <v>0</v>
      </c>
      <c r="U2709" s="472"/>
    </row>
    <row r="2710" spans="2:25" s="341" customFormat="1" ht="14.25">
      <c r="F2710" s="351"/>
      <c r="G2710" s="353" t="s">
        <v>308</v>
      </c>
      <c r="H2710" s="351"/>
      <c r="I2710" s="409"/>
      <c r="J2710" s="411"/>
      <c r="K2710" s="411"/>
      <c r="L2710" s="411"/>
      <c r="M2710" s="411"/>
      <c r="N2710" s="411"/>
      <c r="O2710" s="411"/>
      <c r="P2710" s="411"/>
      <c r="Q2710" s="411"/>
      <c r="R2710" s="411"/>
      <c r="S2710" s="422">
        <f>T2710</f>
        <v>0</v>
      </c>
      <c r="T2710" s="419">
        <v>0</v>
      </c>
      <c r="U2710" s="472"/>
    </row>
    <row r="2711" spans="2:25" s="341" customFormat="1" ht="14.25">
      <c r="F2711" s="351"/>
      <c r="G2711" s="353" t="s">
        <v>307</v>
      </c>
      <c r="H2711" s="351"/>
      <c r="I2711" s="423"/>
      <c r="J2711" s="424"/>
      <c r="K2711" s="424"/>
      <c r="L2711" s="424"/>
      <c r="M2711" s="424"/>
      <c r="N2711" s="424"/>
      <c r="O2711" s="424"/>
      <c r="P2711" s="424"/>
      <c r="Q2711" s="424"/>
      <c r="R2711" s="424"/>
      <c r="S2711" s="425"/>
      <c r="T2711" s="419">
        <v>0</v>
      </c>
      <c r="U2711" s="473">
        <f>T2711</f>
        <v>0</v>
      </c>
    </row>
    <row r="2712" spans="2:25" s="341" customFormat="1" ht="14.25">
      <c r="F2712" s="351"/>
      <c r="G2712" s="353" t="s">
        <v>318</v>
      </c>
      <c r="H2712" s="351"/>
      <c r="I2712" s="423"/>
      <c r="J2712" s="424"/>
      <c r="K2712" s="424"/>
      <c r="L2712" s="424"/>
      <c r="M2712" s="424"/>
      <c r="N2712" s="424"/>
      <c r="O2712" s="424"/>
      <c r="P2712" s="424"/>
      <c r="Q2712" s="424"/>
      <c r="R2712" s="424"/>
      <c r="S2712" s="425"/>
      <c r="T2712" s="414">
        <f>U2712</f>
        <v>0</v>
      </c>
      <c r="U2712" s="474">
        <v>0</v>
      </c>
    </row>
    <row r="2713" spans="2:25" s="341" customFormat="1" ht="14.25">
      <c r="F2713" s="351"/>
      <c r="G2713" s="353" t="s">
        <v>319</v>
      </c>
      <c r="H2713" s="351"/>
      <c r="I2713" s="426"/>
      <c r="J2713" s="427"/>
      <c r="K2713" s="427"/>
      <c r="L2713" s="427"/>
      <c r="M2713" s="427"/>
      <c r="N2713" s="427"/>
      <c r="O2713" s="427"/>
      <c r="P2713" s="427"/>
      <c r="Q2713" s="427"/>
      <c r="R2713" s="427"/>
      <c r="S2713" s="428"/>
      <c r="T2713" s="427"/>
      <c r="U2713" s="475">
        <v>0</v>
      </c>
    </row>
    <row r="2714" spans="2:25" s="341" customFormat="1" ht="14.25">
      <c r="B2714" s="489" t="s">
        <v>233</v>
      </c>
      <c r="C2714" s="489"/>
      <c r="D2714" s="489"/>
      <c r="F2714" s="351"/>
      <c r="G2714" s="355" t="s">
        <v>17</v>
      </c>
      <c r="H2714" s="351"/>
      <c r="I2714" s="398">
        <f xml:space="preserve"> I2695 - I2694</f>
        <v>0</v>
      </c>
      <c r="J2714" s="398">
        <f xml:space="preserve"> J2694 + J2697 - J2696 - J2695</f>
        <v>0</v>
      </c>
      <c r="K2714" s="398">
        <f>K2696 - K2697</f>
        <v>0</v>
      </c>
      <c r="L2714" s="398">
        <f>L2696 - L2697</f>
        <v>0</v>
      </c>
      <c r="M2714" s="398">
        <f>M2695-M2696-M2697</f>
        <v>0</v>
      </c>
      <c r="N2714" s="398">
        <f>N2697-N2698-N2699</f>
        <v>0</v>
      </c>
      <c r="O2714" s="398">
        <f>O2699-O2700-O2701</f>
        <v>0</v>
      </c>
      <c r="P2714" s="429">
        <f>P2701-P2702-P2703</f>
        <v>0</v>
      </c>
      <c r="Q2714" s="429">
        <f>Q2703+Q2706-Q2705-Q2704</f>
        <v>0</v>
      </c>
      <c r="R2714" s="429">
        <f>R2705-R2706+R2708</f>
        <v>0</v>
      </c>
      <c r="S2714" s="399">
        <f>S2707-S2708+S2709-S2710</f>
        <v>0</v>
      </c>
      <c r="T2714" s="398">
        <f>T2709-T2710-T2711+T2712</f>
        <v>0</v>
      </c>
      <c r="U2714" s="398">
        <f>U2711-U2712-U2713</f>
        <v>0</v>
      </c>
    </row>
    <row r="2715" spans="2:25" s="341" customFormat="1" ht="14.25">
      <c r="F2715" s="351"/>
      <c r="G2715" s="356"/>
      <c r="H2715" s="351"/>
      <c r="I2715" s="429"/>
      <c r="J2715" s="429"/>
      <c r="K2715" s="429"/>
      <c r="L2715" s="429"/>
      <c r="M2715" s="429"/>
      <c r="N2715" s="429"/>
      <c r="O2715" s="429"/>
      <c r="P2715" s="429"/>
      <c r="Q2715" s="429"/>
      <c r="R2715" s="429"/>
      <c r="S2715" s="430"/>
      <c r="T2715" s="429"/>
      <c r="U2715" s="429"/>
    </row>
    <row r="2716" spans="2:25" s="341" customFormat="1" ht="14.25">
      <c r="F2716" s="351"/>
      <c r="G2716" s="355" t="s">
        <v>12</v>
      </c>
      <c r="H2716" s="354"/>
      <c r="I2716" s="431"/>
      <c r="J2716" s="432"/>
      <c r="K2716" s="432"/>
      <c r="L2716" s="432"/>
      <c r="M2716" s="432"/>
      <c r="N2716" s="432"/>
      <c r="O2716" s="432"/>
      <c r="P2716" s="432"/>
      <c r="Q2716" s="432"/>
      <c r="R2716" s="432"/>
      <c r="S2716" s="432"/>
      <c r="T2716" s="432"/>
      <c r="U2716" s="476"/>
    </row>
    <row r="2717" spans="2:25" s="341" customFormat="1" ht="14.25">
      <c r="F2717" s="351"/>
      <c r="G2717" s="356"/>
      <c r="H2717" s="351"/>
      <c r="I2717" s="429"/>
      <c r="J2717" s="429"/>
      <c r="K2717" s="429"/>
      <c r="L2717" s="429"/>
      <c r="M2717" s="429"/>
      <c r="N2717" s="429"/>
      <c r="O2717" s="429"/>
      <c r="P2717" s="429"/>
      <c r="Q2717" s="429"/>
      <c r="R2717" s="429"/>
      <c r="S2717" s="429"/>
      <c r="T2717" s="429"/>
      <c r="U2717" s="429"/>
    </row>
    <row r="2718" spans="2:25" s="341" customFormat="1" ht="18">
      <c r="C2718" s="489" t="s">
        <v>233</v>
      </c>
      <c r="D2718" s="489" t="s">
        <v>252</v>
      </c>
      <c r="E2718" s="489" t="s">
        <v>108</v>
      </c>
      <c r="F2718" s="352" t="s">
        <v>26</v>
      </c>
      <c r="G2718" s="351"/>
      <c r="H2718" s="354"/>
      <c r="I2718" s="433">
        <f t="shared" ref="I2718:S2718" si="1284" xml:space="preserve"> I2675 + I2680 - I2686 + I2714 + I2716</f>
        <v>0</v>
      </c>
      <c r="J2718" s="434">
        <f t="shared" si="1284"/>
        <v>0</v>
      </c>
      <c r="K2718" s="434">
        <f t="shared" si="1284"/>
        <v>0</v>
      </c>
      <c r="L2718" s="434">
        <f t="shared" si="1284"/>
        <v>0</v>
      </c>
      <c r="M2718" s="434">
        <f t="shared" si="1284"/>
        <v>0</v>
      </c>
      <c r="N2718" s="434">
        <f t="shared" si="1284"/>
        <v>0</v>
      </c>
      <c r="O2718" s="434">
        <f t="shared" si="1284"/>
        <v>0</v>
      </c>
      <c r="P2718" s="434">
        <f t="shared" si="1284"/>
        <v>0</v>
      </c>
      <c r="Q2718" s="434">
        <f t="shared" si="1284"/>
        <v>0</v>
      </c>
      <c r="R2718" s="434">
        <f t="shared" si="1284"/>
        <v>0</v>
      </c>
      <c r="S2718" s="435">
        <f t="shared" si="1284"/>
        <v>0</v>
      </c>
      <c r="T2718" s="434">
        <f t="shared" ref="T2718:U2718" si="1285" xml:space="preserve"> T2675 + T2680 - T2686 + T2714 + T2716</f>
        <v>0</v>
      </c>
      <c r="U2718" s="477">
        <f t="shared" si="1285"/>
        <v>0</v>
      </c>
    </row>
    <row r="2719" spans="2:25" s="341" customFormat="1" thickBot="1">
      <c r="F2719" s="351"/>
      <c r="G2719" s="351"/>
      <c r="H2719" s="351"/>
      <c r="I2719" s="351"/>
      <c r="J2719" s="351"/>
      <c r="K2719" s="351"/>
      <c r="L2719" s="351"/>
      <c r="M2719" s="351"/>
      <c r="N2719" s="351"/>
      <c r="O2719" s="351"/>
      <c r="P2719" s="351"/>
      <c r="Q2719" s="351"/>
      <c r="R2719" s="351"/>
      <c r="S2719" s="436"/>
      <c r="T2719" s="351"/>
      <c r="U2719" s="351"/>
    </row>
    <row r="2720" spans="2:25">
      <c r="F2720" s="8"/>
      <c r="G2720" s="8"/>
      <c r="H2720" s="8"/>
      <c r="I2720" s="8"/>
      <c r="J2720" s="8"/>
      <c r="K2720" s="8"/>
      <c r="L2720" s="8"/>
      <c r="M2720" s="8"/>
      <c r="N2720" s="8"/>
      <c r="O2720" s="8"/>
      <c r="P2720" s="8"/>
      <c r="Q2720" s="8"/>
      <c r="R2720" s="8"/>
      <c r="S2720" s="290"/>
      <c r="T2720" s="8"/>
      <c r="U2720" s="8"/>
      <c r="W2720" s="1"/>
      <c r="X2720" s="1"/>
      <c r="Y2720" s="1"/>
    </row>
    <row r="2721" spans="1:25" ht="15.75" thickBot="1">
      <c r="W2721" s="1"/>
      <c r="X2721" s="1"/>
      <c r="Y2721" s="1"/>
    </row>
    <row r="2722" spans="1:25" ht="21.75" thickBot="1">
      <c r="F2722" s="13" t="s">
        <v>4</v>
      </c>
      <c r="G2722" s="13"/>
      <c r="H2722" s="185" t="str">
        <f>G59</f>
        <v>Seven Mile Hill I</v>
      </c>
      <c r="I2722" s="183"/>
      <c r="W2722" s="1"/>
      <c r="X2722" s="1"/>
      <c r="Y2722" s="1"/>
    </row>
    <row r="2723" spans="1:25">
      <c r="W2723" s="1"/>
      <c r="X2723" s="1"/>
      <c r="Y2723" s="1"/>
    </row>
    <row r="2724" spans="1:25" ht="18.75">
      <c r="F2724" s="9" t="s">
        <v>21</v>
      </c>
      <c r="G2724" s="9"/>
      <c r="I2724" s="2">
        <f>'Facility Detail'!$G$3260</f>
        <v>2011</v>
      </c>
      <c r="J2724" s="2">
        <f t="shared" ref="J2724:P2724" si="1286">I2724+1</f>
        <v>2012</v>
      </c>
      <c r="K2724" s="2">
        <f t="shared" si="1286"/>
        <v>2013</v>
      </c>
      <c r="L2724" s="2">
        <f t="shared" si="1286"/>
        <v>2014</v>
      </c>
      <c r="M2724" s="2">
        <f t="shared" si="1286"/>
        <v>2015</v>
      </c>
      <c r="N2724" s="2">
        <f t="shared" si="1286"/>
        <v>2016</v>
      </c>
      <c r="O2724" s="2">
        <f t="shared" si="1286"/>
        <v>2017</v>
      </c>
      <c r="P2724" s="2">
        <f t="shared" si="1286"/>
        <v>2018</v>
      </c>
      <c r="Q2724" s="2">
        <f t="shared" ref="Q2724" si="1287">P2724+1</f>
        <v>2019</v>
      </c>
      <c r="R2724" s="2">
        <f t="shared" ref="R2724" si="1288">Q2724+1</f>
        <v>2020</v>
      </c>
      <c r="S2724" s="2">
        <f>R2724+1</f>
        <v>2021</v>
      </c>
      <c r="T2724" s="2">
        <f>S2724+1</f>
        <v>2022</v>
      </c>
      <c r="U2724" s="2">
        <f>T2724+1</f>
        <v>2023</v>
      </c>
      <c r="W2724" s="1"/>
      <c r="X2724" s="1"/>
      <c r="Y2724" s="1"/>
    </row>
    <row r="2725" spans="1:25">
      <c r="G2725" s="62" t="str">
        <f>"Total MWh Produced / Purchased from " &amp; H2722</f>
        <v>Total MWh Produced / Purchased from Seven Mile Hill I</v>
      </c>
      <c r="H2725" s="57"/>
      <c r="I2725" s="3"/>
      <c r="J2725" s="4"/>
      <c r="K2725" s="4"/>
      <c r="L2725" s="4"/>
      <c r="M2725" s="4"/>
      <c r="N2725" s="4">
        <v>4353</v>
      </c>
      <c r="O2725" s="4">
        <v>0</v>
      </c>
      <c r="P2725" s="4">
        <v>348285</v>
      </c>
      <c r="Q2725" s="4">
        <v>175949</v>
      </c>
      <c r="R2725" s="4">
        <v>427856</v>
      </c>
      <c r="S2725" s="4">
        <v>396393</v>
      </c>
      <c r="T2725" s="4">
        <v>413081</v>
      </c>
      <c r="U2725" s="5">
        <v>399749</v>
      </c>
      <c r="W2725" s="1"/>
      <c r="X2725" s="1"/>
      <c r="Y2725" s="1"/>
    </row>
    <row r="2726" spans="1:25">
      <c r="G2726" s="62" t="s">
        <v>25</v>
      </c>
      <c r="H2726" s="57"/>
      <c r="I2726" s="269"/>
      <c r="J2726" s="41"/>
      <c r="K2726" s="41"/>
      <c r="L2726" s="41"/>
      <c r="M2726" s="41"/>
      <c r="N2726" s="41">
        <v>1</v>
      </c>
      <c r="O2726" s="41">
        <v>1</v>
      </c>
      <c r="P2726" s="41">
        <v>1</v>
      </c>
      <c r="Q2726" s="41">
        <v>1</v>
      </c>
      <c r="R2726" s="41">
        <v>1</v>
      </c>
      <c r="S2726" s="41">
        <v>1</v>
      </c>
      <c r="T2726" s="41">
        <v>1</v>
      </c>
      <c r="U2726" s="42">
        <v>1</v>
      </c>
      <c r="W2726" s="1"/>
      <c r="X2726" s="1"/>
      <c r="Y2726" s="1"/>
    </row>
    <row r="2727" spans="1:25">
      <c r="G2727" s="62" t="s">
        <v>20</v>
      </c>
      <c r="H2727" s="57"/>
      <c r="I2727" s="270"/>
      <c r="J2727" s="36"/>
      <c r="K2727" s="36"/>
      <c r="L2727" s="36"/>
      <c r="M2727" s="36"/>
      <c r="N2727" s="36">
        <v>8.1698151927344531E-2</v>
      </c>
      <c r="O2727" s="36">
        <v>8.0833713568703974E-2</v>
      </c>
      <c r="P2727" s="36">
        <v>7.9451999999999995E-2</v>
      </c>
      <c r="Q2727" s="36">
        <v>7.6724662968274293E-2</v>
      </c>
      <c r="R2727" s="36">
        <f>R2411</f>
        <v>8.1268700519883177E-2</v>
      </c>
      <c r="S2727" s="36">
        <f>S2</f>
        <v>7.9696892166366717E-2</v>
      </c>
      <c r="T2727" s="36">
        <f>T2</f>
        <v>7.8737918965874246E-2</v>
      </c>
      <c r="U2727" s="36">
        <f>U2</f>
        <v>7.8407467372863096E-2</v>
      </c>
      <c r="W2727" s="1"/>
      <c r="X2727" s="1"/>
      <c r="Y2727" s="1"/>
    </row>
    <row r="2728" spans="1:25">
      <c r="A2728" s="1" t="s">
        <v>165</v>
      </c>
      <c r="G2728" s="26" t="s">
        <v>22</v>
      </c>
      <c r="H2728" s="6"/>
      <c r="I2728" s="30">
        <f>ROUND(I2725 * I2726 * I2727,0)</f>
        <v>0</v>
      </c>
      <c r="J2728" s="30">
        <f t="shared" ref="J2728:M2728" si="1289">ROUND(J2725 * J2726 * J2727,0)</f>
        <v>0</v>
      </c>
      <c r="K2728" s="30">
        <f t="shared" si="1289"/>
        <v>0</v>
      </c>
      <c r="L2728" s="30">
        <f t="shared" si="1289"/>
        <v>0</v>
      </c>
      <c r="M2728" s="30">
        <f t="shared" si="1289"/>
        <v>0</v>
      </c>
      <c r="N2728" s="161">
        <v>4353</v>
      </c>
      <c r="O2728" s="161">
        <v>0</v>
      </c>
      <c r="P2728" s="161">
        <v>11844</v>
      </c>
      <c r="Q2728" s="161">
        <f>Q2725*Q2727</f>
        <v>13499.627724604894</v>
      </c>
      <c r="R2728" s="161">
        <f t="shared" ref="R2728" si="1290">ROUND(R2725 * R2726 * R2727,0)</f>
        <v>34771</v>
      </c>
      <c r="S2728" s="161">
        <f>ROUNDUP(S2725 * S2726 * S2727,0)</f>
        <v>31592</v>
      </c>
      <c r="T2728" s="161">
        <f t="shared" ref="T2728:U2728" si="1291">ROUND(T2725 * T2726 * T2727,0)</f>
        <v>32525</v>
      </c>
      <c r="U2728" s="161">
        <f t="shared" si="1291"/>
        <v>31343</v>
      </c>
      <c r="W2728" s="1"/>
      <c r="X2728" s="1"/>
      <c r="Y2728" s="1"/>
    </row>
    <row r="2729" spans="1:25">
      <c r="I2729" s="29"/>
      <c r="J2729" s="29"/>
      <c r="K2729" s="29"/>
      <c r="L2729" s="29"/>
      <c r="M2729" s="29"/>
      <c r="N2729" s="20"/>
      <c r="O2729" s="20"/>
      <c r="P2729" s="20"/>
      <c r="Q2729" s="20"/>
      <c r="R2729" s="20"/>
      <c r="S2729" s="292"/>
      <c r="T2729" s="20"/>
      <c r="U2729" s="20"/>
      <c r="W2729" s="1"/>
      <c r="X2729" s="1"/>
      <c r="Y2729" s="1"/>
    </row>
    <row r="2730" spans="1:25" ht="18.75">
      <c r="F2730" s="9" t="s">
        <v>118</v>
      </c>
      <c r="I2730" s="2">
        <f>'Facility Detail'!$G$3260</f>
        <v>2011</v>
      </c>
      <c r="J2730" s="2">
        <f>I2730+1</f>
        <v>2012</v>
      </c>
      <c r="K2730" s="2">
        <f>J2730+1</f>
        <v>2013</v>
      </c>
      <c r="L2730" s="2">
        <f t="shared" ref="L2730:Q2730" si="1292">L2724</f>
        <v>2014</v>
      </c>
      <c r="M2730" s="2">
        <f t="shared" si="1292"/>
        <v>2015</v>
      </c>
      <c r="N2730" s="2">
        <f t="shared" si="1292"/>
        <v>2016</v>
      </c>
      <c r="O2730" s="2">
        <f t="shared" si="1292"/>
        <v>2017</v>
      </c>
      <c r="P2730" s="2">
        <f t="shared" si="1292"/>
        <v>2018</v>
      </c>
      <c r="Q2730" s="2">
        <f t="shared" si="1292"/>
        <v>2019</v>
      </c>
      <c r="R2730" s="2">
        <f t="shared" ref="R2730:S2730" si="1293">R2724</f>
        <v>2020</v>
      </c>
      <c r="S2730" s="2">
        <f t="shared" si="1293"/>
        <v>2021</v>
      </c>
      <c r="T2730" s="2">
        <f t="shared" ref="T2730:U2730" si="1294">T2724</f>
        <v>2022</v>
      </c>
      <c r="U2730" s="2">
        <f t="shared" si="1294"/>
        <v>2023</v>
      </c>
      <c r="W2730" s="1"/>
      <c r="X2730" s="1"/>
      <c r="Y2730" s="1"/>
    </row>
    <row r="2731" spans="1:25">
      <c r="G2731" s="62" t="s">
        <v>10</v>
      </c>
      <c r="H2731" s="57"/>
      <c r="I2731" s="38">
        <f>IF($J59= "Eligible", I2728 * 'Facility Detail'!$G$3257, 0 )</f>
        <v>0</v>
      </c>
      <c r="J2731" s="11">
        <f>IF($J59= "Eligible", J2728 * 'Facility Detail'!$G$3257, 0 )</f>
        <v>0</v>
      </c>
      <c r="K2731" s="11">
        <f>IF($J59= "Eligible", K2728 * 'Facility Detail'!$G$3257, 0 )</f>
        <v>0</v>
      </c>
      <c r="L2731" s="11">
        <f>IF($J59= "Eligible", L2728 * 'Facility Detail'!$G$3257, 0 )</f>
        <v>0</v>
      </c>
      <c r="M2731" s="11">
        <f>IF($J59= "Eligible", M2728 * 'Facility Detail'!$G$3257, 0 )</f>
        <v>0</v>
      </c>
      <c r="N2731" s="11">
        <f>IF($J59= "Eligible", N2728 * 'Facility Detail'!$G$3257, 0 )</f>
        <v>0</v>
      </c>
      <c r="O2731" s="11">
        <f>IF($J59= "Eligible", O2728 * 'Facility Detail'!$G$3257, 0 )</f>
        <v>0</v>
      </c>
      <c r="P2731" s="11">
        <f>IF($J59= "Eligible", P2728 * 'Facility Detail'!$G$3257, 0 )</f>
        <v>0</v>
      </c>
      <c r="Q2731" s="11">
        <f>IF($J59= "Eligible", Q2728 * 'Facility Detail'!$G$3257, 0 )</f>
        <v>0</v>
      </c>
      <c r="R2731" s="11">
        <f>IF($J59= "Eligible", R2728 * 'Facility Detail'!$G$3257, 0 )</f>
        <v>0</v>
      </c>
      <c r="S2731" s="11">
        <f>IF($J59= "Eligible", S2728 * 'Facility Detail'!$G$3257, 0 )</f>
        <v>0</v>
      </c>
      <c r="T2731" s="11">
        <f>IF($J59= "Eligible", T2728 * 'Facility Detail'!$G$3257, 0 )</f>
        <v>0</v>
      </c>
      <c r="U2731" s="223">
        <f>IF($J59= "Eligible", U2728 * 'Facility Detail'!$G$3257, 0 )</f>
        <v>0</v>
      </c>
      <c r="W2731" s="1"/>
      <c r="X2731" s="1"/>
      <c r="Y2731" s="1"/>
    </row>
    <row r="2732" spans="1:25">
      <c r="G2732" s="62" t="s">
        <v>6</v>
      </c>
      <c r="H2732" s="57"/>
      <c r="I2732" s="39">
        <f t="shared" ref="I2732:U2732" si="1295">IF($K59= "Eligible", I2728, 0 )</f>
        <v>0</v>
      </c>
      <c r="J2732" s="193">
        <f t="shared" si="1295"/>
        <v>0</v>
      </c>
      <c r="K2732" s="193">
        <f t="shared" si="1295"/>
        <v>0</v>
      </c>
      <c r="L2732" s="193">
        <f t="shared" si="1295"/>
        <v>0</v>
      </c>
      <c r="M2732" s="193">
        <f t="shared" si="1295"/>
        <v>0</v>
      </c>
      <c r="N2732" s="193">
        <f t="shared" si="1295"/>
        <v>0</v>
      </c>
      <c r="O2732" s="193">
        <f t="shared" si="1295"/>
        <v>0</v>
      </c>
      <c r="P2732" s="193">
        <f t="shared" si="1295"/>
        <v>0</v>
      </c>
      <c r="Q2732" s="193">
        <f t="shared" si="1295"/>
        <v>0</v>
      </c>
      <c r="R2732" s="193">
        <f t="shared" si="1295"/>
        <v>0</v>
      </c>
      <c r="S2732" s="193">
        <f t="shared" si="1295"/>
        <v>0</v>
      </c>
      <c r="T2732" s="193">
        <f t="shared" si="1295"/>
        <v>0</v>
      </c>
      <c r="U2732" s="224">
        <f t="shared" si="1295"/>
        <v>0</v>
      </c>
      <c r="W2732" s="1"/>
      <c r="X2732" s="1"/>
      <c r="Y2732" s="1"/>
    </row>
    <row r="2733" spans="1:25">
      <c r="G2733" s="26" t="s">
        <v>120</v>
      </c>
      <c r="H2733" s="6"/>
      <c r="I2733" s="32">
        <f>SUM(I2731:I2732)</f>
        <v>0</v>
      </c>
      <c r="J2733" s="33">
        <f t="shared" ref="J2733:S2733" si="1296">SUM(J2731:J2732)</f>
        <v>0</v>
      </c>
      <c r="K2733" s="33">
        <f t="shared" si="1296"/>
        <v>0</v>
      </c>
      <c r="L2733" s="33">
        <f t="shared" si="1296"/>
        <v>0</v>
      </c>
      <c r="M2733" s="33">
        <f t="shared" si="1296"/>
        <v>0</v>
      </c>
      <c r="N2733" s="33">
        <f t="shared" si="1296"/>
        <v>0</v>
      </c>
      <c r="O2733" s="33">
        <f t="shared" si="1296"/>
        <v>0</v>
      </c>
      <c r="P2733" s="33">
        <f t="shared" si="1296"/>
        <v>0</v>
      </c>
      <c r="Q2733" s="33">
        <f t="shared" si="1296"/>
        <v>0</v>
      </c>
      <c r="R2733" s="33">
        <f t="shared" si="1296"/>
        <v>0</v>
      </c>
      <c r="S2733" s="33">
        <f t="shared" si="1296"/>
        <v>0</v>
      </c>
      <c r="T2733" s="33">
        <f t="shared" ref="T2733:U2733" si="1297">SUM(T2731:T2732)</f>
        <v>0</v>
      </c>
      <c r="U2733" s="33">
        <f t="shared" si="1297"/>
        <v>0</v>
      </c>
      <c r="W2733" s="1"/>
      <c r="X2733" s="1"/>
      <c r="Y2733" s="1"/>
    </row>
    <row r="2734" spans="1:25">
      <c r="I2734" s="31"/>
      <c r="J2734" s="24"/>
      <c r="K2734" s="24"/>
      <c r="L2734" s="24"/>
      <c r="M2734" s="24"/>
      <c r="N2734" s="24"/>
      <c r="O2734" s="24"/>
      <c r="P2734" s="24"/>
      <c r="Q2734" s="24"/>
      <c r="R2734" s="24"/>
      <c r="S2734" s="24"/>
      <c r="T2734" s="24"/>
      <c r="U2734" s="24"/>
      <c r="W2734" s="1"/>
      <c r="X2734" s="1"/>
      <c r="Y2734" s="1"/>
    </row>
    <row r="2735" spans="1:25" ht="18.75">
      <c r="F2735" s="9" t="s">
        <v>30</v>
      </c>
      <c r="I2735" s="2">
        <f>'Facility Detail'!$G$3260</f>
        <v>2011</v>
      </c>
      <c r="J2735" s="2">
        <f>I2735+1</f>
        <v>2012</v>
      </c>
      <c r="K2735" s="2">
        <f>J2735+1</f>
        <v>2013</v>
      </c>
      <c r="L2735" s="2">
        <f t="shared" ref="L2735:Q2735" si="1298">L2724</f>
        <v>2014</v>
      </c>
      <c r="M2735" s="2">
        <f t="shared" si="1298"/>
        <v>2015</v>
      </c>
      <c r="N2735" s="2">
        <f t="shared" si="1298"/>
        <v>2016</v>
      </c>
      <c r="O2735" s="2">
        <f t="shared" si="1298"/>
        <v>2017</v>
      </c>
      <c r="P2735" s="2">
        <f t="shared" si="1298"/>
        <v>2018</v>
      </c>
      <c r="Q2735" s="2">
        <f t="shared" si="1298"/>
        <v>2019</v>
      </c>
      <c r="R2735" s="2">
        <f t="shared" ref="R2735:S2735" si="1299">R2724</f>
        <v>2020</v>
      </c>
      <c r="S2735" s="2">
        <f t="shared" si="1299"/>
        <v>2021</v>
      </c>
      <c r="T2735" s="2">
        <f t="shared" ref="T2735:U2735" si="1300">T2724</f>
        <v>2022</v>
      </c>
      <c r="U2735" s="2">
        <f t="shared" si="1300"/>
        <v>2023</v>
      </c>
      <c r="W2735" s="1"/>
      <c r="X2735" s="1"/>
      <c r="Y2735" s="1"/>
    </row>
    <row r="2736" spans="1:25">
      <c r="G2736" s="62" t="s">
        <v>47</v>
      </c>
      <c r="H2736" s="57"/>
      <c r="I2736" s="71"/>
      <c r="J2736" s="72"/>
      <c r="K2736" s="72"/>
      <c r="L2736" s="72"/>
      <c r="M2736" s="72"/>
      <c r="N2736" s="72"/>
      <c r="O2736" s="72"/>
      <c r="P2736" s="72"/>
      <c r="Q2736" s="72"/>
      <c r="R2736" s="72"/>
      <c r="S2736" s="72"/>
      <c r="T2736" s="72"/>
      <c r="U2736" s="73"/>
      <c r="W2736" s="1"/>
      <c r="X2736" s="1"/>
      <c r="Y2736" s="1"/>
    </row>
    <row r="2737" spans="6:25">
      <c r="G2737" s="63" t="s">
        <v>23</v>
      </c>
      <c r="H2737" s="135"/>
      <c r="I2737" s="74"/>
      <c r="J2737" s="75"/>
      <c r="K2737" s="75"/>
      <c r="L2737" s="75"/>
      <c r="M2737" s="75"/>
      <c r="N2737" s="75"/>
      <c r="O2737" s="75"/>
      <c r="P2737" s="75"/>
      <c r="Q2737" s="75"/>
      <c r="R2737" s="75"/>
      <c r="S2737" s="75"/>
      <c r="T2737" s="75"/>
      <c r="U2737" s="76"/>
      <c r="W2737" s="1"/>
      <c r="X2737" s="1"/>
      <c r="Y2737" s="1"/>
    </row>
    <row r="2738" spans="6:25">
      <c r="G2738" s="63" t="s">
        <v>89</v>
      </c>
      <c r="H2738" s="134"/>
      <c r="I2738" s="43"/>
      <c r="J2738" s="44"/>
      <c r="K2738" s="44"/>
      <c r="L2738" s="44"/>
      <c r="M2738" s="44"/>
      <c r="N2738" s="44"/>
      <c r="O2738" s="44"/>
      <c r="P2738" s="44"/>
      <c r="Q2738" s="44"/>
      <c r="R2738" s="44"/>
      <c r="S2738" s="44"/>
      <c r="T2738" s="44"/>
      <c r="U2738" s="45"/>
      <c r="W2738" s="1"/>
      <c r="X2738" s="1"/>
      <c r="Y2738" s="1"/>
    </row>
    <row r="2739" spans="6:25">
      <c r="G2739" s="26" t="s">
        <v>90</v>
      </c>
      <c r="I2739" s="7">
        <f t="shared" ref="I2739:O2739" si="1301">SUM(I2736:I2738)</f>
        <v>0</v>
      </c>
      <c r="J2739" s="7">
        <f t="shared" si="1301"/>
        <v>0</v>
      </c>
      <c r="K2739" s="7">
        <f t="shared" si="1301"/>
        <v>0</v>
      </c>
      <c r="L2739" s="7">
        <f t="shared" si="1301"/>
        <v>0</v>
      </c>
      <c r="M2739" s="7">
        <f t="shared" si="1301"/>
        <v>0</v>
      </c>
      <c r="N2739" s="7">
        <f t="shared" si="1301"/>
        <v>0</v>
      </c>
      <c r="O2739" s="7">
        <f t="shared" si="1301"/>
        <v>0</v>
      </c>
      <c r="P2739" s="7">
        <f t="shared" ref="P2739:Q2739" si="1302">SUM(P2736:P2738)</f>
        <v>0</v>
      </c>
      <c r="Q2739" s="7">
        <f t="shared" si="1302"/>
        <v>0</v>
      </c>
      <c r="R2739" s="7">
        <f t="shared" ref="R2739:S2739" si="1303">SUM(R2736:R2738)</f>
        <v>0</v>
      </c>
      <c r="S2739" s="7">
        <f t="shared" si="1303"/>
        <v>0</v>
      </c>
      <c r="T2739" s="7">
        <f t="shared" ref="T2739:U2739" si="1304">SUM(T2736:T2738)</f>
        <v>0</v>
      </c>
      <c r="U2739" s="7">
        <f t="shared" si="1304"/>
        <v>0</v>
      </c>
      <c r="W2739" s="1"/>
      <c r="X2739" s="1"/>
      <c r="Y2739" s="1"/>
    </row>
    <row r="2740" spans="6:25">
      <c r="G2740" s="6"/>
      <c r="I2740" s="7"/>
      <c r="J2740" s="7"/>
      <c r="K2740" s="7"/>
      <c r="L2740" s="23"/>
      <c r="M2740" s="23"/>
      <c r="N2740" s="23"/>
      <c r="O2740" s="23"/>
      <c r="P2740" s="23"/>
      <c r="Q2740" s="23"/>
      <c r="R2740" s="23"/>
      <c r="S2740" s="23"/>
      <c r="T2740" s="23"/>
      <c r="U2740" s="23"/>
      <c r="W2740" s="1"/>
      <c r="X2740" s="1"/>
      <c r="Y2740" s="1"/>
    </row>
    <row r="2741" spans="6:25" ht="18.75">
      <c r="F2741" s="9" t="s">
        <v>100</v>
      </c>
      <c r="I2741" s="2">
        <f>'Facility Detail'!$G$3260</f>
        <v>2011</v>
      </c>
      <c r="J2741" s="2">
        <f t="shared" ref="J2741:P2741" si="1305">I2741+1</f>
        <v>2012</v>
      </c>
      <c r="K2741" s="2">
        <f t="shared" si="1305"/>
        <v>2013</v>
      </c>
      <c r="L2741" s="2">
        <f t="shared" si="1305"/>
        <v>2014</v>
      </c>
      <c r="M2741" s="2">
        <f t="shared" si="1305"/>
        <v>2015</v>
      </c>
      <c r="N2741" s="2">
        <f t="shared" si="1305"/>
        <v>2016</v>
      </c>
      <c r="O2741" s="2">
        <f t="shared" si="1305"/>
        <v>2017</v>
      </c>
      <c r="P2741" s="2">
        <f t="shared" si="1305"/>
        <v>2018</v>
      </c>
      <c r="Q2741" s="2">
        <f t="shared" ref="Q2741" si="1306">P2741+1</f>
        <v>2019</v>
      </c>
      <c r="R2741" s="2">
        <f t="shared" ref="R2741" si="1307">Q2741+1</f>
        <v>2020</v>
      </c>
      <c r="S2741" s="2">
        <f>R2741+1</f>
        <v>2021</v>
      </c>
      <c r="T2741" s="2">
        <f>S2741+1</f>
        <v>2022</v>
      </c>
      <c r="U2741" s="2">
        <f>T2741+1</f>
        <v>2023</v>
      </c>
      <c r="W2741" s="1"/>
      <c r="X2741" s="1"/>
      <c r="Y2741" s="1"/>
    </row>
    <row r="2742" spans="6:25">
      <c r="G2742" s="62" t="s">
        <v>68</v>
      </c>
      <c r="I2742" s="3"/>
      <c r="J2742" s="46">
        <f>I2742</f>
        <v>0</v>
      </c>
      <c r="K2742" s="106"/>
      <c r="L2742" s="106"/>
      <c r="M2742" s="106"/>
      <c r="N2742" s="106"/>
      <c r="O2742" s="106"/>
      <c r="P2742" s="106"/>
      <c r="Q2742" s="106"/>
      <c r="R2742" s="106"/>
      <c r="S2742" s="106"/>
      <c r="T2742" s="217"/>
      <c r="U2742" s="47"/>
      <c r="W2742" s="1"/>
      <c r="X2742" s="1"/>
      <c r="Y2742" s="1"/>
    </row>
    <row r="2743" spans="6:25">
      <c r="G2743" s="62" t="s">
        <v>69</v>
      </c>
      <c r="I2743" s="127">
        <f>J2743</f>
        <v>0</v>
      </c>
      <c r="J2743" s="10"/>
      <c r="K2743" s="60"/>
      <c r="L2743" s="60"/>
      <c r="M2743" s="60"/>
      <c r="N2743" s="60"/>
      <c r="O2743" s="60"/>
      <c r="P2743" s="60"/>
      <c r="Q2743" s="60"/>
      <c r="R2743" s="60"/>
      <c r="S2743" s="60"/>
      <c r="T2743" s="218"/>
      <c r="U2743" s="128"/>
      <c r="W2743" s="1"/>
      <c r="X2743" s="1"/>
      <c r="Y2743" s="1"/>
    </row>
    <row r="2744" spans="6:25">
      <c r="G2744" s="62" t="s">
        <v>70</v>
      </c>
      <c r="I2744" s="48"/>
      <c r="J2744" s="10"/>
      <c r="K2744" s="56">
        <f>J2744</f>
        <v>0</v>
      </c>
      <c r="L2744" s="60"/>
      <c r="M2744" s="60"/>
      <c r="N2744" s="60"/>
      <c r="O2744" s="60"/>
      <c r="P2744" s="60"/>
      <c r="Q2744" s="60"/>
      <c r="R2744" s="60"/>
      <c r="S2744" s="60"/>
      <c r="T2744" s="218"/>
      <c r="U2744" s="128"/>
      <c r="W2744" s="1"/>
      <c r="X2744" s="1"/>
      <c r="Y2744" s="1"/>
    </row>
    <row r="2745" spans="6:25">
      <c r="G2745" s="62" t="s">
        <v>71</v>
      </c>
      <c r="I2745" s="48"/>
      <c r="J2745" s="56">
        <f>K2745</f>
        <v>0</v>
      </c>
      <c r="K2745" s="10"/>
      <c r="L2745" s="60"/>
      <c r="M2745" s="60"/>
      <c r="N2745" s="60"/>
      <c r="O2745" s="60"/>
      <c r="P2745" s="60"/>
      <c r="Q2745" s="60"/>
      <c r="R2745" s="60"/>
      <c r="S2745" s="60"/>
      <c r="T2745" s="218"/>
      <c r="U2745" s="128"/>
      <c r="W2745" s="1"/>
      <c r="X2745" s="1"/>
      <c r="Y2745" s="1"/>
    </row>
    <row r="2746" spans="6:25">
      <c r="G2746" s="62" t="s">
        <v>170</v>
      </c>
      <c r="I2746" s="48"/>
      <c r="J2746" s="118"/>
      <c r="K2746" s="10"/>
      <c r="L2746" s="119">
        <f>K2746</f>
        <v>0</v>
      </c>
      <c r="M2746" s="60"/>
      <c r="N2746" s="60"/>
      <c r="O2746" s="60"/>
      <c r="P2746" s="60"/>
      <c r="Q2746" s="60"/>
      <c r="R2746" s="60"/>
      <c r="S2746" s="60"/>
      <c r="T2746" s="146"/>
      <c r="U2746" s="122"/>
      <c r="W2746" s="1"/>
      <c r="X2746" s="1"/>
      <c r="Y2746" s="1"/>
    </row>
    <row r="2747" spans="6:25">
      <c r="G2747" s="62" t="s">
        <v>171</v>
      </c>
      <c r="I2747" s="48"/>
      <c r="J2747" s="118"/>
      <c r="K2747" s="56">
        <f>L2747</f>
        <v>0</v>
      </c>
      <c r="L2747" s="10"/>
      <c r="M2747" s="60"/>
      <c r="N2747" s="60"/>
      <c r="O2747" s="60" t="s">
        <v>169</v>
      </c>
      <c r="P2747" s="60" t="s">
        <v>169</v>
      </c>
      <c r="Q2747" s="60"/>
      <c r="R2747" s="60"/>
      <c r="S2747" s="60"/>
      <c r="T2747" s="146"/>
      <c r="U2747" s="122"/>
      <c r="W2747" s="1"/>
      <c r="X2747" s="1"/>
      <c r="Y2747" s="1"/>
    </row>
    <row r="2748" spans="6:25">
      <c r="G2748" s="62" t="s">
        <v>172</v>
      </c>
      <c r="I2748" s="48"/>
      <c r="J2748" s="118"/>
      <c r="K2748" s="118"/>
      <c r="L2748" s="10"/>
      <c r="M2748" s="119">
        <f>L2748</f>
        <v>0</v>
      </c>
      <c r="N2748" s="118"/>
      <c r="O2748" s="60"/>
      <c r="P2748" s="60"/>
      <c r="Q2748" s="60"/>
      <c r="R2748" s="60"/>
      <c r="S2748" s="60"/>
      <c r="T2748" s="146"/>
      <c r="U2748" s="122"/>
      <c r="W2748" s="1"/>
      <c r="X2748" s="1"/>
      <c r="Y2748" s="1"/>
    </row>
    <row r="2749" spans="6:25">
      <c r="G2749" s="62" t="s">
        <v>173</v>
      </c>
      <c r="I2749" s="48"/>
      <c r="J2749" s="118"/>
      <c r="K2749" s="118"/>
      <c r="L2749" s="56">
        <f>M2749</f>
        <v>0</v>
      </c>
      <c r="M2749" s="10"/>
      <c r="N2749" s="118"/>
      <c r="O2749" s="60"/>
      <c r="P2749" s="60"/>
      <c r="Q2749" s="60"/>
      <c r="R2749" s="60"/>
      <c r="S2749" s="60"/>
      <c r="T2749" s="146"/>
      <c r="U2749" s="122"/>
      <c r="W2749" s="1"/>
      <c r="X2749" s="1"/>
      <c r="Y2749" s="1"/>
    </row>
    <row r="2750" spans="6:25">
      <c r="G2750" s="62" t="s">
        <v>174</v>
      </c>
      <c r="I2750" s="48"/>
      <c r="J2750" s="118"/>
      <c r="K2750" s="118"/>
      <c r="L2750" s="118"/>
      <c r="M2750" s="10">
        <f>M2728</f>
        <v>0</v>
      </c>
      <c r="N2750" s="119">
        <f>M2750</f>
        <v>0</v>
      </c>
      <c r="O2750" s="60"/>
      <c r="P2750" s="60"/>
      <c r="Q2750" s="60"/>
      <c r="R2750" s="60"/>
      <c r="S2750" s="60"/>
      <c r="T2750" s="146"/>
      <c r="U2750" s="122"/>
      <c r="W2750" s="1"/>
      <c r="X2750" s="1"/>
      <c r="Y2750" s="1"/>
    </row>
    <row r="2751" spans="6:25">
      <c r="G2751" s="62" t="s">
        <v>175</v>
      </c>
      <c r="I2751" s="48"/>
      <c r="J2751" s="118"/>
      <c r="K2751" s="118"/>
      <c r="L2751" s="118"/>
      <c r="M2751" s="56">
        <f>N2751</f>
        <v>0</v>
      </c>
      <c r="N2751" s="10"/>
      <c r="O2751" s="60"/>
      <c r="P2751" s="60"/>
      <c r="Q2751" s="60"/>
      <c r="R2751" s="60"/>
      <c r="S2751" s="60"/>
      <c r="T2751" s="146"/>
      <c r="U2751" s="122"/>
      <c r="W2751" s="1"/>
      <c r="X2751" s="1"/>
      <c r="Y2751" s="1"/>
    </row>
    <row r="2752" spans="6:25">
      <c r="G2752" s="62" t="s">
        <v>176</v>
      </c>
      <c r="I2752" s="48"/>
      <c r="J2752" s="118"/>
      <c r="K2752" s="118"/>
      <c r="L2752" s="118"/>
      <c r="M2752" s="118"/>
      <c r="N2752" s="149">
        <f>N2728</f>
        <v>4353</v>
      </c>
      <c r="O2752" s="120">
        <f>N2752</f>
        <v>4353</v>
      </c>
      <c r="P2752" s="60"/>
      <c r="Q2752" s="60"/>
      <c r="R2752" s="60"/>
      <c r="S2752" s="60"/>
      <c r="T2752" s="146"/>
      <c r="U2752" s="122"/>
      <c r="W2752" s="1"/>
      <c r="X2752" s="1"/>
      <c r="Y2752" s="1"/>
    </row>
    <row r="2753" spans="2:25">
      <c r="G2753" s="62" t="s">
        <v>167</v>
      </c>
      <c r="I2753" s="48"/>
      <c r="J2753" s="118"/>
      <c r="K2753" s="118"/>
      <c r="L2753" s="118"/>
      <c r="M2753" s="118"/>
      <c r="N2753" s="150"/>
      <c r="O2753" s="121"/>
      <c r="P2753" s="60"/>
      <c r="Q2753" s="60"/>
      <c r="R2753" s="60"/>
      <c r="S2753" s="60"/>
      <c r="T2753" s="146"/>
      <c r="U2753" s="122"/>
      <c r="W2753" s="1"/>
      <c r="X2753" s="1"/>
      <c r="Y2753" s="1"/>
    </row>
    <row r="2754" spans="2:25">
      <c r="G2754" s="62" t="s">
        <v>168</v>
      </c>
      <c r="I2754" s="48"/>
      <c r="J2754" s="118"/>
      <c r="K2754" s="118"/>
      <c r="L2754" s="118"/>
      <c r="M2754" s="118"/>
      <c r="N2754" s="118"/>
      <c r="O2754" s="121">
        <v>0</v>
      </c>
      <c r="P2754" s="120">
        <f>O2754</f>
        <v>0</v>
      </c>
      <c r="Q2754" s="60"/>
      <c r="R2754" s="60"/>
      <c r="S2754" s="60"/>
      <c r="T2754" s="146"/>
      <c r="U2754" s="122"/>
      <c r="W2754" s="1"/>
      <c r="X2754" s="1"/>
      <c r="Y2754" s="1"/>
    </row>
    <row r="2755" spans="2:25">
      <c r="G2755" s="62" t="s">
        <v>185</v>
      </c>
      <c r="I2755" s="48"/>
      <c r="J2755" s="118"/>
      <c r="K2755" s="118"/>
      <c r="L2755" s="118"/>
      <c r="M2755" s="118"/>
      <c r="N2755" s="118"/>
      <c r="O2755" s="120"/>
      <c r="P2755" s="121"/>
      <c r="Q2755" s="60"/>
      <c r="R2755" s="60"/>
      <c r="S2755" s="60"/>
      <c r="T2755" s="146"/>
      <c r="U2755" s="122"/>
      <c r="W2755" s="1"/>
      <c r="X2755" s="1"/>
      <c r="Y2755" s="1"/>
    </row>
    <row r="2756" spans="2:25">
      <c r="G2756" s="62" t="s">
        <v>186</v>
      </c>
      <c r="I2756" s="48"/>
      <c r="J2756" s="118"/>
      <c r="K2756" s="118"/>
      <c r="L2756" s="118"/>
      <c r="M2756" s="118"/>
      <c r="N2756" s="118"/>
      <c r="O2756" s="118"/>
      <c r="P2756" s="121">
        <v>0</v>
      </c>
      <c r="Q2756" s="56">
        <f>P2756</f>
        <v>0</v>
      </c>
      <c r="R2756" s="60"/>
      <c r="S2756" s="60"/>
      <c r="T2756" s="146"/>
      <c r="U2756" s="122"/>
      <c r="W2756" s="1"/>
      <c r="X2756" s="1"/>
      <c r="Y2756" s="1"/>
    </row>
    <row r="2757" spans="2:25">
      <c r="G2757" s="62" t="s">
        <v>187</v>
      </c>
      <c r="I2757" s="48"/>
      <c r="J2757" s="118"/>
      <c r="K2757" s="118"/>
      <c r="L2757" s="118"/>
      <c r="M2757" s="118"/>
      <c r="N2757" s="118"/>
      <c r="O2757" s="118"/>
      <c r="P2757" s="120"/>
      <c r="Q2757" s="306"/>
      <c r="R2757" s="60"/>
      <c r="S2757" s="60"/>
      <c r="T2757" s="146"/>
      <c r="U2757" s="122"/>
      <c r="W2757" s="1"/>
      <c r="X2757" s="1"/>
      <c r="Y2757" s="1"/>
    </row>
    <row r="2758" spans="2:25">
      <c r="G2758" s="62" t="s">
        <v>188</v>
      </c>
      <c r="I2758" s="48"/>
      <c r="J2758" s="118"/>
      <c r="K2758" s="118"/>
      <c r="L2758" s="118"/>
      <c r="M2758" s="118"/>
      <c r="N2758" s="118"/>
      <c r="O2758" s="118"/>
      <c r="P2758" s="118"/>
      <c r="Q2758" s="121"/>
      <c r="R2758" s="151">
        <f>P2758</f>
        <v>0</v>
      </c>
      <c r="S2758" s="60">
        <f>Q2758</f>
        <v>0</v>
      </c>
      <c r="T2758" s="146">
        <f>R2758</f>
        <v>0</v>
      </c>
      <c r="U2758" s="122">
        <f>S2758</f>
        <v>0</v>
      </c>
      <c r="W2758" s="1"/>
      <c r="X2758" s="1"/>
      <c r="Y2758" s="1"/>
    </row>
    <row r="2759" spans="2:25">
      <c r="G2759" s="62" t="s">
        <v>189</v>
      </c>
      <c r="I2759" s="48"/>
      <c r="J2759" s="118"/>
      <c r="K2759" s="118"/>
      <c r="L2759" s="118"/>
      <c r="M2759" s="118"/>
      <c r="N2759" s="118"/>
      <c r="O2759" s="118"/>
      <c r="P2759" s="118"/>
      <c r="Q2759" s="151"/>
      <c r="R2759" s="173">
        <f>Q2759</f>
        <v>0</v>
      </c>
      <c r="S2759" s="60"/>
      <c r="T2759" s="146"/>
      <c r="U2759" s="122"/>
      <c r="W2759" s="1"/>
      <c r="X2759" s="1"/>
      <c r="Y2759" s="1"/>
    </row>
    <row r="2760" spans="2:25">
      <c r="G2760" s="62" t="s">
        <v>190</v>
      </c>
      <c r="I2760" s="48"/>
      <c r="J2760" s="118"/>
      <c r="K2760" s="118"/>
      <c r="L2760" s="118"/>
      <c r="M2760" s="118"/>
      <c r="N2760" s="118"/>
      <c r="O2760" s="118"/>
      <c r="P2760" s="118"/>
      <c r="Q2760" s="118"/>
      <c r="R2760" s="173"/>
      <c r="S2760" s="151">
        <f>R2760</f>
        <v>0</v>
      </c>
      <c r="T2760" s="146"/>
      <c r="U2760" s="122"/>
      <c r="W2760" s="1"/>
      <c r="X2760" s="1"/>
      <c r="Y2760" s="1"/>
    </row>
    <row r="2761" spans="2:25">
      <c r="G2761" s="62" t="s">
        <v>199</v>
      </c>
      <c r="I2761" s="48"/>
      <c r="J2761" s="118"/>
      <c r="K2761" s="118"/>
      <c r="L2761" s="118"/>
      <c r="M2761" s="118"/>
      <c r="N2761" s="118"/>
      <c r="O2761" s="118"/>
      <c r="P2761" s="118"/>
      <c r="Q2761" s="118"/>
      <c r="R2761" s="120"/>
      <c r="S2761" s="173">
        <v>0</v>
      </c>
      <c r="T2761" s="146"/>
      <c r="U2761" s="122"/>
      <c r="W2761" s="1"/>
      <c r="X2761" s="1"/>
      <c r="Y2761" s="1"/>
    </row>
    <row r="2762" spans="2:25">
      <c r="G2762" s="62" t="s">
        <v>200</v>
      </c>
      <c r="I2762" s="48"/>
      <c r="J2762" s="118"/>
      <c r="K2762" s="118"/>
      <c r="L2762" s="118"/>
      <c r="M2762" s="118"/>
      <c r="N2762" s="118"/>
      <c r="O2762" s="118"/>
      <c r="P2762" s="118"/>
      <c r="Q2762" s="118"/>
      <c r="R2762" s="118"/>
      <c r="S2762" s="173">
        <v>0</v>
      </c>
      <c r="T2762" s="151">
        <f>S2762</f>
        <v>0</v>
      </c>
      <c r="U2762" s="122"/>
      <c r="W2762" s="1"/>
      <c r="X2762" s="1"/>
      <c r="Y2762" s="1"/>
    </row>
    <row r="2763" spans="2:25">
      <c r="G2763" s="62" t="s">
        <v>308</v>
      </c>
      <c r="I2763" s="48"/>
      <c r="J2763" s="118"/>
      <c r="K2763" s="118"/>
      <c r="L2763" s="118"/>
      <c r="M2763" s="118"/>
      <c r="N2763" s="118"/>
      <c r="O2763" s="118"/>
      <c r="P2763" s="118"/>
      <c r="Q2763" s="118"/>
      <c r="R2763" s="118"/>
      <c r="S2763" s="120">
        <f>T2763</f>
        <v>0</v>
      </c>
      <c r="T2763" s="173">
        <v>0</v>
      </c>
      <c r="U2763" s="122"/>
      <c r="W2763" s="1"/>
      <c r="X2763" s="1"/>
      <c r="Y2763" s="1"/>
    </row>
    <row r="2764" spans="2:25">
      <c r="G2764" s="62" t="s">
        <v>307</v>
      </c>
      <c r="I2764" s="114"/>
      <c r="J2764" s="107"/>
      <c r="K2764" s="107"/>
      <c r="L2764" s="107"/>
      <c r="M2764" s="107"/>
      <c r="N2764" s="107"/>
      <c r="O2764" s="107"/>
      <c r="P2764" s="107"/>
      <c r="Q2764" s="107"/>
      <c r="R2764" s="107"/>
      <c r="S2764" s="107"/>
      <c r="T2764" s="173">
        <v>0</v>
      </c>
      <c r="U2764" s="456">
        <f>T2764</f>
        <v>0</v>
      </c>
      <c r="W2764" s="1"/>
      <c r="X2764" s="1"/>
      <c r="Y2764" s="1"/>
    </row>
    <row r="2765" spans="2:25">
      <c r="G2765" s="62" t="s">
        <v>318</v>
      </c>
      <c r="I2765" s="114"/>
      <c r="J2765" s="107"/>
      <c r="K2765" s="107"/>
      <c r="L2765" s="107"/>
      <c r="M2765" s="107"/>
      <c r="N2765" s="107"/>
      <c r="O2765" s="107"/>
      <c r="P2765" s="107"/>
      <c r="Q2765" s="107"/>
      <c r="R2765" s="107"/>
      <c r="S2765" s="107"/>
      <c r="T2765" s="120">
        <f>U2765</f>
        <v>0</v>
      </c>
      <c r="U2765" s="457">
        <v>0</v>
      </c>
      <c r="W2765" s="1"/>
      <c r="X2765" s="1"/>
      <c r="Y2765" s="1"/>
    </row>
    <row r="2766" spans="2:25">
      <c r="G2766" s="62" t="s">
        <v>319</v>
      </c>
      <c r="I2766" s="49"/>
      <c r="J2766" s="194"/>
      <c r="K2766" s="194"/>
      <c r="L2766" s="194"/>
      <c r="M2766" s="194"/>
      <c r="N2766" s="194"/>
      <c r="O2766" s="194"/>
      <c r="P2766" s="194"/>
      <c r="Q2766" s="194"/>
      <c r="R2766" s="194"/>
      <c r="S2766" s="194"/>
      <c r="T2766" s="194"/>
      <c r="U2766" s="458">
        <v>0</v>
      </c>
      <c r="W2766" s="1"/>
      <c r="X2766" s="1"/>
      <c r="Y2766" s="1"/>
    </row>
    <row r="2767" spans="2:25">
      <c r="B2767" s="1" t="s">
        <v>165</v>
      </c>
      <c r="G2767" s="26" t="s">
        <v>17</v>
      </c>
      <c r="I2767" s="7">
        <f xml:space="preserve"> I2743 - I2742</f>
        <v>0</v>
      </c>
      <c r="J2767" s="7">
        <f xml:space="preserve"> J2742 + J2745 - J2744 - J2743</f>
        <v>0</v>
      </c>
      <c r="K2767" s="7">
        <f>K2744 - K2745 -K2746</f>
        <v>0</v>
      </c>
      <c r="L2767" s="7">
        <f>L2746-L2747-L2748</f>
        <v>0</v>
      </c>
      <c r="M2767" s="7">
        <f>M2748-M2749-M2750</f>
        <v>0</v>
      </c>
      <c r="N2767" s="7">
        <f>N2750-N2751-N2752</f>
        <v>-4353</v>
      </c>
      <c r="O2767" s="7">
        <f>O2752-O2753-O2754</f>
        <v>4353</v>
      </c>
      <c r="P2767" s="154">
        <f>P2754-P2755-P2756</f>
        <v>0</v>
      </c>
      <c r="Q2767" s="154">
        <f>Q2756-Q2757-Q2758</f>
        <v>0</v>
      </c>
      <c r="R2767" s="154">
        <f>R2754</f>
        <v>0</v>
      </c>
      <c r="S2767" s="7">
        <f>S2760-S2761+S2762-S2763</f>
        <v>0</v>
      </c>
      <c r="T2767" s="7">
        <f>T2762-T2763-T2764+T2765</f>
        <v>0</v>
      </c>
      <c r="U2767" s="7">
        <f>U2764-U2765-U2766</f>
        <v>0</v>
      </c>
      <c r="W2767" s="1"/>
      <c r="X2767" s="1"/>
      <c r="Y2767" s="1"/>
    </row>
    <row r="2768" spans="2:25">
      <c r="G2768" s="6"/>
      <c r="I2768" s="154"/>
      <c r="J2768" s="154"/>
      <c r="K2768" s="154"/>
      <c r="L2768" s="154"/>
      <c r="M2768" s="154"/>
      <c r="N2768" s="154"/>
      <c r="O2768" s="154"/>
      <c r="P2768" s="154"/>
      <c r="Q2768" s="154"/>
      <c r="R2768" s="154"/>
      <c r="S2768" s="297"/>
      <c r="T2768" s="154"/>
      <c r="U2768" s="154"/>
      <c r="W2768" s="1"/>
      <c r="X2768" s="1"/>
      <c r="Y2768" s="1"/>
    </row>
    <row r="2769" spans="1:25">
      <c r="G2769" s="26" t="s">
        <v>12</v>
      </c>
      <c r="H2769" s="57"/>
      <c r="I2769" s="155"/>
      <c r="J2769" s="156"/>
      <c r="K2769" s="156"/>
      <c r="L2769" s="156"/>
      <c r="M2769" s="156"/>
      <c r="N2769" s="156"/>
      <c r="O2769" s="156"/>
      <c r="P2769" s="156"/>
      <c r="Q2769" s="156"/>
      <c r="R2769" s="156"/>
      <c r="S2769" s="156"/>
      <c r="T2769" s="156"/>
      <c r="U2769" s="267"/>
      <c r="W2769" s="1"/>
      <c r="X2769" s="1"/>
      <c r="Y2769" s="1"/>
    </row>
    <row r="2770" spans="1:25">
      <c r="G2770" s="6"/>
      <c r="I2770" s="154"/>
      <c r="J2770" s="154"/>
      <c r="K2770" s="154"/>
      <c r="L2770" s="154"/>
      <c r="M2770" s="154"/>
      <c r="N2770" s="154"/>
      <c r="O2770" s="154"/>
      <c r="P2770" s="154"/>
      <c r="Q2770" s="154"/>
      <c r="R2770" s="154"/>
      <c r="S2770" s="154"/>
      <c r="T2770" s="154"/>
      <c r="U2770" s="154"/>
      <c r="W2770" s="1"/>
      <c r="X2770" s="1"/>
      <c r="Y2770" s="1"/>
    </row>
    <row r="2771" spans="1:25" ht="18.75">
      <c r="C2771" s="1" t="s">
        <v>165</v>
      </c>
      <c r="D2771" s="1" t="s">
        <v>166</v>
      </c>
      <c r="E2771" s="1" t="s">
        <v>107</v>
      </c>
      <c r="F2771" s="9" t="s">
        <v>26</v>
      </c>
      <c r="H2771" s="57"/>
      <c r="I2771" s="157">
        <f t="shared" ref="I2771:S2771" si="1308" xml:space="preserve"> I2728 + I2733 - I2739 + I2767 + I2769</f>
        <v>0</v>
      </c>
      <c r="J2771" s="158">
        <f t="shared" si="1308"/>
        <v>0</v>
      </c>
      <c r="K2771" s="158">
        <f t="shared" si="1308"/>
        <v>0</v>
      </c>
      <c r="L2771" s="158">
        <f t="shared" si="1308"/>
        <v>0</v>
      </c>
      <c r="M2771" s="158">
        <f t="shared" si="1308"/>
        <v>0</v>
      </c>
      <c r="N2771" s="158">
        <f t="shared" si="1308"/>
        <v>0</v>
      </c>
      <c r="O2771" s="158">
        <f t="shared" si="1308"/>
        <v>4353</v>
      </c>
      <c r="P2771" s="158">
        <f t="shared" si="1308"/>
        <v>11844</v>
      </c>
      <c r="Q2771" s="158">
        <f t="shared" si="1308"/>
        <v>13499.627724604894</v>
      </c>
      <c r="R2771" s="158">
        <f t="shared" ref="R2771" si="1309" xml:space="preserve"> R2728 + R2733 - R2739 + R2767 + R2769</f>
        <v>34771</v>
      </c>
      <c r="S2771" s="298">
        <f t="shared" si="1308"/>
        <v>31592</v>
      </c>
      <c r="T2771" s="158">
        <f t="shared" ref="T2771:U2771" si="1310" xml:space="preserve"> T2728 + T2733 - T2739 + T2767 + T2769</f>
        <v>32525</v>
      </c>
      <c r="U2771" s="268">
        <f t="shared" si="1310"/>
        <v>31343</v>
      </c>
      <c r="W2771" s="1"/>
      <c r="X2771" s="1"/>
      <c r="Y2771" s="1"/>
    </row>
    <row r="2772" spans="1:25">
      <c r="G2772" s="6"/>
      <c r="I2772" s="7"/>
      <c r="J2772" s="7"/>
      <c r="K2772" s="7"/>
      <c r="L2772" s="23"/>
      <c r="M2772" s="23"/>
      <c r="N2772" s="23"/>
      <c r="O2772" s="23"/>
      <c r="P2772" s="23"/>
      <c r="Q2772" s="23"/>
      <c r="R2772" s="23"/>
      <c r="S2772" s="282"/>
      <c r="T2772" s="23"/>
      <c r="U2772" s="23"/>
      <c r="W2772" s="1"/>
      <c r="X2772" s="1"/>
      <c r="Y2772" s="1"/>
    </row>
    <row r="2773" spans="1:25" ht="15.75" thickBot="1">
      <c r="W2773" s="1"/>
      <c r="X2773" s="1"/>
      <c r="Y2773" s="1"/>
    </row>
    <row r="2774" spans="1:25">
      <c r="F2774" s="8"/>
      <c r="G2774" s="8"/>
      <c r="H2774" s="8"/>
      <c r="I2774" s="8"/>
      <c r="J2774" s="8"/>
      <c r="K2774" s="8"/>
      <c r="L2774" s="8"/>
      <c r="M2774" s="8"/>
      <c r="N2774" s="8"/>
      <c r="O2774" s="8"/>
      <c r="P2774" s="8"/>
      <c r="Q2774" s="8"/>
      <c r="R2774" s="8"/>
      <c r="S2774" s="290"/>
      <c r="T2774" s="8"/>
      <c r="U2774" s="8"/>
      <c r="W2774" s="1"/>
      <c r="X2774" s="1"/>
      <c r="Y2774" s="1"/>
    </row>
    <row r="2775" spans="1:25" ht="15.75" thickBot="1">
      <c r="W2775" s="1"/>
      <c r="X2775" s="1"/>
      <c r="Y2775" s="1"/>
    </row>
    <row r="2776" spans="1:25" ht="21.75" thickBot="1">
      <c r="F2776" s="13" t="s">
        <v>4</v>
      </c>
      <c r="G2776" s="13"/>
      <c r="H2776" s="185" t="str">
        <f>G60</f>
        <v>Seven Mile Hill II</v>
      </c>
      <c r="I2776" s="183"/>
      <c r="W2776" s="1"/>
      <c r="X2776" s="1"/>
      <c r="Y2776" s="1"/>
    </row>
    <row r="2777" spans="1:25">
      <c r="W2777" s="1"/>
      <c r="X2777" s="1"/>
      <c r="Y2777" s="1"/>
    </row>
    <row r="2778" spans="1:25" ht="18.75">
      <c r="F2778" s="9" t="s">
        <v>21</v>
      </c>
      <c r="G2778" s="9"/>
      <c r="I2778" s="2">
        <f>'Facility Detail'!$G$3260</f>
        <v>2011</v>
      </c>
      <c r="J2778" s="2">
        <f t="shared" ref="J2778" si="1311">I2778+1</f>
        <v>2012</v>
      </c>
      <c r="K2778" s="2">
        <f t="shared" ref="K2778" si="1312">J2778+1</f>
        <v>2013</v>
      </c>
      <c r="L2778" s="2">
        <f t="shared" ref="L2778" si="1313">K2778+1</f>
        <v>2014</v>
      </c>
      <c r="M2778" s="2">
        <f t="shared" ref="M2778" si="1314">L2778+1</f>
        <v>2015</v>
      </c>
      <c r="N2778" s="2">
        <f t="shared" ref="N2778" si="1315">M2778+1</f>
        <v>2016</v>
      </c>
      <c r="O2778" s="2">
        <f t="shared" ref="O2778" si="1316">N2778+1</f>
        <v>2017</v>
      </c>
      <c r="P2778" s="2">
        <f t="shared" ref="P2778" si="1317">O2778+1</f>
        <v>2018</v>
      </c>
      <c r="Q2778" s="2">
        <f t="shared" ref="Q2778" si="1318">P2778+1</f>
        <v>2019</v>
      </c>
      <c r="R2778" s="2">
        <f t="shared" ref="R2778" si="1319">Q2778+1</f>
        <v>2020</v>
      </c>
      <c r="S2778" s="280">
        <f>R2778+1</f>
        <v>2021</v>
      </c>
      <c r="T2778" s="2">
        <f>S2778+1</f>
        <v>2022</v>
      </c>
      <c r="U2778" s="2">
        <f>T2778+1</f>
        <v>2023</v>
      </c>
      <c r="W2778" s="1"/>
      <c r="X2778" s="1"/>
      <c r="Y2778" s="1"/>
    </row>
    <row r="2779" spans="1:25">
      <c r="G2779" s="62" t="str">
        <f>"Total MWh Produced / Purchased from " &amp; H2776</f>
        <v>Total MWh Produced / Purchased from Seven Mile Hill II</v>
      </c>
      <c r="H2779" s="57"/>
      <c r="I2779" s="3"/>
      <c r="J2779" s="4"/>
      <c r="K2779" s="4"/>
      <c r="L2779" s="4"/>
      <c r="M2779" s="4"/>
      <c r="N2779" s="4"/>
      <c r="O2779" s="4"/>
      <c r="P2779" s="4"/>
      <c r="Q2779" s="4"/>
      <c r="R2779" s="4"/>
      <c r="S2779" s="291">
        <v>82266</v>
      </c>
      <c r="T2779" s="4">
        <v>86843</v>
      </c>
      <c r="U2779" s="5">
        <v>81475</v>
      </c>
      <c r="W2779" s="1"/>
      <c r="X2779" s="1"/>
      <c r="Y2779" s="1"/>
    </row>
    <row r="2780" spans="1:25">
      <c r="G2780" s="62" t="s">
        <v>25</v>
      </c>
      <c r="H2780" s="57"/>
      <c r="I2780" s="269"/>
      <c r="J2780" s="41"/>
      <c r="K2780" s="41"/>
      <c r="L2780" s="41"/>
      <c r="M2780" s="41"/>
      <c r="N2780" s="41"/>
      <c r="O2780" s="41"/>
      <c r="P2780" s="41"/>
      <c r="Q2780" s="41"/>
      <c r="R2780" s="41"/>
      <c r="S2780" s="41">
        <v>1</v>
      </c>
      <c r="T2780" s="41">
        <v>1</v>
      </c>
      <c r="U2780" s="42">
        <v>1</v>
      </c>
      <c r="W2780" s="1"/>
      <c r="X2780" s="1"/>
      <c r="Y2780" s="1"/>
    </row>
    <row r="2781" spans="1:25">
      <c r="G2781" s="62" t="s">
        <v>20</v>
      </c>
      <c r="H2781" s="57"/>
      <c r="I2781" s="270"/>
      <c r="J2781" s="36"/>
      <c r="K2781" s="36"/>
      <c r="L2781" s="36"/>
      <c r="M2781" s="36"/>
      <c r="N2781" s="36"/>
      <c r="O2781" s="36"/>
      <c r="P2781" s="36"/>
      <c r="Q2781" s="36"/>
      <c r="R2781" s="36"/>
      <c r="S2781" s="36">
        <f>S2</f>
        <v>7.9696892166366717E-2</v>
      </c>
      <c r="T2781" s="36">
        <f>T2</f>
        <v>7.8737918965874246E-2</v>
      </c>
      <c r="U2781" s="36">
        <f>U2</f>
        <v>7.8407467372863096E-2</v>
      </c>
      <c r="W2781" s="1"/>
      <c r="X2781" s="1"/>
      <c r="Y2781" s="1"/>
    </row>
    <row r="2782" spans="1:25">
      <c r="A2782" s="1" t="s">
        <v>302</v>
      </c>
      <c r="G2782" s="26" t="s">
        <v>22</v>
      </c>
      <c r="H2782" s="6"/>
      <c r="I2782" s="30">
        <f>ROUND(I2779 * I2780 * I2781,0)</f>
        <v>0</v>
      </c>
      <c r="J2782" s="30">
        <f t="shared" ref="J2782:M2782" si="1320">ROUND(J2779 * J2780 * J2781,0)</f>
        <v>0</v>
      </c>
      <c r="K2782" s="30">
        <f t="shared" si="1320"/>
        <v>0</v>
      </c>
      <c r="L2782" s="30">
        <f t="shared" si="1320"/>
        <v>0</v>
      </c>
      <c r="M2782" s="30">
        <f t="shared" si="1320"/>
        <v>0</v>
      </c>
      <c r="N2782" s="161"/>
      <c r="O2782" s="161">
        <v>0</v>
      </c>
      <c r="P2782" s="161"/>
      <c r="Q2782" s="161">
        <f>Q2779*Q2781</f>
        <v>0</v>
      </c>
      <c r="R2782" s="161">
        <f t="shared" ref="R2782" si="1321">ROUND(R2779 * R2780 * R2781,0)</f>
        <v>0</v>
      </c>
      <c r="S2782" s="161">
        <f>ROUNDUP(S2779 * S2780 * S2781,0)</f>
        <v>6557</v>
      </c>
      <c r="T2782" s="161">
        <f>ROUNDUP(T2779 * T2780 * T2781,0)</f>
        <v>6838</v>
      </c>
      <c r="U2782" s="161">
        <f t="shared" ref="U2782" si="1322">ROUND(U2779 * U2780 * U2781,0)</f>
        <v>6388</v>
      </c>
      <c r="W2782" s="1"/>
      <c r="X2782" s="1"/>
      <c r="Y2782" s="1"/>
    </row>
    <row r="2783" spans="1:25">
      <c r="I2783" s="29"/>
      <c r="J2783" s="29"/>
      <c r="K2783" s="29"/>
      <c r="L2783" s="29"/>
      <c r="M2783" s="29"/>
      <c r="N2783" s="20"/>
      <c r="O2783" s="20"/>
      <c r="P2783" s="20"/>
      <c r="Q2783" s="20"/>
      <c r="R2783" s="20"/>
      <c r="S2783" s="20"/>
      <c r="T2783" s="20"/>
      <c r="U2783" s="20"/>
      <c r="W2783" s="1"/>
      <c r="X2783" s="1"/>
      <c r="Y2783" s="1"/>
    </row>
    <row r="2784" spans="1:25" ht="18.75">
      <c r="F2784" s="9" t="s">
        <v>118</v>
      </c>
      <c r="I2784" s="2">
        <f>'Facility Detail'!$G$3260</f>
        <v>2011</v>
      </c>
      <c r="J2784" s="2">
        <f>I2784+1</f>
        <v>2012</v>
      </c>
      <c r="K2784" s="2">
        <f>J2784+1</f>
        <v>2013</v>
      </c>
      <c r="L2784" s="2">
        <f t="shared" ref="L2784:S2784" si="1323">L2778</f>
        <v>2014</v>
      </c>
      <c r="M2784" s="2">
        <f t="shared" si="1323"/>
        <v>2015</v>
      </c>
      <c r="N2784" s="2">
        <f t="shared" si="1323"/>
        <v>2016</v>
      </c>
      <c r="O2784" s="2">
        <f t="shared" si="1323"/>
        <v>2017</v>
      </c>
      <c r="P2784" s="2">
        <f t="shared" si="1323"/>
        <v>2018</v>
      </c>
      <c r="Q2784" s="2">
        <f t="shared" si="1323"/>
        <v>2019</v>
      </c>
      <c r="R2784" s="2">
        <f t="shared" si="1323"/>
        <v>2020</v>
      </c>
      <c r="S2784" s="2">
        <f t="shared" si="1323"/>
        <v>2021</v>
      </c>
      <c r="T2784" s="2">
        <f t="shared" ref="T2784:U2784" si="1324">T2778</f>
        <v>2022</v>
      </c>
      <c r="U2784" s="2">
        <f t="shared" si="1324"/>
        <v>2023</v>
      </c>
      <c r="W2784" s="1"/>
      <c r="X2784" s="1"/>
      <c r="Y2784" s="1"/>
    </row>
    <row r="2785" spans="6:25">
      <c r="G2785" s="62" t="s">
        <v>10</v>
      </c>
      <c r="H2785" s="57"/>
      <c r="I2785" s="38">
        <f>IF($J109= "Eligible", I2782 * 'Facility Detail'!$G$3257, 0 )</f>
        <v>0</v>
      </c>
      <c r="J2785" s="11">
        <f>IF($J109= "Eligible", J2782 * 'Facility Detail'!$G$3257, 0 )</f>
        <v>0</v>
      </c>
      <c r="K2785" s="11">
        <f>IF($J109= "Eligible", K2782 * 'Facility Detail'!$G$3257, 0 )</f>
        <v>0</v>
      </c>
      <c r="L2785" s="11">
        <f>IF($J109= "Eligible", L2782 * 'Facility Detail'!$G$3257, 0 )</f>
        <v>0</v>
      </c>
      <c r="M2785" s="11">
        <f>IF($J109= "Eligible", M2782 * 'Facility Detail'!$G$3257, 0 )</f>
        <v>0</v>
      </c>
      <c r="N2785" s="11">
        <f>IF($J109= "Eligible", N2782 * 'Facility Detail'!$G$3257, 0 )</f>
        <v>0</v>
      </c>
      <c r="O2785" s="11">
        <f>IF($J109= "Eligible", O2782 * 'Facility Detail'!$G$3257, 0 )</f>
        <v>0</v>
      </c>
      <c r="P2785" s="11">
        <f>IF($J109= "Eligible", P2782 * 'Facility Detail'!$G$3257, 0 )</f>
        <v>0</v>
      </c>
      <c r="Q2785" s="11">
        <f>IF($J109= "Eligible", Q2782 * 'Facility Detail'!$G$3257, 0 )</f>
        <v>0</v>
      </c>
      <c r="R2785" s="11">
        <f>IF($J109= "Eligible", R2782 * 'Facility Detail'!$G$3257, 0 )</f>
        <v>0</v>
      </c>
      <c r="S2785" s="11">
        <f>IF($J109= "Eligible", S2782 * 'Facility Detail'!$G$3257, 0 )</f>
        <v>0</v>
      </c>
      <c r="T2785" s="11">
        <f>IF($J109= "Eligible", T2782 * 'Facility Detail'!$G$3257, 0 )</f>
        <v>0</v>
      </c>
      <c r="U2785" s="223">
        <f>IF($J109= "Eligible", U2782 * 'Facility Detail'!$G$3257, 0 )</f>
        <v>0</v>
      </c>
      <c r="W2785" s="1"/>
      <c r="X2785" s="1"/>
      <c r="Y2785" s="1"/>
    </row>
    <row r="2786" spans="6:25">
      <c r="G2786" s="62" t="s">
        <v>6</v>
      </c>
      <c r="H2786" s="57"/>
      <c r="I2786" s="39">
        <f t="shared" ref="I2786:U2786" si="1325">IF($K109= "Eligible", I2782, 0 )</f>
        <v>0</v>
      </c>
      <c r="J2786" s="193">
        <f t="shared" si="1325"/>
        <v>0</v>
      </c>
      <c r="K2786" s="193">
        <f t="shared" si="1325"/>
        <v>0</v>
      </c>
      <c r="L2786" s="193">
        <f t="shared" si="1325"/>
        <v>0</v>
      </c>
      <c r="M2786" s="193">
        <f t="shared" si="1325"/>
        <v>0</v>
      </c>
      <c r="N2786" s="193">
        <f t="shared" si="1325"/>
        <v>0</v>
      </c>
      <c r="O2786" s="193">
        <f t="shared" si="1325"/>
        <v>0</v>
      </c>
      <c r="P2786" s="193">
        <f t="shared" si="1325"/>
        <v>0</v>
      </c>
      <c r="Q2786" s="193">
        <f t="shared" si="1325"/>
        <v>0</v>
      </c>
      <c r="R2786" s="193">
        <f t="shared" si="1325"/>
        <v>0</v>
      </c>
      <c r="S2786" s="193">
        <f t="shared" si="1325"/>
        <v>0</v>
      </c>
      <c r="T2786" s="193">
        <f t="shared" si="1325"/>
        <v>0</v>
      </c>
      <c r="U2786" s="224">
        <f t="shared" si="1325"/>
        <v>0</v>
      </c>
      <c r="W2786" s="1"/>
      <c r="X2786" s="1"/>
      <c r="Y2786" s="1"/>
    </row>
    <row r="2787" spans="6:25">
      <c r="G2787" s="26" t="s">
        <v>120</v>
      </c>
      <c r="H2787" s="6"/>
      <c r="I2787" s="32">
        <f>SUM(I2785:I2786)</f>
        <v>0</v>
      </c>
      <c r="J2787" s="33">
        <f t="shared" ref="J2787:S2787" si="1326">SUM(J2785:J2786)</f>
        <v>0</v>
      </c>
      <c r="K2787" s="33">
        <f t="shared" si="1326"/>
        <v>0</v>
      </c>
      <c r="L2787" s="33">
        <f t="shared" si="1326"/>
        <v>0</v>
      </c>
      <c r="M2787" s="33">
        <f t="shared" si="1326"/>
        <v>0</v>
      </c>
      <c r="N2787" s="33">
        <f t="shared" si="1326"/>
        <v>0</v>
      </c>
      <c r="O2787" s="33">
        <f t="shared" si="1326"/>
        <v>0</v>
      </c>
      <c r="P2787" s="33">
        <f t="shared" si="1326"/>
        <v>0</v>
      </c>
      <c r="Q2787" s="33">
        <f t="shared" si="1326"/>
        <v>0</v>
      </c>
      <c r="R2787" s="33">
        <f t="shared" si="1326"/>
        <v>0</v>
      </c>
      <c r="S2787" s="33">
        <f t="shared" si="1326"/>
        <v>0</v>
      </c>
      <c r="T2787" s="33">
        <f t="shared" ref="T2787:U2787" si="1327">SUM(T2785:T2786)</f>
        <v>0</v>
      </c>
      <c r="U2787" s="33">
        <f t="shared" si="1327"/>
        <v>0</v>
      </c>
      <c r="W2787" s="1"/>
      <c r="X2787" s="1"/>
      <c r="Y2787" s="1"/>
    </row>
    <row r="2788" spans="6:25">
      <c r="I2788" s="31"/>
      <c r="J2788" s="24"/>
      <c r="K2788" s="24"/>
      <c r="L2788" s="24"/>
      <c r="M2788" s="24"/>
      <c r="N2788" s="24"/>
      <c r="O2788" s="24"/>
      <c r="P2788" s="24"/>
      <c r="Q2788" s="24"/>
      <c r="R2788" s="24"/>
      <c r="S2788" s="24"/>
      <c r="T2788" s="24"/>
      <c r="U2788" s="24"/>
      <c r="W2788" s="1"/>
      <c r="X2788" s="1"/>
      <c r="Y2788" s="1"/>
    </row>
    <row r="2789" spans="6:25" ht="18.75">
      <c r="F2789" s="9" t="s">
        <v>30</v>
      </c>
      <c r="I2789" s="2">
        <f>'Facility Detail'!$G$3260</f>
        <v>2011</v>
      </c>
      <c r="J2789" s="2">
        <f>I2789+1</f>
        <v>2012</v>
      </c>
      <c r="K2789" s="2">
        <f>J2789+1</f>
        <v>2013</v>
      </c>
      <c r="L2789" s="2">
        <f t="shared" ref="L2789:S2789" si="1328">L2778</f>
        <v>2014</v>
      </c>
      <c r="M2789" s="2">
        <f t="shared" si="1328"/>
        <v>2015</v>
      </c>
      <c r="N2789" s="2">
        <f t="shared" si="1328"/>
        <v>2016</v>
      </c>
      <c r="O2789" s="2">
        <f t="shared" si="1328"/>
        <v>2017</v>
      </c>
      <c r="P2789" s="2">
        <f t="shared" si="1328"/>
        <v>2018</v>
      </c>
      <c r="Q2789" s="2">
        <f t="shared" si="1328"/>
        <v>2019</v>
      </c>
      <c r="R2789" s="2">
        <f t="shared" si="1328"/>
        <v>2020</v>
      </c>
      <c r="S2789" s="2">
        <f t="shared" si="1328"/>
        <v>2021</v>
      </c>
      <c r="T2789" s="2">
        <f t="shared" ref="T2789:U2789" si="1329">T2778</f>
        <v>2022</v>
      </c>
      <c r="U2789" s="2">
        <f t="shared" si="1329"/>
        <v>2023</v>
      </c>
      <c r="W2789" s="1"/>
      <c r="X2789" s="1"/>
      <c r="Y2789" s="1"/>
    </row>
    <row r="2790" spans="6:25">
      <c r="G2790" s="62" t="s">
        <v>47</v>
      </c>
      <c r="H2790" s="57"/>
      <c r="I2790" s="71"/>
      <c r="J2790" s="72"/>
      <c r="K2790" s="72"/>
      <c r="L2790" s="72"/>
      <c r="M2790" s="72"/>
      <c r="N2790" s="72"/>
      <c r="O2790" s="72"/>
      <c r="P2790" s="72"/>
      <c r="Q2790" s="72"/>
      <c r="R2790" s="72"/>
      <c r="S2790" s="72"/>
      <c r="T2790" s="72"/>
      <c r="U2790" s="73"/>
      <c r="W2790" s="1"/>
      <c r="X2790" s="1"/>
      <c r="Y2790" s="1"/>
    </row>
    <row r="2791" spans="6:25">
      <c r="G2791" s="63" t="s">
        <v>23</v>
      </c>
      <c r="H2791" s="135"/>
      <c r="I2791" s="74"/>
      <c r="J2791" s="75"/>
      <c r="K2791" s="75"/>
      <c r="L2791" s="75"/>
      <c r="M2791" s="75"/>
      <c r="N2791" s="75"/>
      <c r="O2791" s="75"/>
      <c r="P2791" s="75"/>
      <c r="Q2791" s="75"/>
      <c r="R2791" s="75"/>
      <c r="S2791" s="75"/>
      <c r="T2791" s="75"/>
      <c r="U2791" s="76"/>
      <c r="W2791" s="1"/>
      <c r="X2791" s="1"/>
      <c r="Y2791" s="1"/>
    </row>
    <row r="2792" spans="6:25">
      <c r="G2792" s="63" t="s">
        <v>89</v>
      </c>
      <c r="H2792" s="134"/>
      <c r="I2792" s="43"/>
      <c r="J2792" s="44"/>
      <c r="K2792" s="44"/>
      <c r="L2792" s="44"/>
      <c r="M2792" s="44"/>
      <c r="N2792" s="44"/>
      <c r="O2792" s="44"/>
      <c r="P2792" s="44"/>
      <c r="Q2792" s="44"/>
      <c r="R2792" s="44"/>
      <c r="S2792" s="44"/>
      <c r="T2792" s="44"/>
      <c r="U2792" s="45"/>
      <c r="W2792" s="1"/>
      <c r="X2792" s="1"/>
      <c r="Y2792" s="1"/>
    </row>
    <row r="2793" spans="6:25">
      <c r="G2793" s="26" t="s">
        <v>90</v>
      </c>
      <c r="I2793" s="7">
        <f t="shared" ref="I2793:S2793" si="1330">SUM(I2790:I2792)</f>
        <v>0</v>
      </c>
      <c r="J2793" s="7">
        <f t="shared" si="1330"/>
        <v>0</v>
      </c>
      <c r="K2793" s="7">
        <f t="shared" si="1330"/>
        <v>0</v>
      </c>
      <c r="L2793" s="7">
        <f t="shared" si="1330"/>
        <v>0</v>
      </c>
      <c r="M2793" s="7">
        <f t="shared" si="1330"/>
        <v>0</v>
      </c>
      <c r="N2793" s="7">
        <f t="shared" si="1330"/>
        <v>0</v>
      </c>
      <c r="O2793" s="7">
        <f t="shared" si="1330"/>
        <v>0</v>
      </c>
      <c r="P2793" s="7">
        <f t="shared" si="1330"/>
        <v>0</v>
      </c>
      <c r="Q2793" s="7">
        <f t="shared" si="1330"/>
        <v>0</v>
      </c>
      <c r="R2793" s="7">
        <f t="shared" si="1330"/>
        <v>0</v>
      </c>
      <c r="S2793" s="7">
        <f t="shared" si="1330"/>
        <v>0</v>
      </c>
      <c r="T2793" s="7">
        <f t="shared" ref="T2793:U2793" si="1331">SUM(T2790:T2792)</f>
        <v>0</v>
      </c>
      <c r="U2793" s="7">
        <f t="shared" si="1331"/>
        <v>0</v>
      </c>
      <c r="W2793" s="1"/>
      <c r="X2793" s="1"/>
      <c r="Y2793" s="1"/>
    </row>
    <row r="2794" spans="6:25">
      <c r="G2794" s="6"/>
      <c r="I2794" s="7"/>
      <c r="J2794" s="7"/>
      <c r="K2794" s="7"/>
      <c r="L2794" s="23"/>
      <c r="M2794" s="23"/>
      <c r="N2794" s="23"/>
      <c r="O2794" s="23"/>
      <c r="P2794" s="23"/>
      <c r="Q2794" s="23"/>
      <c r="R2794" s="23"/>
      <c r="S2794" s="23"/>
      <c r="T2794" s="23"/>
      <c r="U2794" s="23"/>
      <c r="W2794" s="1"/>
      <c r="X2794" s="1"/>
      <c r="Y2794" s="1"/>
    </row>
    <row r="2795" spans="6:25" ht="18.75">
      <c r="F2795" s="9" t="s">
        <v>100</v>
      </c>
      <c r="I2795" s="2">
        <f>'Facility Detail'!$G$3260</f>
        <v>2011</v>
      </c>
      <c r="J2795" s="2">
        <f t="shared" ref="J2795" si="1332">I2795+1</f>
        <v>2012</v>
      </c>
      <c r="K2795" s="2">
        <f t="shared" ref="K2795" si="1333">J2795+1</f>
        <v>2013</v>
      </c>
      <c r="L2795" s="2">
        <f t="shared" ref="L2795" si="1334">K2795+1</f>
        <v>2014</v>
      </c>
      <c r="M2795" s="2">
        <f t="shared" ref="M2795" si="1335">L2795+1</f>
        <v>2015</v>
      </c>
      <c r="N2795" s="2">
        <f t="shared" ref="N2795" si="1336">M2795+1</f>
        <v>2016</v>
      </c>
      <c r="O2795" s="2">
        <f t="shared" ref="O2795" si="1337">N2795+1</f>
        <v>2017</v>
      </c>
      <c r="P2795" s="2">
        <f t="shared" ref="P2795" si="1338">O2795+1</f>
        <v>2018</v>
      </c>
      <c r="Q2795" s="2">
        <f t="shared" ref="Q2795" si="1339">P2795+1</f>
        <v>2019</v>
      </c>
      <c r="R2795" s="2">
        <f t="shared" ref="R2795" si="1340">Q2795+1</f>
        <v>2020</v>
      </c>
      <c r="S2795" s="2">
        <f>R2795+1</f>
        <v>2021</v>
      </c>
      <c r="T2795" s="2">
        <f>S2795+1</f>
        <v>2022</v>
      </c>
      <c r="U2795" s="2">
        <f>T2795+1</f>
        <v>2023</v>
      </c>
      <c r="W2795" s="1"/>
      <c r="X2795" s="1"/>
      <c r="Y2795" s="1"/>
    </row>
    <row r="2796" spans="6:25">
      <c r="G2796" s="62" t="s">
        <v>68</v>
      </c>
      <c r="I2796" s="3"/>
      <c r="J2796" s="46">
        <f>I2796</f>
        <v>0</v>
      </c>
      <c r="K2796" s="106"/>
      <c r="L2796" s="106"/>
      <c r="M2796" s="106"/>
      <c r="N2796" s="106"/>
      <c r="O2796" s="106"/>
      <c r="P2796" s="106"/>
      <c r="Q2796" s="106"/>
      <c r="R2796" s="106"/>
      <c r="S2796" s="106"/>
      <c r="T2796" s="217"/>
      <c r="U2796" s="47"/>
      <c r="W2796" s="1"/>
      <c r="X2796" s="1"/>
      <c r="Y2796" s="1"/>
    </row>
    <row r="2797" spans="6:25">
      <c r="G2797" s="62" t="s">
        <v>69</v>
      </c>
      <c r="I2797" s="127">
        <f>J2797</f>
        <v>0</v>
      </c>
      <c r="J2797" s="10"/>
      <c r="K2797" s="60"/>
      <c r="L2797" s="60"/>
      <c r="M2797" s="60"/>
      <c r="N2797" s="60"/>
      <c r="O2797" s="60"/>
      <c r="P2797" s="60"/>
      <c r="Q2797" s="60"/>
      <c r="R2797" s="60"/>
      <c r="S2797" s="60"/>
      <c r="T2797" s="218"/>
      <c r="U2797" s="128"/>
      <c r="W2797" s="1"/>
      <c r="X2797" s="1"/>
      <c r="Y2797" s="1"/>
    </row>
    <row r="2798" spans="6:25">
      <c r="G2798" s="62" t="s">
        <v>70</v>
      </c>
      <c r="I2798" s="48"/>
      <c r="J2798" s="10"/>
      <c r="K2798" s="56">
        <f>J2798</f>
        <v>0</v>
      </c>
      <c r="L2798" s="60"/>
      <c r="M2798" s="60"/>
      <c r="N2798" s="60"/>
      <c r="O2798" s="60"/>
      <c r="P2798" s="60"/>
      <c r="Q2798" s="60"/>
      <c r="R2798" s="60"/>
      <c r="S2798" s="60"/>
      <c r="T2798" s="218"/>
      <c r="U2798" s="128"/>
      <c r="W2798" s="1"/>
      <c r="X2798" s="1"/>
      <c r="Y2798" s="1"/>
    </row>
    <row r="2799" spans="6:25">
      <c r="G2799" s="62" t="s">
        <v>71</v>
      </c>
      <c r="I2799" s="48"/>
      <c r="J2799" s="56">
        <f>K2799</f>
        <v>0</v>
      </c>
      <c r="K2799" s="10"/>
      <c r="L2799" s="60"/>
      <c r="M2799" s="60"/>
      <c r="N2799" s="60"/>
      <c r="O2799" s="60"/>
      <c r="P2799" s="60"/>
      <c r="Q2799" s="60"/>
      <c r="R2799" s="60"/>
      <c r="S2799" s="60"/>
      <c r="T2799" s="218"/>
      <c r="U2799" s="128"/>
      <c r="W2799" s="1"/>
      <c r="X2799" s="1"/>
      <c r="Y2799" s="1"/>
    </row>
    <row r="2800" spans="6:25">
      <c r="G2800" s="62" t="s">
        <v>170</v>
      </c>
      <c r="I2800" s="48"/>
      <c r="J2800" s="118"/>
      <c r="K2800" s="10"/>
      <c r="L2800" s="119">
        <f>K2800</f>
        <v>0</v>
      </c>
      <c r="M2800" s="60"/>
      <c r="N2800" s="60"/>
      <c r="O2800" s="60"/>
      <c r="P2800" s="60"/>
      <c r="Q2800" s="60"/>
      <c r="R2800" s="60"/>
      <c r="S2800" s="60"/>
      <c r="T2800" s="146"/>
      <c r="U2800" s="122"/>
      <c r="W2800" s="1"/>
      <c r="X2800" s="1"/>
      <c r="Y2800" s="1"/>
    </row>
    <row r="2801" spans="7:25">
      <c r="G2801" s="62" t="s">
        <v>171</v>
      </c>
      <c r="I2801" s="48"/>
      <c r="J2801" s="118"/>
      <c r="K2801" s="56">
        <f>L2801</f>
        <v>0</v>
      </c>
      <c r="L2801" s="10"/>
      <c r="M2801" s="60"/>
      <c r="N2801" s="60"/>
      <c r="O2801" s="60" t="s">
        <v>169</v>
      </c>
      <c r="P2801" s="60" t="s">
        <v>169</v>
      </c>
      <c r="Q2801" s="60"/>
      <c r="R2801" s="60"/>
      <c r="S2801" s="60"/>
      <c r="T2801" s="146"/>
      <c r="U2801" s="122"/>
      <c r="W2801" s="1"/>
      <c r="X2801" s="1"/>
      <c r="Y2801" s="1"/>
    </row>
    <row r="2802" spans="7:25">
      <c r="G2802" s="62" t="s">
        <v>172</v>
      </c>
      <c r="I2802" s="48"/>
      <c r="J2802" s="118"/>
      <c r="K2802" s="118"/>
      <c r="L2802" s="10"/>
      <c r="M2802" s="119">
        <f>L2802</f>
        <v>0</v>
      </c>
      <c r="N2802" s="118"/>
      <c r="O2802" s="60"/>
      <c r="P2802" s="60"/>
      <c r="Q2802" s="60"/>
      <c r="R2802" s="60"/>
      <c r="S2802" s="60"/>
      <c r="T2802" s="146"/>
      <c r="U2802" s="122"/>
      <c r="W2802" s="1"/>
      <c r="X2802" s="1"/>
      <c r="Y2802" s="1"/>
    </row>
    <row r="2803" spans="7:25">
      <c r="G2803" s="62" t="s">
        <v>173</v>
      </c>
      <c r="I2803" s="48"/>
      <c r="J2803" s="118"/>
      <c r="K2803" s="118"/>
      <c r="L2803" s="56">
        <f>M2803</f>
        <v>0</v>
      </c>
      <c r="M2803" s="10"/>
      <c r="N2803" s="118"/>
      <c r="O2803" s="60"/>
      <c r="P2803" s="60"/>
      <c r="Q2803" s="60"/>
      <c r="R2803" s="60"/>
      <c r="S2803" s="60"/>
      <c r="T2803" s="146"/>
      <c r="U2803" s="122"/>
      <c r="W2803" s="1"/>
      <c r="X2803" s="1"/>
      <c r="Y2803" s="1"/>
    </row>
    <row r="2804" spans="7:25">
      <c r="G2804" s="62" t="s">
        <v>174</v>
      </c>
      <c r="I2804" s="48"/>
      <c r="J2804" s="118"/>
      <c r="K2804" s="118"/>
      <c r="L2804" s="118"/>
      <c r="M2804" s="10">
        <f>M2782</f>
        <v>0</v>
      </c>
      <c r="N2804" s="119">
        <f>M2804</f>
        <v>0</v>
      </c>
      <c r="O2804" s="60"/>
      <c r="P2804" s="60"/>
      <c r="Q2804" s="60"/>
      <c r="R2804" s="60"/>
      <c r="S2804" s="60"/>
      <c r="T2804" s="146"/>
      <c r="U2804" s="122"/>
      <c r="W2804" s="1"/>
      <c r="X2804" s="1"/>
      <c r="Y2804" s="1"/>
    </row>
    <row r="2805" spans="7:25">
      <c r="G2805" s="62" t="s">
        <v>175</v>
      </c>
      <c r="I2805" s="48"/>
      <c r="J2805" s="118"/>
      <c r="K2805" s="118"/>
      <c r="L2805" s="118"/>
      <c r="M2805" s="56">
        <f>N2805</f>
        <v>0</v>
      </c>
      <c r="N2805" s="10"/>
      <c r="O2805" s="60"/>
      <c r="P2805" s="60"/>
      <c r="Q2805" s="60"/>
      <c r="R2805" s="60"/>
      <c r="S2805" s="60"/>
      <c r="T2805" s="146"/>
      <c r="U2805" s="122"/>
      <c r="W2805" s="1"/>
      <c r="X2805" s="1"/>
      <c r="Y2805" s="1"/>
    </row>
    <row r="2806" spans="7:25">
      <c r="G2806" s="62" t="s">
        <v>176</v>
      </c>
      <c r="I2806" s="48"/>
      <c r="J2806" s="118"/>
      <c r="K2806" s="118"/>
      <c r="L2806" s="118"/>
      <c r="M2806" s="118"/>
      <c r="N2806" s="149">
        <f>N2782</f>
        <v>0</v>
      </c>
      <c r="O2806" s="120">
        <f>N2806</f>
        <v>0</v>
      </c>
      <c r="P2806" s="60"/>
      <c r="Q2806" s="60"/>
      <c r="R2806" s="60"/>
      <c r="S2806" s="60"/>
      <c r="T2806" s="146"/>
      <c r="U2806" s="122"/>
      <c r="W2806" s="1"/>
      <c r="X2806" s="1"/>
      <c r="Y2806" s="1"/>
    </row>
    <row r="2807" spans="7:25">
      <c r="G2807" s="62" t="s">
        <v>167</v>
      </c>
      <c r="I2807" s="48"/>
      <c r="J2807" s="118"/>
      <c r="K2807" s="118"/>
      <c r="L2807" s="118"/>
      <c r="M2807" s="118"/>
      <c r="N2807" s="150"/>
      <c r="O2807" s="121"/>
      <c r="P2807" s="60"/>
      <c r="Q2807" s="60"/>
      <c r="R2807" s="60"/>
      <c r="S2807" s="60"/>
      <c r="T2807" s="146"/>
      <c r="U2807" s="122"/>
      <c r="W2807" s="1"/>
      <c r="X2807" s="1"/>
      <c r="Y2807" s="1"/>
    </row>
    <row r="2808" spans="7:25">
      <c r="G2808" s="62" t="s">
        <v>168</v>
      </c>
      <c r="I2808" s="48"/>
      <c r="J2808" s="118"/>
      <c r="K2808" s="118"/>
      <c r="L2808" s="118"/>
      <c r="M2808" s="118"/>
      <c r="N2808" s="118"/>
      <c r="O2808" s="121">
        <v>0</v>
      </c>
      <c r="P2808" s="120">
        <f>O2808</f>
        <v>0</v>
      </c>
      <c r="Q2808" s="60"/>
      <c r="R2808" s="60"/>
      <c r="S2808" s="60"/>
      <c r="T2808" s="146"/>
      <c r="U2808" s="122"/>
      <c r="W2808" s="1"/>
      <c r="X2808" s="1"/>
      <c r="Y2808" s="1"/>
    </row>
    <row r="2809" spans="7:25">
      <c r="G2809" s="62" t="s">
        <v>185</v>
      </c>
      <c r="I2809" s="48"/>
      <c r="J2809" s="118"/>
      <c r="K2809" s="118"/>
      <c r="L2809" s="118"/>
      <c r="M2809" s="118"/>
      <c r="N2809" s="118"/>
      <c r="O2809" s="120"/>
      <c r="P2809" s="121"/>
      <c r="Q2809" s="60"/>
      <c r="R2809" s="60"/>
      <c r="S2809" s="60"/>
      <c r="T2809" s="146"/>
      <c r="U2809" s="122"/>
      <c r="W2809" s="1"/>
      <c r="X2809" s="1"/>
      <c r="Y2809" s="1"/>
    </row>
    <row r="2810" spans="7:25">
      <c r="G2810" s="62" t="s">
        <v>186</v>
      </c>
      <c r="I2810" s="48"/>
      <c r="J2810" s="118"/>
      <c r="K2810" s="118"/>
      <c r="L2810" s="118"/>
      <c r="M2810" s="118"/>
      <c r="N2810" s="118"/>
      <c r="O2810" s="118"/>
      <c r="P2810" s="121">
        <v>0</v>
      </c>
      <c r="Q2810" s="56">
        <f>P2810</f>
        <v>0</v>
      </c>
      <c r="R2810" s="60"/>
      <c r="S2810" s="60"/>
      <c r="T2810" s="146"/>
      <c r="U2810" s="122"/>
      <c r="W2810" s="1"/>
      <c r="X2810" s="1"/>
      <c r="Y2810" s="1"/>
    </row>
    <row r="2811" spans="7:25">
      <c r="G2811" s="62" t="s">
        <v>187</v>
      </c>
      <c r="I2811" s="48"/>
      <c r="J2811" s="118"/>
      <c r="K2811" s="118"/>
      <c r="L2811" s="118"/>
      <c r="M2811" s="118"/>
      <c r="N2811" s="118"/>
      <c r="O2811" s="118"/>
      <c r="P2811" s="120"/>
      <c r="Q2811" s="306"/>
      <c r="R2811" s="60"/>
      <c r="S2811" s="60"/>
      <c r="T2811" s="146"/>
      <c r="U2811" s="122"/>
      <c r="W2811" s="1"/>
      <c r="X2811" s="1"/>
      <c r="Y2811" s="1"/>
    </row>
    <row r="2812" spans="7:25">
      <c r="G2812" s="62" t="s">
        <v>188</v>
      </c>
      <c r="I2812" s="48"/>
      <c r="J2812" s="118"/>
      <c r="K2812" s="118"/>
      <c r="L2812" s="118"/>
      <c r="M2812" s="118"/>
      <c r="N2812" s="118"/>
      <c r="O2812" s="118"/>
      <c r="P2812" s="118"/>
      <c r="Q2812" s="121"/>
      <c r="R2812" s="151">
        <f>P2812</f>
        <v>0</v>
      </c>
      <c r="S2812" s="60">
        <f>Q2812</f>
        <v>0</v>
      </c>
      <c r="T2812" s="146">
        <f>R2812</f>
        <v>0</v>
      </c>
      <c r="U2812" s="122">
        <f>S2812</f>
        <v>0</v>
      </c>
      <c r="W2812" s="1"/>
      <c r="X2812" s="1"/>
      <c r="Y2812" s="1"/>
    </row>
    <row r="2813" spans="7:25">
      <c r="G2813" s="62" t="s">
        <v>189</v>
      </c>
      <c r="I2813" s="48"/>
      <c r="J2813" s="118"/>
      <c r="K2813" s="118"/>
      <c r="L2813" s="118"/>
      <c r="M2813" s="118"/>
      <c r="N2813" s="118"/>
      <c r="O2813" s="118"/>
      <c r="P2813" s="118"/>
      <c r="Q2813" s="151">
        <f>R2782</f>
        <v>0</v>
      </c>
      <c r="R2813" s="173">
        <f>Q2813</f>
        <v>0</v>
      </c>
      <c r="S2813" s="60"/>
      <c r="T2813" s="146"/>
      <c r="U2813" s="122"/>
      <c r="W2813" s="1"/>
      <c r="X2813" s="1"/>
      <c r="Y2813" s="1"/>
    </row>
    <row r="2814" spans="7:25">
      <c r="G2814" s="62" t="s">
        <v>190</v>
      </c>
      <c r="I2814" s="48"/>
      <c r="J2814" s="118"/>
      <c r="K2814" s="118"/>
      <c r="L2814" s="118"/>
      <c r="M2814" s="118"/>
      <c r="N2814" s="118"/>
      <c r="O2814" s="118"/>
      <c r="P2814" s="118"/>
      <c r="Q2814" s="118"/>
      <c r="R2814" s="173"/>
      <c r="S2814" s="151">
        <f>R2814</f>
        <v>0</v>
      </c>
      <c r="T2814" s="146"/>
      <c r="U2814" s="122"/>
      <c r="W2814" s="1"/>
      <c r="X2814" s="1"/>
      <c r="Y2814" s="1"/>
    </row>
    <row r="2815" spans="7:25">
      <c r="G2815" s="62" t="s">
        <v>199</v>
      </c>
      <c r="I2815" s="48"/>
      <c r="J2815" s="118"/>
      <c r="K2815" s="118"/>
      <c r="L2815" s="118"/>
      <c r="M2815" s="118"/>
      <c r="N2815" s="118"/>
      <c r="O2815" s="118"/>
      <c r="P2815" s="118"/>
      <c r="Q2815" s="118"/>
      <c r="R2815" s="120"/>
      <c r="S2815" s="173">
        <v>0</v>
      </c>
      <c r="T2815" s="146"/>
      <c r="U2815" s="122"/>
      <c r="W2815" s="1"/>
      <c r="X2815" s="1"/>
      <c r="Y2815" s="1"/>
    </row>
    <row r="2816" spans="7:25">
      <c r="G2816" s="62" t="s">
        <v>200</v>
      </c>
      <c r="I2816" s="48"/>
      <c r="J2816" s="118"/>
      <c r="K2816" s="118"/>
      <c r="L2816" s="118"/>
      <c r="M2816" s="118"/>
      <c r="N2816" s="118"/>
      <c r="O2816" s="118"/>
      <c r="P2816" s="118"/>
      <c r="Q2816" s="118"/>
      <c r="R2816" s="118"/>
      <c r="S2816" s="173">
        <v>0</v>
      </c>
      <c r="T2816" s="151">
        <f>S2816</f>
        <v>0</v>
      </c>
      <c r="U2816" s="122"/>
      <c r="W2816" s="1"/>
      <c r="X2816" s="1"/>
      <c r="Y2816" s="1"/>
    </row>
    <row r="2817" spans="2:25">
      <c r="G2817" s="62" t="s">
        <v>308</v>
      </c>
      <c r="I2817" s="48"/>
      <c r="J2817" s="118"/>
      <c r="K2817" s="118"/>
      <c r="L2817" s="118"/>
      <c r="M2817" s="118"/>
      <c r="N2817" s="118"/>
      <c r="O2817" s="118"/>
      <c r="P2817" s="118"/>
      <c r="Q2817" s="118"/>
      <c r="R2817" s="118"/>
      <c r="S2817" s="120">
        <f>T2817</f>
        <v>0</v>
      </c>
      <c r="T2817" s="173">
        <v>0</v>
      </c>
      <c r="U2817" s="122"/>
      <c r="W2817" s="1"/>
      <c r="X2817" s="1"/>
      <c r="Y2817" s="1"/>
    </row>
    <row r="2818" spans="2:25">
      <c r="G2818" s="62" t="s">
        <v>307</v>
      </c>
      <c r="I2818" s="114"/>
      <c r="J2818" s="107"/>
      <c r="K2818" s="107"/>
      <c r="L2818" s="107"/>
      <c r="M2818" s="107"/>
      <c r="N2818" s="107"/>
      <c r="O2818" s="107"/>
      <c r="P2818" s="107"/>
      <c r="Q2818" s="107"/>
      <c r="R2818" s="107"/>
      <c r="S2818" s="107"/>
      <c r="T2818" s="173">
        <v>0</v>
      </c>
      <c r="U2818" s="456">
        <f>T2818</f>
        <v>0</v>
      </c>
      <c r="W2818" s="1"/>
      <c r="X2818" s="1"/>
      <c r="Y2818" s="1"/>
    </row>
    <row r="2819" spans="2:25">
      <c r="G2819" s="62" t="s">
        <v>318</v>
      </c>
      <c r="I2819" s="114"/>
      <c r="J2819" s="107"/>
      <c r="K2819" s="107"/>
      <c r="L2819" s="107"/>
      <c r="M2819" s="107"/>
      <c r="N2819" s="107"/>
      <c r="O2819" s="107"/>
      <c r="P2819" s="107"/>
      <c r="Q2819" s="107"/>
      <c r="R2819" s="107"/>
      <c r="S2819" s="107"/>
      <c r="T2819" s="120">
        <f>U2819</f>
        <v>0</v>
      </c>
      <c r="U2819" s="457">
        <v>0</v>
      </c>
      <c r="W2819" s="1"/>
      <c r="X2819" s="1"/>
      <c r="Y2819" s="1"/>
    </row>
    <row r="2820" spans="2:25">
      <c r="G2820" s="62" t="s">
        <v>319</v>
      </c>
      <c r="I2820" s="49"/>
      <c r="J2820" s="194"/>
      <c r="K2820" s="194"/>
      <c r="L2820" s="194"/>
      <c r="M2820" s="194"/>
      <c r="N2820" s="194"/>
      <c r="O2820" s="194"/>
      <c r="P2820" s="194"/>
      <c r="Q2820" s="194"/>
      <c r="R2820" s="194"/>
      <c r="S2820" s="194"/>
      <c r="T2820" s="194"/>
      <c r="U2820" s="458">
        <v>0</v>
      </c>
      <c r="W2820" s="1"/>
      <c r="X2820" s="1"/>
      <c r="Y2820" s="1"/>
    </row>
    <row r="2821" spans="2:25">
      <c r="B2821" s="1" t="s">
        <v>302</v>
      </c>
      <c r="G2821" s="26" t="s">
        <v>17</v>
      </c>
      <c r="I2821" s="7">
        <f xml:space="preserve"> I2797 - I2796</f>
        <v>0</v>
      </c>
      <c r="J2821" s="7">
        <f xml:space="preserve"> J2796 + J2799 - J2798 - J2797</f>
        <v>0</v>
      </c>
      <c r="K2821" s="7">
        <f>K2798 - K2799 -K2800</f>
        <v>0</v>
      </c>
      <c r="L2821" s="7">
        <f>L2800-L2801-L2802</f>
        <v>0</v>
      </c>
      <c r="M2821" s="7">
        <f>M2802-M2803-M2804</f>
        <v>0</v>
      </c>
      <c r="N2821" s="7">
        <f>N2804-N2805-N2806</f>
        <v>0</v>
      </c>
      <c r="O2821" s="7">
        <f>O2806-O2807-O2808</f>
        <v>0</v>
      </c>
      <c r="P2821" s="154">
        <f>P2808-P2809-P2810</f>
        <v>0</v>
      </c>
      <c r="Q2821" s="154">
        <f>Q2810-Q2811-Q2812</f>
        <v>0</v>
      </c>
      <c r="R2821" s="154">
        <f>R2808</f>
        <v>0</v>
      </c>
      <c r="S2821" s="7">
        <f>S2814-S2815+S2816-S2817</f>
        <v>0</v>
      </c>
      <c r="T2821" s="7">
        <f>T2816-T2817-T2818+T2819</f>
        <v>0</v>
      </c>
      <c r="U2821" s="7">
        <f>U2818-U2819-U2820</f>
        <v>0</v>
      </c>
      <c r="W2821" s="1"/>
      <c r="X2821" s="1"/>
      <c r="Y2821" s="1"/>
    </row>
    <row r="2822" spans="2:25">
      <c r="G2822" s="6"/>
      <c r="I2822" s="154"/>
      <c r="J2822" s="154"/>
      <c r="K2822" s="154"/>
      <c r="L2822" s="154"/>
      <c r="M2822" s="154"/>
      <c r="N2822" s="154"/>
      <c r="O2822" s="154"/>
      <c r="P2822" s="154"/>
      <c r="Q2822" s="154"/>
      <c r="R2822" s="154"/>
      <c r="S2822" s="297"/>
      <c r="T2822" s="154"/>
      <c r="U2822" s="154"/>
      <c r="W2822" s="1"/>
      <c r="X2822" s="1"/>
      <c r="Y2822" s="1"/>
    </row>
    <row r="2823" spans="2:25">
      <c r="G2823" s="26" t="s">
        <v>12</v>
      </c>
      <c r="H2823" s="57"/>
      <c r="I2823" s="155"/>
      <c r="J2823" s="156"/>
      <c r="K2823" s="156"/>
      <c r="L2823" s="156"/>
      <c r="M2823" s="156"/>
      <c r="N2823" s="156"/>
      <c r="O2823" s="156"/>
      <c r="P2823" s="156"/>
      <c r="Q2823" s="156"/>
      <c r="R2823" s="156"/>
      <c r="S2823" s="156"/>
      <c r="T2823" s="156"/>
      <c r="U2823" s="267"/>
      <c r="W2823" s="1"/>
      <c r="X2823" s="1"/>
      <c r="Y2823" s="1"/>
    </row>
    <row r="2824" spans="2:25">
      <c r="G2824" s="6"/>
      <c r="I2824" s="154"/>
      <c r="J2824" s="154"/>
      <c r="K2824" s="154"/>
      <c r="L2824" s="154"/>
      <c r="M2824" s="154"/>
      <c r="N2824" s="154"/>
      <c r="O2824" s="154"/>
      <c r="P2824" s="154"/>
      <c r="Q2824" s="154"/>
      <c r="R2824" s="154"/>
      <c r="S2824" s="154"/>
      <c r="T2824" s="154"/>
      <c r="U2824" s="154"/>
      <c r="W2824" s="1"/>
      <c r="X2824" s="1"/>
      <c r="Y2824" s="1"/>
    </row>
    <row r="2825" spans="2:25" ht="18.75">
      <c r="C2825" s="1" t="s">
        <v>302</v>
      </c>
      <c r="D2825" s="1" t="s">
        <v>303</v>
      </c>
      <c r="E2825" s="1" t="s">
        <v>107</v>
      </c>
      <c r="F2825" s="9" t="s">
        <v>26</v>
      </c>
      <c r="H2825" s="57"/>
      <c r="I2825" s="157">
        <f t="shared" ref="I2825:S2825" si="1341" xml:space="preserve"> I2782 + I2787 - I2793 + I2821 + I2823</f>
        <v>0</v>
      </c>
      <c r="J2825" s="158">
        <f t="shared" si="1341"/>
        <v>0</v>
      </c>
      <c r="K2825" s="158">
        <f t="shared" si="1341"/>
        <v>0</v>
      </c>
      <c r="L2825" s="158">
        <f t="shared" si="1341"/>
        <v>0</v>
      </c>
      <c r="M2825" s="158">
        <f t="shared" si="1341"/>
        <v>0</v>
      </c>
      <c r="N2825" s="158">
        <f t="shared" si="1341"/>
        <v>0</v>
      </c>
      <c r="O2825" s="158">
        <f t="shared" si="1341"/>
        <v>0</v>
      </c>
      <c r="P2825" s="158">
        <f t="shared" si="1341"/>
        <v>0</v>
      </c>
      <c r="Q2825" s="158">
        <f t="shared" si="1341"/>
        <v>0</v>
      </c>
      <c r="R2825" s="158">
        <f t="shared" si="1341"/>
        <v>0</v>
      </c>
      <c r="S2825" s="298">
        <f t="shared" si="1341"/>
        <v>6557</v>
      </c>
      <c r="T2825" s="158">
        <f t="shared" ref="T2825:U2825" si="1342" xml:space="preserve"> T2782 + T2787 - T2793 + T2821 + T2823</f>
        <v>6838</v>
      </c>
      <c r="U2825" s="268">
        <f t="shared" si="1342"/>
        <v>6388</v>
      </c>
      <c r="W2825" s="1"/>
      <c r="X2825" s="1"/>
      <c r="Y2825" s="1"/>
    </row>
    <row r="2826" spans="2:25">
      <c r="G2826" s="6"/>
      <c r="I2826" s="7"/>
      <c r="J2826" s="7"/>
      <c r="K2826" s="7"/>
      <c r="L2826" s="23"/>
      <c r="M2826" s="23"/>
      <c r="N2826" s="23"/>
      <c r="O2826" s="23"/>
      <c r="P2826" s="23"/>
      <c r="Q2826" s="23"/>
      <c r="R2826" s="23"/>
      <c r="S2826" s="282"/>
      <c r="T2826" s="23"/>
      <c r="U2826" s="23"/>
      <c r="W2826" s="1"/>
      <c r="X2826" s="1"/>
      <c r="Y2826" s="1"/>
    </row>
    <row r="2827" spans="2:25" ht="15.75" thickBot="1">
      <c r="W2827" s="1"/>
      <c r="X2827" s="1"/>
      <c r="Y2827" s="1"/>
    </row>
    <row r="2828" spans="2:25">
      <c r="F2828" s="8"/>
      <c r="G2828" s="8"/>
      <c r="H2828" s="8"/>
      <c r="I2828" s="8"/>
      <c r="J2828" s="8"/>
      <c r="K2828" s="8"/>
      <c r="L2828" s="8"/>
      <c r="M2828" s="8"/>
      <c r="N2828" s="8"/>
      <c r="O2828" s="8"/>
      <c r="P2828" s="8"/>
      <c r="Q2828" s="8"/>
      <c r="R2828" s="8"/>
      <c r="S2828" s="290"/>
      <c r="T2828" s="8"/>
      <c r="U2828" s="8"/>
      <c r="W2828" s="1"/>
      <c r="X2828" s="1"/>
      <c r="Y2828" s="1"/>
    </row>
    <row r="2829" spans="2:25" ht="15.75" thickBot="1">
      <c r="W2829" s="1"/>
      <c r="X2829" s="1"/>
      <c r="Y2829" s="1"/>
    </row>
    <row r="2830" spans="2:25" ht="21.75" thickBot="1">
      <c r="F2830" s="13" t="s">
        <v>4</v>
      </c>
      <c r="G2830" s="13"/>
      <c r="H2830" s="196" t="str">
        <f>G61</f>
        <v>SPI Aberdeen - REC Only</v>
      </c>
      <c r="I2830" s="183"/>
      <c r="W2830" s="1"/>
      <c r="X2830" s="1"/>
      <c r="Y2830" s="1"/>
    </row>
    <row r="2831" spans="2:25">
      <c r="W2831" s="1"/>
      <c r="X2831" s="1"/>
      <c r="Y2831" s="1"/>
    </row>
    <row r="2832" spans="2:25" ht="18.75">
      <c r="F2832" s="9" t="s">
        <v>21</v>
      </c>
      <c r="G2832" s="9"/>
      <c r="I2832" s="2">
        <f>'Facility Detail'!$G$3260</f>
        <v>2011</v>
      </c>
      <c r="J2832" s="2">
        <f>I2832+1</f>
        <v>2012</v>
      </c>
      <c r="K2832" s="2">
        <f>J2832+1</f>
        <v>2013</v>
      </c>
      <c r="L2832" s="2">
        <f t="shared" ref="L2832:R2832" si="1343">K2832+1</f>
        <v>2014</v>
      </c>
      <c r="M2832" s="2">
        <f t="shared" si="1343"/>
        <v>2015</v>
      </c>
      <c r="N2832" s="2">
        <f t="shared" si="1343"/>
        <v>2016</v>
      </c>
      <c r="O2832" s="2">
        <f t="shared" si="1343"/>
        <v>2017</v>
      </c>
      <c r="P2832" s="2">
        <f t="shared" si="1343"/>
        <v>2018</v>
      </c>
      <c r="Q2832" s="2">
        <f t="shared" si="1343"/>
        <v>2019</v>
      </c>
      <c r="R2832" s="2">
        <f t="shared" si="1343"/>
        <v>2020</v>
      </c>
      <c r="S2832" s="2">
        <f>R2832+1</f>
        <v>2021</v>
      </c>
      <c r="T2832" s="2">
        <f>S2832+1</f>
        <v>2022</v>
      </c>
      <c r="U2832" s="2">
        <f>T2832+1</f>
        <v>2023</v>
      </c>
      <c r="W2832" s="1"/>
      <c r="X2832" s="1"/>
      <c r="Y2832" s="1"/>
    </row>
    <row r="2833" spans="1:25">
      <c r="G2833" s="62" t="str">
        <f>"Total MWh Produced / Purchased from " &amp; H2830</f>
        <v>Total MWh Produced / Purchased from SPI Aberdeen - REC Only</v>
      </c>
      <c r="H2833" s="57"/>
      <c r="I2833" s="3"/>
      <c r="J2833" s="4"/>
      <c r="K2833" s="4"/>
      <c r="L2833" s="4"/>
      <c r="M2833" s="4">
        <v>40000</v>
      </c>
      <c r="N2833" s="4"/>
      <c r="O2833" s="4"/>
      <c r="P2833" s="4"/>
      <c r="Q2833" s="4"/>
      <c r="R2833" s="4"/>
      <c r="S2833" s="4"/>
      <c r="T2833" s="4"/>
      <c r="U2833" s="5"/>
      <c r="W2833" s="1"/>
      <c r="X2833" s="1"/>
      <c r="Y2833" s="1"/>
    </row>
    <row r="2834" spans="1:25">
      <c r="G2834" s="62" t="s">
        <v>25</v>
      </c>
      <c r="H2834" s="57"/>
      <c r="I2834" s="269"/>
      <c r="J2834" s="41"/>
      <c r="K2834" s="41"/>
      <c r="L2834" s="41"/>
      <c r="M2834" s="41">
        <v>1</v>
      </c>
      <c r="N2834" s="41"/>
      <c r="O2834" s="41"/>
      <c r="P2834" s="41"/>
      <c r="Q2834" s="41"/>
      <c r="R2834" s="41"/>
      <c r="S2834" s="41"/>
      <c r="T2834" s="41"/>
      <c r="U2834" s="42"/>
      <c r="W2834" s="1"/>
      <c r="X2834" s="1"/>
      <c r="Y2834" s="1"/>
    </row>
    <row r="2835" spans="1:25">
      <c r="G2835" s="62" t="s">
        <v>20</v>
      </c>
      <c r="H2835" s="57"/>
      <c r="I2835" s="270"/>
      <c r="J2835" s="36"/>
      <c r="K2835" s="36"/>
      <c r="L2835" s="36"/>
      <c r="M2835" s="36">
        <v>1</v>
      </c>
      <c r="N2835" s="36"/>
      <c r="O2835" s="36"/>
      <c r="P2835" s="36"/>
      <c r="Q2835" s="36"/>
      <c r="R2835" s="36"/>
      <c r="S2835" s="36"/>
      <c r="T2835" s="36"/>
      <c r="U2835" s="37"/>
      <c r="W2835" s="1"/>
      <c r="X2835" s="1"/>
      <c r="Y2835" s="1"/>
    </row>
    <row r="2836" spans="1:25">
      <c r="A2836" s="1" t="s">
        <v>278</v>
      </c>
      <c r="G2836" s="26" t="s">
        <v>22</v>
      </c>
      <c r="H2836" s="6"/>
      <c r="I2836" s="30">
        <f xml:space="preserve"> I2833 * I2834 * I2835</f>
        <v>0</v>
      </c>
      <c r="J2836" s="30">
        <f xml:space="preserve"> J2833 * J2834 * J2835</f>
        <v>0</v>
      </c>
      <c r="K2836" s="30">
        <f xml:space="preserve"> K2833 * K2834 * K2835</f>
        <v>0</v>
      </c>
      <c r="L2836" s="30">
        <f t="shared" ref="L2836:S2836" si="1344" xml:space="preserve"> L2833 * L2834 * L2835</f>
        <v>0</v>
      </c>
      <c r="M2836" s="30">
        <v>40000</v>
      </c>
      <c r="N2836" s="161">
        <f t="shared" si="1344"/>
        <v>0</v>
      </c>
      <c r="O2836" s="161">
        <f t="shared" si="1344"/>
        <v>0</v>
      </c>
      <c r="P2836" s="161">
        <f t="shared" si="1344"/>
        <v>0</v>
      </c>
      <c r="Q2836" s="161">
        <f t="shared" si="1344"/>
        <v>0</v>
      </c>
      <c r="R2836" s="161">
        <f t="shared" si="1344"/>
        <v>0</v>
      </c>
      <c r="S2836" s="161">
        <f t="shared" si="1344"/>
        <v>0</v>
      </c>
      <c r="T2836" s="161">
        <f t="shared" ref="T2836:U2836" si="1345" xml:space="preserve"> T2833 * T2834 * T2835</f>
        <v>0</v>
      </c>
      <c r="U2836" s="161">
        <f t="shared" si="1345"/>
        <v>0</v>
      </c>
      <c r="W2836" s="1"/>
      <c r="X2836" s="1"/>
      <c r="Y2836" s="1"/>
    </row>
    <row r="2837" spans="1:25">
      <c r="I2837" s="29"/>
      <c r="J2837" s="29"/>
      <c r="K2837" s="29"/>
      <c r="L2837" s="29"/>
      <c r="M2837" s="29"/>
      <c r="N2837" s="20"/>
      <c r="O2837" s="20"/>
      <c r="P2837" s="20"/>
      <c r="Q2837" s="20"/>
      <c r="R2837" s="20"/>
      <c r="S2837" s="20"/>
      <c r="T2837" s="20"/>
      <c r="U2837" s="20"/>
      <c r="W2837" s="1"/>
      <c r="X2837" s="1"/>
      <c r="Y2837" s="1"/>
    </row>
    <row r="2838" spans="1:25" ht="18.75">
      <c r="F2838" s="9" t="s">
        <v>118</v>
      </c>
      <c r="I2838" s="2">
        <f>'Facility Detail'!$G$3260</f>
        <v>2011</v>
      </c>
      <c r="J2838" s="2">
        <f>I2838+1</f>
        <v>2012</v>
      </c>
      <c r="K2838" s="2">
        <f>J2838+1</f>
        <v>2013</v>
      </c>
      <c r="L2838" s="2">
        <f t="shared" ref="L2838:O2838" si="1346">K2838+1</f>
        <v>2014</v>
      </c>
      <c r="M2838" s="2">
        <f t="shared" si="1346"/>
        <v>2015</v>
      </c>
      <c r="N2838" s="2">
        <f t="shared" si="1346"/>
        <v>2016</v>
      </c>
      <c r="O2838" s="2">
        <f t="shared" si="1346"/>
        <v>2017</v>
      </c>
      <c r="P2838" s="2">
        <f>P2832</f>
        <v>2018</v>
      </c>
      <c r="Q2838" s="2">
        <f t="shared" ref="Q2838:S2838" si="1347">Q2832</f>
        <v>2019</v>
      </c>
      <c r="R2838" s="2">
        <f t="shared" si="1347"/>
        <v>2020</v>
      </c>
      <c r="S2838" s="2">
        <f t="shared" si="1347"/>
        <v>2021</v>
      </c>
      <c r="T2838" s="2">
        <f t="shared" ref="T2838:U2838" si="1348">T2832</f>
        <v>2022</v>
      </c>
      <c r="U2838" s="2">
        <f t="shared" si="1348"/>
        <v>2023</v>
      </c>
      <c r="W2838" s="1"/>
      <c r="X2838" s="1"/>
      <c r="Y2838" s="1"/>
    </row>
    <row r="2839" spans="1:25">
      <c r="G2839" s="62" t="s">
        <v>10</v>
      </c>
      <c r="H2839" s="57"/>
      <c r="I2839" s="38">
        <f>IF($J61= "Eligible", I2836 * 'Facility Detail'!$G$3257, 0 )</f>
        <v>0</v>
      </c>
      <c r="J2839" s="11">
        <v>0</v>
      </c>
      <c r="K2839" s="11">
        <v>0</v>
      </c>
      <c r="L2839" s="11">
        <v>0</v>
      </c>
      <c r="M2839" s="11">
        <v>0</v>
      </c>
      <c r="N2839" s="11">
        <v>0</v>
      </c>
      <c r="O2839" s="11">
        <v>0</v>
      </c>
      <c r="P2839" s="11"/>
      <c r="Q2839" s="11"/>
      <c r="R2839" s="11"/>
      <c r="S2839" s="11"/>
      <c r="T2839" s="11"/>
      <c r="U2839" s="223"/>
      <c r="W2839" s="1"/>
      <c r="X2839" s="1"/>
      <c r="Y2839" s="1"/>
    </row>
    <row r="2840" spans="1:25">
      <c r="G2840" s="62" t="s">
        <v>6</v>
      </c>
      <c r="H2840" s="57"/>
      <c r="I2840" s="39">
        <f>IF($K61= "Eligible", I2836, 0 )</f>
        <v>0</v>
      </c>
      <c r="J2840" s="193">
        <f t="shared" ref="J2840:O2840" si="1349">IF( $K1628 = "Eligible", J2836, 0 )</f>
        <v>0</v>
      </c>
      <c r="K2840" s="193">
        <f t="shared" si="1349"/>
        <v>0</v>
      </c>
      <c r="L2840" s="193">
        <f t="shared" si="1349"/>
        <v>0</v>
      </c>
      <c r="M2840" s="193">
        <f t="shared" si="1349"/>
        <v>0</v>
      </c>
      <c r="N2840" s="193">
        <f t="shared" si="1349"/>
        <v>0</v>
      </c>
      <c r="O2840" s="193">
        <f t="shared" si="1349"/>
        <v>0</v>
      </c>
      <c r="P2840" s="193"/>
      <c r="Q2840" s="193"/>
      <c r="R2840" s="193"/>
      <c r="S2840" s="193"/>
      <c r="T2840" s="193"/>
      <c r="U2840" s="224"/>
      <c r="W2840" s="1"/>
      <c r="X2840" s="1"/>
      <c r="Y2840" s="1"/>
    </row>
    <row r="2841" spans="1:25">
      <c r="G2841" s="26" t="s">
        <v>120</v>
      </c>
      <c r="H2841" s="6"/>
      <c r="I2841" s="32">
        <f>SUM(I2839:I2840)</f>
        <v>0</v>
      </c>
      <c r="J2841" s="33">
        <f>SUM(J2839:J2840)</f>
        <v>0</v>
      </c>
      <c r="K2841" s="33">
        <f>SUM(K2839:K2840)</f>
        <v>0</v>
      </c>
      <c r="L2841" s="33">
        <f t="shared" ref="L2841:O2841" si="1350">SUM(L2839:L2840)</f>
        <v>0</v>
      </c>
      <c r="M2841" s="33">
        <f t="shared" si="1350"/>
        <v>0</v>
      </c>
      <c r="N2841" s="33">
        <f t="shared" si="1350"/>
        <v>0</v>
      </c>
      <c r="O2841" s="33">
        <f t="shared" si="1350"/>
        <v>0</v>
      </c>
      <c r="P2841" s="33"/>
      <c r="Q2841" s="33"/>
      <c r="R2841" s="33"/>
      <c r="S2841" s="33"/>
      <c r="T2841" s="33"/>
      <c r="U2841" s="33"/>
      <c r="W2841" s="1"/>
      <c r="X2841" s="1"/>
      <c r="Y2841" s="1"/>
    </row>
    <row r="2842" spans="1:25">
      <c r="I2842" s="31"/>
      <c r="J2842" s="24"/>
      <c r="K2842" s="24"/>
      <c r="L2842" s="24"/>
      <c r="M2842" s="24"/>
      <c r="N2842" s="24"/>
      <c r="O2842" s="24"/>
      <c r="P2842" s="24"/>
      <c r="Q2842" s="24"/>
      <c r="R2842" s="24"/>
      <c r="S2842" s="24"/>
      <c r="T2842" s="24"/>
      <c r="U2842" s="24"/>
      <c r="W2842" s="1"/>
      <c r="X2842" s="1"/>
      <c r="Y2842" s="1"/>
    </row>
    <row r="2843" spans="1:25" ht="18.75">
      <c r="F2843" s="9" t="s">
        <v>30</v>
      </c>
      <c r="I2843" s="2">
        <f>'Facility Detail'!$G$3260</f>
        <v>2011</v>
      </c>
      <c r="J2843" s="2">
        <f>I2843+1</f>
        <v>2012</v>
      </c>
      <c r="K2843" s="2">
        <f>J2843+1</f>
        <v>2013</v>
      </c>
      <c r="L2843" s="2">
        <f t="shared" ref="L2843:O2843" si="1351">K2843+1</f>
        <v>2014</v>
      </c>
      <c r="M2843" s="2">
        <f t="shared" si="1351"/>
        <v>2015</v>
      </c>
      <c r="N2843" s="2">
        <f t="shared" si="1351"/>
        <v>2016</v>
      </c>
      <c r="O2843" s="2">
        <f t="shared" si="1351"/>
        <v>2017</v>
      </c>
      <c r="P2843" s="2">
        <f>P2832</f>
        <v>2018</v>
      </c>
      <c r="Q2843" s="2">
        <f t="shared" ref="Q2843:S2843" si="1352">Q2832</f>
        <v>2019</v>
      </c>
      <c r="R2843" s="2">
        <f t="shared" si="1352"/>
        <v>2020</v>
      </c>
      <c r="S2843" s="2">
        <f t="shared" si="1352"/>
        <v>2021</v>
      </c>
      <c r="T2843" s="2">
        <f t="shared" ref="T2843:U2843" si="1353">T2832</f>
        <v>2022</v>
      </c>
      <c r="U2843" s="2">
        <f t="shared" si="1353"/>
        <v>2023</v>
      </c>
      <c r="W2843" s="1"/>
      <c r="X2843" s="1"/>
      <c r="Y2843" s="1"/>
    </row>
    <row r="2844" spans="1:25">
      <c r="G2844" s="62" t="s">
        <v>47</v>
      </c>
      <c r="H2844" s="57"/>
      <c r="I2844" s="71"/>
      <c r="J2844" s="72"/>
      <c r="K2844" s="72"/>
      <c r="L2844" s="72"/>
      <c r="M2844" s="72"/>
      <c r="N2844" s="72"/>
      <c r="O2844" s="72"/>
      <c r="P2844" s="72"/>
      <c r="Q2844" s="72"/>
      <c r="R2844" s="72"/>
      <c r="S2844" s="72"/>
      <c r="T2844" s="72"/>
      <c r="U2844" s="73"/>
      <c r="W2844" s="1"/>
      <c r="X2844" s="1"/>
      <c r="Y2844" s="1"/>
    </row>
    <row r="2845" spans="1:25">
      <c r="G2845" s="63" t="s">
        <v>23</v>
      </c>
      <c r="H2845" s="135"/>
      <c r="I2845" s="74"/>
      <c r="J2845" s="75"/>
      <c r="K2845" s="75"/>
      <c r="L2845" s="75"/>
      <c r="M2845" s="75"/>
      <c r="N2845" s="75"/>
      <c r="O2845" s="75"/>
      <c r="P2845" s="75"/>
      <c r="Q2845" s="75"/>
      <c r="R2845" s="75"/>
      <c r="S2845" s="75"/>
      <c r="T2845" s="75"/>
      <c r="U2845" s="76"/>
      <c r="W2845" s="1"/>
      <c r="X2845" s="1"/>
      <c r="Y2845" s="1"/>
    </row>
    <row r="2846" spans="1:25">
      <c r="G2846" s="63" t="s">
        <v>89</v>
      </c>
      <c r="H2846" s="134"/>
      <c r="I2846" s="43"/>
      <c r="J2846" s="44"/>
      <c r="K2846" s="44"/>
      <c r="L2846" s="44"/>
      <c r="M2846" s="44"/>
      <c r="N2846" s="44"/>
      <c r="O2846" s="44"/>
      <c r="P2846" s="44"/>
      <c r="Q2846" s="44"/>
      <c r="R2846" s="44"/>
      <c r="S2846" s="44"/>
      <c r="T2846" s="44"/>
      <c r="U2846" s="45"/>
      <c r="W2846" s="1"/>
      <c r="X2846" s="1"/>
      <c r="Y2846" s="1"/>
    </row>
    <row r="2847" spans="1:25">
      <c r="G2847" s="26" t="s">
        <v>90</v>
      </c>
      <c r="I2847" s="7">
        <f>SUM(I2844:I2846)</f>
        <v>0</v>
      </c>
      <c r="J2847" s="7">
        <f>SUM(J2844:J2846)</f>
        <v>0</v>
      </c>
      <c r="K2847" s="7">
        <f>SUM(K2844:K2846)</f>
        <v>0</v>
      </c>
      <c r="L2847" s="7">
        <f t="shared" ref="L2847:O2847" si="1354">SUM(L2844:L2846)</f>
        <v>0</v>
      </c>
      <c r="M2847" s="7">
        <f t="shared" si="1354"/>
        <v>0</v>
      </c>
      <c r="N2847" s="7">
        <f t="shared" si="1354"/>
        <v>0</v>
      </c>
      <c r="O2847" s="7">
        <f t="shared" si="1354"/>
        <v>0</v>
      </c>
      <c r="P2847" s="7"/>
      <c r="Q2847" s="7"/>
      <c r="R2847" s="7"/>
      <c r="S2847" s="7"/>
      <c r="T2847" s="7"/>
      <c r="U2847" s="7"/>
      <c r="W2847" s="1"/>
      <c r="X2847" s="1"/>
      <c r="Y2847" s="1"/>
    </row>
    <row r="2848" spans="1:25">
      <c r="G2848" s="6"/>
      <c r="I2848" s="7"/>
      <c r="J2848" s="7"/>
      <c r="K2848" s="7"/>
      <c r="L2848" s="7"/>
      <c r="M2848" s="7"/>
      <c r="N2848" s="7"/>
      <c r="O2848" s="7"/>
      <c r="P2848" s="7"/>
      <c r="Q2848" s="7"/>
      <c r="R2848" s="7"/>
      <c r="S2848" s="7"/>
      <c r="T2848" s="7"/>
      <c r="U2848" s="7"/>
      <c r="W2848" s="1"/>
      <c r="X2848" s="1"/>
      <c r="Y2848" s="1"/>
    </row>
    <row r="2849" spans="2:25" ht="18.75">
      <c r="F2849" s="9" t="s">
        <v>100</v>
      </c>
      <c r="I2849" s="2">
        <f>'Facility Detail'!$G$3260</f>
        <v>2011</v>
      </c>
      <c r="J2849" s="2">
        <f>I2849+1</f>
        <v>2012</v>
      </c>
      <c r="K2849" s="2">
        <f>J2849+1</f>
        <v>2013</v>
      </c>
      <c r="L2849" s="2">
        <f t="shared" ref="L2849:O2849" si="1355">K2849+1</f>
        <v>2014</v>
      </c>
      <c r="M2849" s="2">
        <f t="shared" si="1355"/>
        <v>2015</v>
      </c>
      <c r="N2849" s="2">
        <f t="shared" si="1355"/>
        <v>2016</v>
      </c>
      <c r="O2849" s="2">
        <f t="shared" si="1355"/>
        <v>2017</v>
      </c>
      <c r="P2849" s="2">
        <f>P2832</f>
        <v>2018</v>
      </c>
      <c r="Q2849" s="2">
        <f t="shared" ref="Q2849:S2849" si="1356">Q2832</f>
        <v>2019</v>
      </c>
      <c r="R2849" s="2">
        <f t="shared" si="1356"/>
        <v>2020</v>
      </c>
      <c r="S2849" s="2">
        <f t="shared" si="1356"/>
        <v>2021</v>
      </c>
      <c r="T2849" s="2">
        <f t="shared" ref="T2849:U2849" si="1357">T2832</f>
        <v>2022</v>
      </c>
      <c r="U2849" s="2">
        <f t="shared" si="1357"/>
        <v>2023</v>
      </c>
      <c r="W2849" s="1"/>
      <c r="X2849" s="1"/>
      <c r="Y2849" s="1"/>
    </row>
    <row r="2850" spans="2:25" ht="14.25" customHeight="1">
      <c r="F2850" s="9"/>
      <c r="G2850" s="62" t="s">
        <v>68</v>
      </c>
      <c r="I2850" s="3"/>
      <c r="J2850" s="46">
        <f>I2850</f>
        <v>0</v>
      </c>
      <c r="K2850" s="106"/>
      <c r="L2850" s="106"/>
      <c r="M2850" s="106"/>
      <c r="N2850" s="106"/>
      <c r="O2850" s="106"/>
      <c r="P2850" s="106"/>
      <c r="Q2850" s="106"/>
      <c r="R2850" s="106"/>
      <c r="S2850" s="106"/>
      <c r="T2850" s="106"/>
      <c r="U2850" s="47"/>
      <c r="W2850" s="1"/>
      <c r="X2850" s="1"/>
      <c r="Y2850" s="1"/>
    </row>
    <row r="2851" spans="2:25" ht="14.25" customHeight="1">
      <c r="F2851" s="9"/>
      <c r="G2851" s="62" t="s">
        <v>69</v>
      </c>
      <c r="I2851" s="127">
        <f>J2851</f>
        <v>0</v>
      </c>
      <c r="J2851" s="10"/>
      <c r="K2851" s="60"/>
      <c r="L2851" s="60"/>
      <c r="M2851" s="60"/>
      <c r="N2851" s="60"/>
      <c r="O2851" s="60"/>
      <c r="P2851" s="60"/>
      <c r="Q2851" s="60"/>
      <c r="R2851" s="60"/>
      <c r="S2851" s="60"/>
      <c r="T2851" s="60"/>
      <c r="U2851" s="128"/>
      <c r="W2851" s="1"/>
      <c r="X2851" s="1"/>
      <c r="Y2851" s="1"/>
    </row>
    <row r="2852" spans="2:25" ht="14.25" customHeight="1">
      <c r="F2852" s="9"/>
      <c r="G2852" s="62" t="s">
        <v>70</v>
      </c>
      <c r="I2852" s="48"/>
      <c r="J2852" s="10">
        <f>J2836</f>
        <v>0</v>
      </c>
      <c r="K2852" s="56">
        <f>J2852</f>
        <v>0</v>
      </c>
      <c r="L2852" s="60"/>
      <c r="M2852" s="60"/>
      <c r="N2852" s="60"/>
      <c r="O2852" s="60"/>
      <c r="P2852" s="60"/>
      <c r="Q2852" s="60"/>
      <c r="R2852" s="60"/>
      <c r="S2852" s="60"/>
      <c r="T2852" s="60"/>
      <c r="U2852" s="128"/>
      <c r="W2852" s="1"/>
      <c r="X2852" s="1"/>
      <c r="Y2852" s="1"/>
    </row>
    <row r="2853" spans="2:25" ht="14.25" customHeight="1">
      <c r="F2853" s="9"/>
      <c r="G2853" s="62" t="s">
        <v>71</v>
      </c>
      <c r="I2853" s="48"/>
      <c r="J2853" s="56">
        <f>K2853</f>
        <v>0</v>
      </c>
      <c r="K2853" s="126"/>
      <c r="L2853" s="60"/>
      <c r="M2853" s="60"/>
      <c r="N2853" s="60"/>
      <c r="O2853" s="60"/>
      <c r="P2853" s="60"/>
      <c r="Q2853" s="60"/>
      <c r="R2853" s="60"/>
      <c r="S2853" s="60"/>
      <c r="T2853" s="60"/>
      <c r="U2853" s="128"/>
      <c r="W2853" s="1"/>
      <c r="X2853" s="1"/>
      <c r="Y2853" s="1"/>
    </row>
    <row r="2854" spans="2:25" ht="14.25" customHeight="1">
      <c r="F2854" s="9"/>
      <c r="G2854" s="62" t="s">
        <v>170</v>
      </c>
      <c r="I2854" s="48"/>
      <c r="J2854" s="118"/>
      <c r="K2854" s="10">
        <f>K2836</f>
        <v>0</v>
      </c>
      <c r="L2854" s="119">
        <f>K2854</f>
        <v>0</v>
      </c>
      <c r="M2854" s="60"/>
      <c r="N2854" s="60"/>
      <c r="O2854" s="60"/>
      <c r="P2854" s="60"/>
      <c r="Q2854" s="60"/>
      <c r="R2854" s="60"/>
      <c r="S2854" s="60"/>
      <c r="T2854" s="60"/>
      <c r="U2854" s="128"/>
      <c r="W2854" s="1"/>
      <c r="X2854" s="1"/>
      <c r="Y2854" s="1"/>
    </row>
    <row r="2855" spans="2:25" ht="14.25" customHeight="1">
      <c r="G2855" s="62" t="s">
        <v>171</v>
      </c>
      <c r="I2855" s="48"/>
      <c r="J2855" s="118"/>
      <c r="K2855" s="56">
        <f>L2855</f>
        <v>0</v>
      </c>
      <c r="L2855" s="10"/>
      <c r="M2855" s="60"/>
      <c r="N2855" s="60"/>
      <c r="O2855" s="60"/>
      <c r="P2855" s="60"/>
      <c r="Q2855" s="60"/>
      <c r="R2855" s="60"/>
      <c r="S2855" s="60"/>
      <c r="T2855" s="60"/>
      <c r="U2855" s="128"/>
      <c r="W2855" s="1"/>
      <c r="X2855" s="1"/>
      <c r="Y2855" s="1"/>
    </row>
    <row r="2856" spans="2:25" ht="14.25" customHeight="1">
      <c r="G2856" s="62" t="s">
        <v>172</v>
      </c>
      <c r="I2856" s="48"/>
      <c r="J2856" s="118"/>
      <c r="K2856" s="118"/>
      <c r="L2856" s="10">
        <f>L2836</f>
        <v>0</v>
      </c>
      <c r="M2856" s="119">
        <f>L2856</f>
        <v>0</v>
      </c>
      <c r="N2856" s="118">
        <f>M2856</f>
        <v>0</v>
      </c>
      <c r="O2856" s="118"/>
      <c r="P2856" s="118"/>
      <c r="Q2856" s="118"/>
      <c r="R2856" s="118"/>
      <c r="S2856" s="118"/>
      <c r="T2856" s="118"/>
      <c r="U2856" s="122"/>
      <c r="W2856" s="1"/>
      <c r="X2856" s="1"/>
      <c r="Y2856" s="1"/>
    </row>
    <row r="2857" spans="2:25" ht="14.25" customHeight="1">
      <c r="G2857" s="62" t="s">
        <v>173</v>
      </c>
      <c r="I2857" s="48"/>
      <c r="J2857" s="118"/>
      <c r="K2857" s="118"/>
      <c r="L2857" s="120"/>
      <c r="M2857" s="121"/>
      <c r="N2857" s="118"/>
      <c r="O2857" s="118"/>
      <c r="P2857" s="118"/>
      <c r="Q2857" s="118"/>
      <c r="R2857" s="118"/>
      <c r="S2857" s="118"/>
      <c r="T2857" s="118"/>
      <c r="U2857" s="122"/>
      <c r="W2857" s="1"/>
      <c r="X2857" s="1"/>
      <c r="Y2857" s="1"/>
    </row>
    <row r="2858" spans="2:25" ht="14.25" customHeight="1">
      <c r="G2858" s="62" t="s">
        <v>174</v>
      </c>
      <c r="I2858" s="48"/>
      <c r="J2858" s="118"/>
      <c r="K2858" s="118"/>
      <c r="L2858" s="118"/>
      <c r="M2858" s="121">
        <v>0</v>
      </c>
      <c r="N2858" s="119">
        <f>M2858</f>
        <v>0</v>
      </c>
      <c r="O2858" s="118"/>
      <c r="P2858" s="60"/>
      <c r="Q2858" s="60"/>
      <c r="R2858" s="60"/>
      <c r="S2858" s="60"/>
      <c r="T2858" s="60"/>
      <c r="U2858" s="128"/>
      <c r="W2858" s="1"/>
      <c r="X2858" s="1"/>
      <c r="Y2858" s="1"/>
    </row>
    <row r="2859" spans="2:25" ht="14.25" customHeight="1">
      <c r="G2859" s="62" t="s">
        <v>175</v>
      </c>
      <c r="I2859" s="48"/>
      <c r="J2859" s="118"/>
      <c r="K2859" s="118"/>
      <c r="L2859" s="118"/>
      <c r="M2859" s="56"/>
      <c r="N2859" s="121"/>
      <c r="O2859" s="118"/>
      <c r="P2859" s="60"/>
      <c r="Q2859" s="60"/>
      <c r="R2859" s="60"/>
      <c r="S2859" s="60"/>
      <c r="T2859" s="60"/>
      <c r="U2859" s="128"/>
      <c r="W2859" s="1"/>
      <c r="X2859" s="1"/>
      <c r="Y2859" s="1"/>
    </row>
    <row r="2860" spans="2:25" ht="14.25" customHeight="1">
      <c r="G2860" s="62" t="s">
        <v>176</v>
      </c>
      <c r="I2860" s="49"/>
      <c r="J2860" s="108"/>
      <c r="K2860" s="108"/>
      <c r="L2860" s="108"/>
      <c r="M2860" s="108"/>
      <c r="N2860" s="123">
        <f>N2836</f>
        <v>0</v>
      </c>
      <c r="O2860" s="193"/>
      <c r="P2860" s="194"/>
      <c r="Q2860" s="194"/>
      <c r="R2860" s="194"/>
      <c r="S2860" s="194"/>
      <c r="T2860" s="194"/>
      <c r="U2860" s="195"/>
      <c r="W2860" s="1"/>
      <c r="X2860" s="1"/>
      <c r="Y2860" s="1"/>
    </row>
    <row r="2861" spans="2:25">
      <c r="B2861" s="1" t="s">
        <v>278</v>
      </c>
      <c r="G2861" s="26" t="s">
        <v>17</v>
      </c>
      <c r="I2861" s="138">
        <f xml:space="preserve"> I2856 - I2855</f>
        <v>0</v>
      </c>
      <c r="J2861" s="138">
        <f xml:space="preserve"> J2855 + J2858 - J2857 - J2856</f>
        <v>0</v>
      </c>
      <c r="K2861" s="138">
        <f>K2857 - K2858</f>
        <v>0</v>
      </c>
      <c r="L2861" s="138">
        <f t="shared" ref="L2861:M2861" si="1358">L2857 - L2858</f>
        <v>0</v>
      </c>
      <c r="M2861" s="138">
        <f t="shared" si="1358"/>
        <v>0</v>
      </c>
      <c r="N2861" s="138">
        <f>N2858</f>
        <v>0</v>
      </c>
      <c r="O2861" s="138">
        <f>O2860</f>
        <v>0</v>
      </c>
      <c r="P2861" s="138">
        <f>P2860</f>
        <v>0</v>
      </c>
      <c r="Q2861" s="138">
        <f t="shared" ref="Q2861:S2861" si="1359">Q2860</f>
        <v>0</v>
      </c>
      <c r="R2861" s="138">
        <f t="shared" si="1359"/>
        <v>0</v>
      </c>
      <c r="S2861" s="138">
        <f t="shared" si="1359"/>
        <v>0</v>
      </c>
      <c r="T2861" s="138">
        <f t="shared" ref="T2861:U2861" si="1360">T2860</f>
        <v>0</v>
      </c>
      <c r="U2861" s="138">
        <f t="shared" si="1360"/>
        <v>0</v>
      </c>
      <c r="W2861" s="1"/>
      <c r="X2861" s="1"/>
      <c r="Y2861" s="1"/>
    </row>
    <row r="2862" spans="2:25">
      <c r="G2862" s="6"/>
      <c r="I2862" s="7"/>
      <c r="J2862" s="7"/>
      <c r="K2862" s="7"/>
      <c r="L2862" s="7"/>
      <c r="M2862" s="7"/>
      <c r="N2862" s="7"/>
      <c r="O2862" s="7"/>
      <c r="P2862" s="7"/>
      <c r="Q2862" s="7"/>
      <c r="R2862" s="7"/>
      <c r="S2862" s="7"/>
      <c r="T2862" s="7"/>
      <c r="U2862" s="7"/>
      <c r="W2862" s="1"/>
      <c r="X2862" s="1"/>
      <c r="Y2862" s="1"/>
    </row>
    <row r="2863" spans="2:25">
      <c r="G2863" s="26" t="s">
        <v>12</v>
      </c>
      <c r="H2863" s="57"/>
      <c r="I2863" s="155"/>
      <c r="J2863" s="156"/>
      <c r="K2863" s="156"/>
      <c r="L2863" s="156"/>
      <c r="M2863" s="156"/>
      <c r="N2863" s="156"/>
      <c r="O2863" s="156"/>
      <c r="P2863" s="156"/>
      <c r="Q2863" s="156"/>
      <c r="R2863" s="156"/>
      <c r="S2863" s="156"/>
      <c r="T2863" s="156"/>
      <c r="U2863" s="267"/>
      <c r="W2863" s="1"/>
      <c r="X2863" s="1"/>
      <c r="Y2863" s="1"/>
    </row>
    <row r="2864" spans="2:25">
      <c r="G2864" s="6"/>
      <c r="I2864" s="154"/>
      <c r="J2864" s="154"/>
      <c r="K2864" s="154"/>
      <c r="L2864" s="154"/>
      <c r="M2864" s="154"/>
      <c r="N2864" s="154"/>
      <c r="O2864" s="154"/>
      <c r="P2864" s="154"/>
      <c r="Q2864" s="154"/>
      <c r="R2864" s="154"/>
      <c r="S2864" s="154"/>
      <c r="T2864" s="154"/>
      <c r="U2864" s="154"/>
      <c r="W2864" s="1"/>
      <c r="X2864" s="1"/>
      <c r="Y2864" s="1"/>
    </row>
    <row r="2865" spans="1:25" ht="18.75">
      <c r="C2865" s="1" t="s">
        <v>278</v>
      </c>
      <c r="D2865" s="1" t="s">
        <v>279</v>
      </c>
      <c r="E2865" s="1" t="s">
        <v>112</v>
      </c>
      <c r="F2865" s="9" t="s">
        <v>26</v>
      </c>
      <c r="H2865" s="57"/>
      <c r="I2865" s="157">
        <f xml:space="preserve"> I2836 + I2841 - I2847 + I2861 + I2863</f>
        <v>0</v>
      </c>
      <c r="J2865" s="158">
        <f xml:space="preserve"> J2836 + J2841 - J2847 + J2861 + J2863</f>
        <v>0</v>
      </c>
      <c r="K2865" s="158">
        <f xml:space="preserve"> K2836 + K2841 - K2847 + K2861 + K2863</f>
        <v>0</v>
      </c>
      <c r="L2865" s="158">
        <f t="shared" ref="L2865:S2865" si="1361" xml:space="preserve"> L2836 + L2841 - L2847 + L2861 + L2863</f>
        <v>0</v>
      </c>
      <c r="M2865" s="158">
        <f t="shared" si="1361"/>
        <v>40000</v>
      </c>
      <c r="N2865" s="158">
        <f t="shared" si="1361"/>
        <v>0</v>
      </c>
      <c r="O2865" s="158">
        <f t="shared" si="1361"/>
        <v>0</v>
      </c>
      <c r="P2865" s="158">
        <f t="shared" si="1361"/>
        <v>0</v>
      </c>
      <c r="Q2865" s="158">
        <f t="shared" si="1361"/>
        <v>0</v>
      </c>
      <c r="R2865" s="158">
        <f t="shared" si="1361"/>
        <v>0</v>
      </c>
      <c r="S2865" s="158">
        <f t="shared" si="1361"/>
        <v>0</v>
      </c>
      <c r="T2865" s="158">
        <f t="shared" ref="T2865:U2865" si="1362" xml:space="preserve"> T2836 + T2841 - T2847 + T2861 + T2863</f>
        <v>0</v>
      </c>
      <c r="U2865" s="268">
        <f t="shared" si="1362"/>
        <v>0</v>
      </c>
      <c r="W2865" s="1"/>
      <c r="X2865" s="1"/>
      <c r="Y2865" s="1"/>
    </row>
    <row r="2866" spans="1:25">
      <c r="G2866" s="6"/>
      <c r="I2866" s="7"/>
      <c r="J2866" s="7"/>
      <c r="K2866" s="7"/>
      <c r="L2866" s="23"/>
      <c r="M2866" s="23"/>
      <c r="N2866" s="23"/>
      <c r="O2866" s="23"/>
      <c r="P2866" s="23"/>
      <c r="Q2866" s="23"/>
      <c r="R2866" s="23"/>
      <c r="S2866" s="23"/>
      <c r="T2866" s="23"/>
      <c r="U2866" s="23"/>
      <c r="W2866" s="1"/>
      <c r="X2866" s="1"/>
      <c r="Y2866" s="1"/>
    </row>
    <row r="2867" spans="1:25" ht="15.75" thickBot="1">
      <c r="S2867" s="1"/>
      <c r="W2867" s="1"/>
      <c r="X2867" s="1"/>
      <c r="Y2867" s="1"/>
    </row>
    <row r="2868" spans="1:25" ht="15.75" thickBot="1">
      <c r="F2868" s="8"/>
      <c r="G2868" s="8"/>
      <c r="H2868" s="8"/>
      <c r="I2868" s="8"/>
      <c r="J2868" s="8"/>
      <c r="K2868" s="8"/>
      <c r="L2868" s="8"/>
      <c r="M2868" s="8"/>
      <c r="N2868" s="8"/>
      <c r="O2868" s="8"/>
      <c r="P2868" s="8"/>
      <c r="Q2868" s="8"/>
      <c r="R2868" s="8"/>
      <c r="S2868" s="290"/>
      <c r="T2868" s="8"/>
      <c r="U2868" s="8"/>
      <c r="W2868" s="1"/>
      <c r="X2868" s="1"/>
      <c r="Y2868" s="1"/>
    </row>
    <row r="2869" spans="1:25" ht="21.75" thickBot="1">
      <c r="F2869" s="13" t="s">
        <v>4</v>
      </c>
      <c r="G2869" s="13"/>
      <c r="H2869" s="185" t="str">
        <f>G62</f>
        <v>Stateline (WA) - FPL Energy Vansycle LLC - REC Only</v>
      </c>
      <c r="I2869" s="186"/>
      <c r="J2869" s="197"/>
      <c r="K2869" s="174"/>
      <c r="W2869" s="1"/>
      <c r="X2869" s="1"/>
      <c r="Y2869" s="1"/>
    </row>
    <row r="2870" spans="1:25">
      <c r="W2870" s="1"/>
      <c r="X2870" s="1"/>
      <c r="Y2870" s="1"/>
    </row>
    <row r="2871" spans="1:25" ht="18.75">
      <c r="F2871" s="9" t="s">
        <v>21</v>
      </c>
      <c r="G2871" s="9"/>
      <c r="I2871" s="2">
        <f>'Facility Detail'!$G$3260</f>
        <v>2011</v>
      </c>
      <c r="J2871" s="2">
        <f>I2871+1</f>
        <v>2012</v>
      </c>
      <c r="K2871" s="2">
        <f t="shared" ref="K2871:R2871" si="1363">J2871+1</f>
        <v>2013</v>
      </c>
      <c r="L2871" s="2">
        <f t="shared" si="1363"/>
        <v>2014</v>
      </c>
      <c r="M2871" s="2">
        <f t="shared" si="1363"/>
        <v>2015</v>
      </c>
      <c r="N2871" s="2">
        <f t="shared" si="1363"/>
        <v>2016</v>
      </c>
      <c r="O2871" s="2">
        <f t="shared" si="1363"/>
        <v>2017</v>
      </c>
      <c r="P2871" s="2">
        <f t="shared" si="1363"/>
        <v>2018</v>
      </c>
      <c r="Q2871" s="2">
        <f t="shared" si="1363"/>
        <v>2019</v>
      </c>
      <c r="R2871" s="2">
        <f t="shared" si="1363"/>
        <v>2020</v>
      </c>
      <c r="S2871" s="2">
        <f>R2871+1</f>
        <v>2021</v>
      </c>
      <c r="T2871" s="2">
        <f>S2871+1</f>
        <v>2022</v>
      </c>
      <c r="U2871" s="2">
        <f>T2871+1</f>
        <v>2023</v>
      </c>
      <c r="W2871" s="1"/>
      <c r="X2871" s="1"/>
      <c r="Y2871" s="1"/>
    </row>
    <row r="2872" spans="1:25">
      <c r="G2872" s="62" t="str">
        <f>"Total MWh Produced / Purchased from " &amp; H2869</f>
        <v>Total MWh Produced / Purchased from Stateline (WA) - FPL Energy Vansycle LLC - REC Only</v>
      </c>
      <c r="H2872" s="57"/>
      <c r="I2872" s="3"/>
      <c r="J2872" s="4"/>
      <c r="K2872" s="4"/>
      <c r="L2872" s="4"/>
      <c r="M2872" s="4"/>
      <c r="N2872" s="4">
        <v>12946</v>
      </c>
      <c r="O2872" s="4"/>
      <c r="P2872" s="4"/>
      <c r="Q2872" s="4"/>
      <c r="R2872" s="4"/>
      <c r="S2872" s="4"/>
      <c r="T2872" s="4"/>
      <c r="U2872" s="5"/>
      <c r="W2872" s="1"/>
      <c r="X2872" s="1"/>
      <c r="Y2872" s="1"/>
    </row>
    <row r="2873" spans="1:25">
      <c r="G2873" s="62" t="s">
        <v>25</v>
      </c>
      <c r="H2873" s="57"/>
      <c r="I2873" s="269"/>
      <c r="J2873" s="41"/>
      <c r="K2873" s="41"/>
      <c r="L2873" s="41"/>
      <c r="M2873" s="41"/>
      <c r="N2873" s="41">
        <v>1</v>
      </c>
      <c r="O2873" s="41"/>
      <c r="P2873" s="41"/>
      <c r="Q2873" s="41"/>
      <c r="R2873" s="41"/>
      <c r="S2873" s="41"/>
      <c r="T2873" s="41"/>
      <c r="U2873" s="42"/>
      <c r="W2873" s="1"/>
      <c r="X2873" s="1"/>
      <c r="Y2873" s="1"/>
    </row>
    <row r="2874" spans="1:25">
      <c r="G2874" s="62" t="s">
        <v>20</v>
      </c>
      <c r="H2874" s="57"/>
      <c r="I2874" s="270"/>
      <c r="J2874" s="36"/>
      <c r="K2874" s="36"/>
      <c r="L2874" s="36"/>
      <c r="M2874" s="36"/>
      <c r="N2874" s="36">
        <v>1</v>
      </c>
      <c r="O2874" s="36"/>
      <c r="P2874" s="36"/>
      <c r="Q2874" s="36"/>
      <c r="R2874" s="36"/>
      <c r="S2874" s="36"/>
      <c r="T2874" s="36"/>
      <c r="U2874" s="37"/>
      <c r="W2874" s="1"/>
      <c r="X2874" s="1"/>
      <c r="Y2874" s="1"/>
    </row>
    <row r="2875" spans="1:25">
      <c r="A2875" s="1" t="s">
        <v>300</v>
      </c>
      <c r="G2875" s="26" t="s">
        <v>22</v>
      </c>
      <c r="H2875" s="6"/>
      <c r="I2875" s="30">
        <v>0</v>
      </c>
      <c r="J2875" s="30">
        <v>0</v>
      </c>
      <c r="K2875" s="30">
        <v>0</v>
      </c>
      <c r="L2875" s="30">
        <v>0</v>
      </c>
      <c r="M2875" s="30">
        <v>0</v>
      </c>
      <c r="N2875" s="161">
        <v>12946</v>
      </c>
      <c r="O2875" s="161">
        <v>0</v>
      </c>
      <c r="P2875" s="161">
        <v>0</v>
      </c>
      <c r="Q2875" s="161">
        <v>0</v>
      </c>
      <c r="R2875" s="161">
        <v>0</v>
      </c>
      <c r="S2875" s="161">
        <v>0</v>
      </c>
      <c r="T2875" s="161">
        <v>0</v>
      </c>
      <c r="U2875" s="161">
        <v>0</v>
      </c>
      <c r="W2875" s="1"/>
      <c r="X2875" s="1"/>
      <c r="Y2875" s="1"/>
    </row>
    <row r="2876" spans="1:25">
      <c r="I2876" s="29"/>
      <c r="J2876" s="29"/>
      <c r="K2876" s="29"/>
      <c r="L2876" s="29"/>
      <c r="M2876" s="29"/>
      <c r="N2876" s="20"/>
      <c r="O2876" s="20"/>
      <c r="P2876" s="20"/>
      <c r="Q2876" s="20"/>
      <c r="R2876" s="20"/>
      <c r="S2876" s="20"/>
      <c r="T2876" s="20"/>
      <c r="U2876" s="20"/>
      <c r="W2876" s="1"/>
      <c r="X2876" s="1"/>
      <c r="Y2876" s="1"/>
    </row>
    <row r="2877" spans="1:25" ht="18.75">
      <c r="F2877" s="9" t="s">
        <v>118</v>
      </c>
      <c r="I2877" s="2">
        <f>'Facility Detail'!$G$3260</f>
        <v>2011</v>
      </c>
      <c r="J2877" s="2">
        <f>I2877+1</f>
        <v>2012</v>
      </c>
      <c r="K2877" s="2">
        <f t="shared" ref="K2877:R2877" si="1364">J2877+1</f>
        <v>2013</v>
      </c>
      <c r="L2877" s="2">
        <f t="shared" si="1364"/>
        <v>2014</v>
      </c>
      <c r="M2877" s="2">
        <f t="shared" si="1364"/>
        <v>2015</v>
      </c>
      <c r="N2877" s="2">
        <f t="shared" si="1364"/>
        <v>2016</v>
      </c>
      <c r="O2877" s="2">
        <f t="shared" si="1364"/>
        <v>2017</v>
      </c>
      <c r="P2877" s="2">
        <f t="shared" si="1364"/>
        <v>2018</v>
      </c>
      <c r="Q2877" s="2">
        <f t="shared" si="1364"/>
        <v>2019</v>
      </c>
      <c r="R2877" s="2">
        <f t="shared" si="1364"/>
        <v>2020</v>
      </c>
      <c r="S2877" s="2">
        <f>R2877+1</f>
        <v>2021</v>
      </c>
      <c r="T2877" s="2">
        <f>S2877+1</f>
        <v>2022</v>
      </c>
      <c r="U2877" s="2">
        <f>T2877+1</f>
        <v>2023</v>
      </c>
      <c r="W2877" s="1"/>
      <c r="X2877" s="1"/>
      <c r="Y2877" s="1"/>
    </row>
    <row r="2878" spans="1:25">
      <c r="G2878" s="62" t="s">
        <v>10</v>
      </c>
      <c r="H2878" s="57"/>
      <c r="I2878" s="38">
        <f>IF($J62= "Eligible", I2875 * 'Facility Detail'!$G$3257, 0 )</f>
        <v>0</v>
      </c>
      <c r="J2878" s="11">
        <f>IF($J62= "Eligible", J2875 * 'Facility Detail'!$G$3257, 0 )</f>
        <v>0</v>
      </c>
      <c r="K2878" s="11">
        <f>IF($J62= "Eligible", K2875 * 'Facility Detail'!$G$3257, 0 )</f>
        <v>0</v>
      </c>
      <c r="L2878" s="11">
        <f>IF($J62= "Eligible", L2875 * 'Facility Detail'!$G$3257, 0 )</f>
        <v>0</v>
      </c>
      <c r="M2878" s="11">
        <f>IF($J62= "Eligible", M2875 * 'Facility Detail'!$G$3257, 0 )</f>
        <v>0</v>
      </c>
      <c r="N2878" s="11">
        <f>IF($J62= "Eligible", N2875 * 'Facility Detail'!$G$3257, 0 )</f>
        <v>0</v>
      </c>
      <c r="O2878" s="11">
        <f>IF($J62= "Eligible", O2875 * 'Facility Detail'!$G$3257, 0 )</f>
        <v>0</v>
      </c>
      <c r="P2878" s="11">
        <f>IF($J62= "Eligible", P2875 * 'Facility Detail'!$G$3257, 0 )</f>
        <v>0</v>
      </c>
      <c r="Q2878" s="11">
        <f>IF($J62= "Eligible", Q2875 * 'Facility Detail'!$G$3257, 0 )</f>
        <v>0</v>
      </c>
      <c r="R2878" s="11">
        <f>IF($J62= "Eligible", R2875 * 'Facility Detail'!$G$3257, 0 )</f>
        <v>0</v>
      </c>
      <c r="S2878" s="11">
        <f>IF($J62= "Eligible", S2875 * 'Facility Detail'!$G$3257, 0 )</f>
        <v>0</v>
      </c>
      <c r="T2878" s="11">
        <f>IF($J62= "Eligible", T2875 * 'Facility Detail'!$G$3257, 0 )</f>
        <v>0</v>
      </c>
      <c r="U2878" s="223">
        <f>IF($J62= "Eligible", U2875 * 'Facility Detail'!$G$3257, 0 )</f>
        <v>0</v>
      </c>
      <c r="W2878" s="1"/>
      <c r="X2878" s="1"/>
      <c r="Y2878" s="1"/>
    </row>
    <row r="2879" spans="1:25">
      <c r="G2879" s="62" t="s">
        <v>6</v>
      </c>
      <c r="H2879" s="57"/>
      <c r="I2879" s="39">
        <f t="shared" ref="I2879:U2879" si="1365">IF($K62= "Eligible", I2875, 0 )</f>
        <v>0</v>
      </c>
      <c r="J2879" s="193">
        <f t="shared" si="1365"/>
        <v>0</v>
      </c>
      <c r="K2879" s="193">
        <f t="shared" si="1365"/>
        <v>0</v>
      </c>
      <c r="L2879" s="193">
        <f t="shared" si="1365"/>
        <v>0</v>
      </c>
      <c r="M2879" s="193">
        <f t="shared" si="1365"/>
        <v>0</v>
      </c>
      <c r="N2879" s="193">
        <f t="shared" si="1365"/>
        <v>0</v>
      </c>
      <c r="O2879" s="193">
        <f t="shared" si="1365"/>
        <v>0</v>
      </c>
      <c r="P2879" s="193">
        <f t="shared" si="1365"/>
        <v>0</v>
      </c>
      <c r="Q2879" s="193">
        <f t="shared" si="1365"/>
        <v>0</v>
      </c>
      <c r="R2879" s="193">
        <f t="shared" si="1365"/>
        <v>0</v>
      </c>
      <c r="S2879" s="193">
        <f t="shared" si="1365"/>
        <v>0</v>
      </c>
      <c r="T2879" s="193">
        <f t="shared" si="1365"/>
        <v>0</v>
      </c>
      <c r="U2879" s="224">
        <f t="shared" si="1365"/>
        <v>0</v>
      </c>
      <c r="W2879" s="1"/>
      <c r="X2879" s="1"/>
      <c r="Y2879" s="1"/>
    </row>
    <row r="2880" spans="1:25">
      <c r="G2880" s="26" t="s">
        <v>120</v>
      </c>
      <c r="H2880" s="6"/>
      <c r="I2880" s="32">
        <v>0</v>
      </c>
      <c r="J2880" s="33">
        <v>0</v>
      </c>
      <c r="K2880" s="33">
        <v>0</v>
      </c>
      <c r="L2880" s="33">
        <v>0</v>
      </c>
      <c r="M2880" s="33">
        <v>0</v>
      </c>
      <c r="N2880" s="33">
        <v>0</v>
      </c>
      <c r="O2880" s="33">
        <v>0</v>
      </c>
      <c r="P2880" s="33">
        <v>0</v>
      </c>
      <c r="Q2880" s="33">
        <v>0</v>
      </c>
      <c r="R2880" s="33">
        <v>0</v>
      </c>
      <c r="S2880" s="33">
        <v>0</v>
      </c>
      <c r="T2880" s="33">
        <v>0</v>
      </c>
      <c r="U2880" s="33">
        <v>0</v>
      </c>
      <c r="W2880" s="1"/>
      <c r="X2880" s="1"/>
      <c r="Y2880" s="1"/>
    </row>
    <row r="2881" spans="6:25">
      <c r="I2881" s="31"/>
      <c r="J2881" s="24"/>
      <c r="K2881" s="24"/>
      <c r="L2881" s="24"/>
      <c r="M2881" s="24"/>
      <c r="N2881" s="24"/>
      <c r="O2881" s="24"/>
      <c r="P2881" s="24"/>
      <c r="Q2881" s="24"/>
      <c r="R2881" s="24"/>
      <c r="S2881" s="24"/>
      <c r="T2881" s="24"/>
      <c r="U2881" s="24"/>
      <c r="W2881" s="1"/>
      <c r="X2881" s="1"/>
      <c r="Y2881" s="1"/>
    </row>
    <row r="2882" spans="6:25" ht="18.75">
      <c r="F2882" s="9" t="s">
        <v>30</v>
      </c>
      <c r="I2882" s="2">
        <f>'Facility Detail'!$G$3260</f>
        <v>2011</v>
      </c>
      <c r="J2882" s="2">
        <f>I2882+1</f>
        <v>2012</v>
      </c>
      <c r="K2882" s="2">
        <f t="shared" ref="K2882:R2882" si="1366">J2882+1</f>
        <v>2013</v>
      </c>
      <c r="L2882" s="2">
        <f t="shared" si="1366"/>
        <v>2014</v>
      </c>
      <c r="M2882" s="2">
        <f t="shared" si="1366"/>
        <v>2015</v>
      </c>
      <c r="N2882" s="2">
        <f t="shared" si="1366"/>
        <v>2016</v>
      </c>
      <c r="O2882" s="2">
        <f t="shared" si="1366"/>
        <v>2017</v>
      </c>
      <c r="P2882" s="2">
        <f t="shared" si="1366"/>
        <v>2018</v>
      </c>
      <c r="Q2882" s="2">
        <f t="shared" si="1366"/>
        <v>2019</v>
      </c>
      <c r="R2882" s="2">
        <f t="shared" si="1366"/>
        <v>2020</v>
      </c>
      <c r="S2882" s="2">
        <f>R2882+1</f>
        <v>2021</v>
      </c>
      <c r="T2882" s="2">
        <f>S2882+1</f>
        <v>2022</v>
      </c>
      <c r="U2882" s="2">
        <f>T2882+1</f>
        <v>2023</v>
      </c>
      <c r="W2882" s="1"/>
      <c r="X2882" s="1"/>
      <c r="Y2882" s="1"/>
    </row>
    <row r="2883" spans="6:25">
      <c r="G2883" s="62" t="s">
        <v>47</v>
      </c>
      <c r="H2883" s="57"/>
      <c r="I2883" s="71"/>
      <c r="J2883" s="72"/>
      <c r="K2883" s="72"/>
      <c r="L2883" s="72"/>
      <c r="M2883" s="72"/>
      <c r="N2883" s="72"/>
      <c r="O2883" s="72"/>
      <c r="P2883" s="72"/>
      <c r="Q2883" s="72"/>
      <c r="R2883" s="72"/>
      <c r="S2883" s="72"/>
      <c r="T2883" s="72"/>
      <c r="U2883" s="73"/>
      <c r="W2883" s="1"/>
      <c r="X2883" s="1"/>
      <c r="Y2883" s="1"/>
    </row>
    <row r="2884" spans="6:25">
      <c r="G2884" s="63" t="s">
        <v>23</v>
      </c>
      <c r="H2884" s="135"/>
      <c r="I2884" s="74"/>
      <c r="J2884" s="75"/>
      <c r="K2884" s="75"/>
      <c r="L2884" s="75"/>
      <c r="M2884" s="75"/>
      <c r="N2884" s="75"/>
      <c r="O2884" s="75"/>
      <c r="P2884" s="75"/>
      <c r="Q2884" s="75"/>
      <c r="R2884" s="75"/>
      <c r="S2884" s="75"/>
      <c r="T2884" s="75"/>
      <c r="U2884" s="76"/>
      <c r="W2884" s="1"/>
      <c r="X2884" s="1"/>
      <c r="Y2884" s="1"/>
    </row>
    <row r="2885" spans="6:25">
      <c r="G2885" s="63" t="s">
        <v>89</v>
      </c>
      <c r="H2885" s="134"/>
      <c r="I2885" s="43"/>
      <c r="J2885" s="44"/>
      <c r="K2885" s="44"/>
      <c r="L2885" s="44"/>
      <c r="M2885" s="44"/>
      <c r="N2885" s="44"/>
      <c r="O2885" s="44"/>
      <c r="P2885" s="44"/>
      <c r="Q2885" s="44"/>
      <c r="R2885" s="44"/>
      <c r="S2885" s="44"/>
      <c r="T2885" s="44"/>
      <c r="U2885" s="45"/>
      <c r="W2885" s="1"/>
      <c r="X2885" s="1"/>
      <c r="Y2885" s="1"/>
    </row>
    <row r="2886" spans="6:25">
      <c r="G2886" s="26" t="s">
        <v>90</v>
      </c>
      <c r="I2886" s="7">
        <v>0</v>
      </c>
      <c r="J2886" s="7">
        <v>0</v>
      </c>
      <c r="K2886" s="7">
        <v>0</v>
      </c>
      <c r="L2886" s="7">
        <v>0</v>
      </c>
      <c r="M2886" s="7">
        <v>0</v>
      </c>
      <c r="N2886" s="7">
        <v>0</v>
      </c>
      <c r="O2886" s="7">
        <v>0</v>
      </c>
      <c r="P2886" s="7">
        <v>0</v>
      </c>
      <c r="Q2886" s="7">
        <v>0</v>
      </c>
      <c r="R2886" s="7">
        <v>0</v>
      </c>
      <c r="S2886" s="7">
        <v>0</v>
      </c>
      <c r="T2886" s="7">
        <v>0</v>
      </c>
      <c r="U2886" s="7">
        <v>0</v>
      </c>
      <c r="W2886" s="1"/>
      <c r="X2886" s="1"/>
      <c r="Y2886" s="1"/>
    </row>
    <row r="2887" spans="6:25">
      <c r="G2887" s="6"/>
      <c r="I2887" s="7"/>
      <c r="J2887" s="7"/>
      <c r="K2887" s="7"/>
      <c r="L2887" s="23"/>
      <c r="M2887" s="23"/>
      <c r="N2887" s="23"/>
      <c r="O2887" s="23"/>
      <c r="P2887" s="23"/>
      <c r="Q2887" s="23"/>
      <c r="R2887" s="23"/>
      <c r="S2887" s="23"/>
      <c r="T2887" s="23"/>
      <c r="U2887" s="23"/>
      <c r="W2887" s="1"/>
      <c r="X2887" s="1"/>
      <c r="Y2887" s="1"/>
    </row>
    <row r="2888" spans="6:25" ht="18.75">
      <c r="F2888" s="9" t="s">
        <v>100</v>
      </c>
      <c r="I2888" s="2">
        <f>'Facility Detail'!$G$3260</f>
        <v>2011</v>
      </c>
      <c r="J2888" s="2">
        <f>I2888+1</f>
        <v>2012</v>
      </c>
      <c r="K2888" s="2">
        <f t="shared" ref="K2888:R2888" si="1367">J2888+1</f>
        <v>2013</v>
      </c>
      <c r="L2888" s="2">
        <f t="shared" si="1367"/>
        <v>2014</v>
      </c>
      <c r="M2888" s="2">
        <f t="shared" si="1367"/>
        <v>2015</v>
      </c>
      <c r="N2888" s="2">
        <f t="shared" si="1367"/>
        <v>2016</v>
      </c>
      <c r="O2888" s="2">
        <f t="shared" si="1367"/>
        <v>2017</v>
      </c>
      <c r="P2888" s="2">
        <f t="shared" si="1367"/>
        <v>2018</v>
      </c>
      <c r="Q2888" s="2">
        <f t="shared" si="1367"/>
        <v>2019</v>
      </c>
      <c r="R2888" s="2">
        <f t="shared" si="1367"/>
        <v>2020</v>
      </c>
      <c r="S2888" s="2">
        <f>R2888+1</f>
        <v>2021</v>
      </c>
      <c r="T2888" s="2">
        <f>S2888+1</f>
        <v>2022</v>
      </c>
      <c r="U2888" s="2">
        <f>T2888+1</f>
        <v>2023</v>
      </c>
      <c r="W2888" s="1"/>
      <c r="X2888" s="1"/>
      <c r="Y2888" s="1"/>
    </row>
    <row r="2889" spans="6:25">
      <c r="G2889" s="62" t="s">
        <v>68</v>
      </c>
      <c r="H2889" s="57"/>
      <c r="I2889" s="200"/>
      <c r="J2889" s="55">
        <f>I2889</f>
        <v>0</v>
      </c>
      <c r="K2889" s="201"/>
      <c r="L2889" s="201"/>
      <c r="M2889" s="201"/>
      <c r="N2889" s="201"/>
      <c r="O2889" s="201"/>
      <c r="P2889" s="201"/>
      <c r="Q2889" s="201"/>
      <c r="R2889" s="201"/>
      <c r="S2889" s="201"/>
      <c r="T2889" s="201"/>
      <c r="U2889" s="273"/>
      <c r="W2889" s="1"/>
      <c r="X2889" s="1"/>
      <c r="Y2889" s="1"/>
    </row>
    <row r="2890" spans="6:25">
      <c r="G2890" s="62" t="s">
        <v>69</v>
      </c>
      <c r="H2890" s="57"/>
      <c r="I2890" s="202">
        <f>J2890</f>
        <v>0</v>
      </c>
      <c r="J2890" s="203"/>
      <c r="K2890" s="204"/>
      <c r="L2890" s="204"/>
      <c r="M2890" s="204"/>
      <c r="N2890" s="204"/>
      <c r="O2890" s="204"/>
      <c r="P2890" s="204"/>
      <c r="Q2890" s="204"/>
      <c r="R2890" s="204"/>
      <c r="S2890" s="204"/>
      <c r="T2890" s="204"/>
      <c r="U2890" s="274"/>
      <c r="W2890" s="1"/>
      <c r="X2890" s="1"/>
      <c r="Y2890" s="1"/>
    </row>
    <row r="2891" spans="6:25">
      <c r="G2891" s="62" t="s">
        <v>70</v>
      </c>
      <c r="H2891" s="57"/>
      <c r="I2891" s="205"/>
      <c r="J2891" s="203">
        <f>J2875</f>
        <v>0</v>
      </c>
      <c r="K2891" s="206">
        <f>J2891</f>
        <v>0</v>
      </c>
      <c r="L2891" s="204"/>
      <c r="M2891" s="204"/>
      <c r="N2891" s="204"/>
      <c r="O2891" s="204"/>
      <c r="P2891" s="204"/>
      <c r="Q2891" s="204"/>
      <c r="R2891" s="204"/>
      <c r="S2891" s="204"/>
      <c r="T2891" s="204"/>
      <c r="U2891" s="274"/>
      <c r="W2891" s="1"/>
      <c r="X2891" s="1"/>
      <c r="Y2891" s="1"/>
    </row>
    <row r="2892" spans="6:25">
      <c r="G2892" s="62" t="s">
        <v>71</v>
      </c>
      <c r="H2892" s="57"/>
      <c r="I2892" s="205"/>
      <c r="J2892" s="206">
        <f>K2892</f>
        <v>0</v>
      </c>
      <c r="K2892" s="207"/>
      <c r="L2892" s="204"/>
      <c r="M2892" s="204"/>
      <c r="N2892" s="204"/>
      <c r="O2892" s="204"/>
      <c r="P2892" s="204"/>
      <c r="Q2892" s="204"/>
      <c r="R2892" s="204"/>
      <c r="S2892" s="204"/>
      <c r="T2892" s="204"/>
      <c r="U2892" s="274"/>
      <c r="W2892" s="1"/>
      <c r="X2892" s="1"/>
      <c r="Y2892" s="1"/>
    </row>
    <row r="2893" spans="6:25">
      <c r="G2893" s="62" t="s">
        <v>170</v>
      </c>
      <c r="I2893" s="205"/>
      <c r="J2893" s="208"/>
      <c r="K2893" s="203">
        <f>K2875</f>
        <v>0</v>
      </c>
      <c r="L2893" s="209">
        <f>K2893</f>
        <v>0</v>
      </c>
      <c r="M2893" s="204"/>
      <c r="N2893" s="204"/>
      <c r="O2893" s="204"/>
      <c r="P2893" s="204"/>
      <c r="Q2893" s="204"/>
      <c r="R2893" s="204"/>
      <c r="S2893" s="204"/>
      <c r="T2893" s="204"/>
      <c r="U2893" s="274"/>
      <c r="W2893" s="1"/>
      <c r="X2893" s="1"/>
      <c r="Y2893" s="1"/>
    </row>
    <row r="2894" spans="6:25">
      <c r="G2894" s="62" t="s">
        <v>171</v>
      </c>
      <c r="I2894" s="205"/>
      <c r="J2894" s="208"/>
      <c r="K2894" s="206">
        <f>L2894</f>
        <v>0</v>
      </c>
      <c r="L2894" s="203"/>
      <c r="M2894" s="204"/>
      <c r="N2894" s="204"/>
      <c r="O2894" s="204"/>
      <c r="P2894" s="204"/>
      <c r="Q2894" s="204"/>
      <c r="R2894" s="204"/>
      <c r="S2894" s="204"/>
      <c r="T2894" s="204"/>
      <c r="U2894" s="274"/>
      <c r="W2894" s="1"/>
      <c r="X2894" s="1"/>
      <c r="Y2894" s="1"/>
    </row>
    <row r="2895" spans="6:25">
      <c r="G2895" s="62" t="s">
        <v>172</v>
      </c>
      <c r="I2895" s="205"/>
      <c r="J2895" s="208"/>
      <c r="K2895" s="208"/>
      <c r="L2895" s="203">
        <f>L2875</f>
        <v>0</v>
      </c>
      <c r="M2895" s="209">
        <f>L2895</f>
        <v>0</v>
      </c>
      <c r="N2895" s="208"/>
      <c r="O2895" s="208"/>
      <c r="P2895" s="208"/>
      <c r="Q2895" s="208"/>
      <c r="R2895" s="208"/>
      <c r="S2895" s="208"/>
      <c r="T2895" s="208"/>
      <c r="U2895" s="275"/>
      <c r="W2895" s="1"/>
      <c r="X2895" s="1"/>
      <c r="Y2895" s="1"/>
    </row>
    <row r="2896" spans="6:25">
      <c r="G2896" s="62" t="s">
        <v>173</v>
      </c>
      <c r="I2896" s="205"/>
      <c r="J2896" s="208"/>
      <c r="K2896" s="208"/>
      <c r="L2896" s="210"/>
      <c r="M2896" s="211"/>
      <c r="N2896" s="208"/>
      <c r="O2896" s="208"/>
      <c r="P2896" s="208"/>
      <c r="Q2896" s="208"/>
      <c r="R2896" s="208"/>
      <c r="S2896" s="208"/>
      <c r="T2896" s="208"/>
      <c r="U2896" s="275"/>
      <c r="W2896" s="1"/>
      <c r="X2896" s="1"/>
      <c r="Y2896" s="1"/>
    </row>
    <row r="2897" spans="2:25">
      <c r="G2897" s="62" t="s">
        <v>174</v>
      </c>
      <c r="I2897" s="205"/>
      <c r="J2897" s="208"/>
      <c r="K2897" s="208"/>
      <c r="L2897" s="208"/>
      <c r="M2897" s="211">
        <v>0</v>
      </c>
      <c r="N2897" s="209">
        <f>M2897</f>
        <v>0</v>
      </c>
      <c r="O2897" s="209"/>
      <c r="P2897" s="204"/>
      <c r="Q2897" s="204"/>
      <c r="R2897" s="204"/>
      <c r="S2897" s="204"/>
      <c r="T2897" s="204"/>
      <c r="U2897" s="274"/>
      <c r="W2897" s="1"/>
      <c r="X2897" s="1"/>
      <c r="Y2897" s="1"/>
    </row>
    <row r="2898" spans="2:25">
      <c r="G2898" s="62" t="s">
        <v>175</v>
      </c>
      <c r="I2898" s="205"/>
      <c r="J2898" s="208"/>
      <c r="K2898" s="208"/>
      <c r="L2898" s="208"/>
      <c r="M2898" s="206"/>
      <c r="N2898" s="211"/>
      <c r="O2898" s="211"/>
      <c r="P2898" s="204"/>
      <c r="Q2898" s="204"/>
      <c r="R2898" s="204"/>
      <c r="S2898" s="204"/>
      <c r="T2898" s="204"/>
      <c r="U2898" s="274"/>
      <c r="W2898" s="1"/>
      <c r="X2898" s="1"/>
      <c r="Y2898" s="1"/>
    </row>
    <row r="2899" spans="2:25">
      <c r="G2899" s="62" t="s">
        <v>176</v>
      </c>
      <c r="I2899" s="205"/>
      <c r="J2899" s="208"/>
      <c r="K2899" s="208"/>
      <c r="L2899" s="208"/>
      <c r="M2899" s="208"/>
      <c r="N2899" s="211">
        <f>N2875</f>
        <v>12946</v>
      </c>
      <c r="O2899" s="211">
        <f>N2899</f>
        <v>12946</v>
      </c>
      <c r="P2899" s="209"/>
      <c r="Q2899" s="208"/>
      <c r="R2899" s="208"/>
      <c r="S2899" s="208"/>
      <c r="T2899" s="208"/>
      <c r="U2899" s="275"/>
      <c r="W2899" s="1"/>
      <c r="X2899" s="1"/>
      <c r="Y2899" s="1"/>
    </row>
    <row r="2900" spans="2:25">
      <c r="G2900" s="62" t="s">
        <v>167</v>
      </c>
      <c r="I2900" s="205"/>
      <c r="J2900" s="208"/>
      <c r="K2900" s="208"/>
      <c r="L2900" s="208"/>
      <c r="M2900" s="208"/>
      <c r="N2900" s="212"/>
      <c r="O2900" s="119"/>
      <c r="P2900" s="211"/>
      <c r="Q2900" s="208"/>
      <c r="R2900" s="208"/>
      <c r="S2900" s="208"/>
      <c r="T2900" s="208"/>
      <c r="U2900" s="275"/>
      <c r="W2900" s="1"/>
      <c r="X2900" s="1"/>
      <c r="Y2900" s="1"/>
    </row>
    <row r="2901" spans="2:25">
      <c r="G2901" s="62" t="s">
        <v>168</v>
      </c>
      <c r="I2901" s="213"/>
      <c r="J2901" s="214"/>
      <c r="K2901" s="214"/>
      <c r="L2901" s="214"/>
      <c r="M2901" s="214"/>
      <c r="N2901" s="214"/>
      <c r="O2901" s="214"/>
      <c r="P2901" s="276"/>
      <c r="Q2901" s="277"/>
      <c r="R2901" s="214"/>
      <c r="S2901" s="214"/>
      <c r="T2901" s="214"/>
      <c r="U2901" s="278"/>
      <c r="W2901" s="1"/>
      <c r="X2901" s="1"/>
      <c r="Y2901" s="1"/>
    </row>
    <row r="2902" spans="2:25">
      <c r="B2902" s="1" t="s">
        <v>300</v>
      </c>
      <c r="G2902" s="26" t="s">
        <v>17</v>
      </c>
      <c r="I2902" s="154">
        <f xml:space="preserve"> I2895 - I2894</f>
        <v>0</v>
      </c>
      <c r="J2902" s="154">
        <f xml:space="preserve"> J2894 + J2897 - J2896 - J2895</f>
        <v>0</v>
      </c>
      <c r="K2902" s="154">
        <f>K2896 - K2897</f>
        <v>0</v>
      </c>
      <c r="L2902" s="154">
        <f t="shared" ref="L2902" si="1368">L2896 - L2897</f>
        <v>0</v>
      </c>
      <c r="M2902" s="154">
        <f>M2895-M2896-M2897</f>
        <v>0</v>
      </c>
      <c r="N2902" s="163">
        <f>N2897-N2898-N2899</f>
        <v>-12946</v>
      </c>
      <c r="O2902" s="163">
        <f>O2899-O2900-O2901</f>
        <v>12946</v>
      </c>
      <c r="P2902" s="163">
        <f>P2901</f>
        <v>0</v>
      </c>
      <c r="Q2902" s="163">
        <f t="shared" ref="Q2902:S2902" si="1369">Q2901</f>
        <v>0</v>
      </c>
      <c r="R2902" s="163">
        <f t="shared" si="1369"/>
        <v>0</v>
      </c>
      <c r="S2902" s="163">
        <f t="shared" si="1369"/>
        <v>0</v>
      </c>
      <c r="T2902" s="163">
        <f t="shared" ref="T2902:U2902" si="1370">T2901</f>
        <v>0</v>
      </c>
      <c r="U2902" s="163">
        <f t="shared" si="1370"/>
        <v>0</v>
      </c>
      <c r="W2902" s="1"/>
      <c r="X2902" s="1"/>
      <c r="Y2902" s="1"/>
    </row>
    <row r="2903" spans="2:25">
      <c r="G2903" s="6"/>
      <c r="I2903" s="154"/>
      <c r="J2903" s="154"/>
      <c r="K2903" s="154"/>
      <c r="L2903" s="154"/>
      <c r="M2903" s="154"/>
      <c r="N2903" s="154"/>
      <c r="O2903" s="154"/>
      <c r="P2903" s="154"/>
      <c r="Q2903" s="154"/>
      <c r="R2903" s="154"/>
      <c r="S2903" s="154"/>
      <c r="T2903" s="154"/>
      <c r="U2903" s="154"/>
      <c r="W2903" s="1"/>
      <c r="X2903" s="1"/>
      <c r="Y2903" s="1"/>
    </row>
    <row r="2904" spans="2:25">
      <c r="G2904" s="26" t="s">
        <v>12</v>
      </c>
      <c r="H2904" s="57"/>
      <c r="I2904" s="155"/>
      <c r="J2904" s="156"/>
      <c r="K2904" s="156"/>
      <c r="L2904" s="156"/>
      <c r="M2904" s="156"/>
      <c r="N2904" s="156"/>
      <c r="O2904" s="156"/>
      <c r="P2904" s="156"/>
      <c r="Q2904" s="156"/>
      <c r="R2904" s="156"/>
      <c r="S2904" s="156"/>
      <c r="T2904" s="156"/>
      <c r="U2904" s="267"/>
      <c r="W2904" s="1"/>
      <c r="X2904" s="1"/>
      <c r="Y2904" s="1"/>
    </row>
    <row r="2905" spans="2:25">
      <c r="G2905" s="6"/>
      <c r="I2905" s="154"/>
      <c r="J2905" s="154"/>
      <c r="K2905" s="154"/>
      <c r="L2905" s="154"/>
      <c r="M2905" s="154"/>
      <c r="N2905" s="154"/>
      <c r="O2905" s="154"/>
      <c r="P2905" s="154"/>
      <c r="Q2905" s="154"/>
      <c r="R2905" s="154"/>
      <c r="S2905" s="154"/>
      <c r="T2905" s="154"/>
      <c r="U2905" s="154"/>
      <c r="W2905" s="1"/>
      <c r="X2905" s="1"/>
      <c r="Y2905" s="1"/>
    </row>
    <row r="2906" spans="2:25" ht="18.75">
      <c r="C2906" s="1" t="s">
        <v>300</v>
      </c>
      <c r="D2906" s="1" t="s">
        <v>301</v>
      </c>
      <c r="E2906" s="1" t="s">
        <v>107</v>
      </c>
      <c r="F2906" s="9" t="s">
        <v>26</v>
      </c>
      <c r="H2906" s="57"/>
      <c r="I2906" s="157">
        <f xml:space="preserve"> I2875 + I2880 - I2886 + I2902 + I2904</f>
        <v>0</v>
      </c>
      <c r="J2906" s="158">
        <f xml:space="preserve"> J2875 + J2880 - J2886 + J2902 + J2904</f>
        <v>0</v>
      </c>
      <c r="K2906" s="158">
        <f xml:space="preserve"> K2875 + K2880 - K2886 + K2902 + K2904</f>
        <v>0</v>
      </c>
      <c r="L2906" s="158">
        <f t="shared" ref="L2906:S2906" si="1371" xml:space="preserve"> L2875 + L2880 - L2886 + L2902 + L2904</f>
        <v>0</v>
      </c>
      <c r="M2906" s="158">
        <f t="shared" si="1371"/>
        <v>0</v>
      </c>
      <c r="N2906" s="158">
        <f t="shared" si="1371"/>
        <v>0</v>
      </c>
      <c r="O2906" s="158">
        <f t="shared" si="1371"/>
        <v>12946</v>
      </c>
      <c r="P2906" s="158">
        <f t="shared" si="1371"/>
        <v>0</v>
      </c>
      <c r="Q2906" s="158">
        <f t="shared" si="1371"/>
        <v>0</v>
      </c>
      <c r="R2906" s="158">
        <f t="shared" si="1371"/>
        <v>0</v>
      </c>
      <c r="S2906" s="158">
        <f t="shared" si="1371"/>
        <v>0</v>
      </c>
      <c r="T2906" s="158">
        <f t="shared" ref="T2906:U2906" si="1372" xml:space="preserve"> T2875 + T2880 - T2886 + T2902 + T2904</f>
        <v>0</v>
      </c>
      <c r="U2906" s="268">
        <f t="shared" si="1372"/>
        <v>0</v>
      </c>
      <c r="W2906" s="1"/>
      <c r="X2906" s="1"/>
      <c r="Y2906" s="1"/>
    </row>
    <row r="2907" spans="2:25">
      <c r="G2907" s="6"/>
      <c r="I2907" s="7"/>
      <c r="J2907" s="7"/>
      <c r="K2907" s="7"/>
      <c r="L2907" s="23"/>
      <c r="M2907" s="23"/>
      <c r="N2907" s="23"/>
      <c r="O2907" s="23"/>
      <c r="P2907" s="23"/>
      <c r="Q2907" s="23"/>
      <c r="R2907" s="23"/>
      <c r="S2907" s="282"/>
      <c r="T2907" s="23"/>
      <c r="U2907" s="23"/>
      <c r="W2907" s="1"/>
      <c r="X2907" s="1"/>
      <c r="Y2907" s="1"/>
    </row>
    <row r="2908" spans="2:25" ht="15.75" thickBot="1">
      <c r="W2908" s="1"/>
      <c r="X2908" s="1"/>
      <c r="Y2908" s="1"/>
    </row>
    <row r="2909" spans="2:25" s="341" customFormat="1" thickBot="1">
      <c r="F2909" s="437"/>
      <c r="G2909" s="437"/>
      <c r="H2909" s="437"/>
      <c r="I2909" s="437"/>
      <c r="J2909" s="437"/>
      <c r="K2909" s="437"/>
      <c r="L2909" s="437"/>
      <c r="M2909" s="437"/>
      <c r="N2909" s="437"/>
      <c r="O2909" s="437"/>
      <c r="P2909" s="437"/>
      <c r="Q2909" s="437"/>
      <c r="R2909" s="437"/>
      <c r="S2909" s="449"/>
      <c r="T2909" s="437"/>
      <c r="U2909" s="437"/>
    </row>
    <row r="2910" spans="2:25" s="341" customFormat="1" ht="21" thickBot="1">
      <c r="F2910" s="349" t="s">
        <v>4</v>
      </c>
      <c r="G2910" s="349"/>
      <c r="H2910" s="350" t="s">
        <v>267</v>
      </c>
      <c r="I2910" s="439"/>
      <c r="J2910" s="351"/>
      <c r="K2910" s="351"/>
      <c r="L2910" s="351"/>
      <c r="M2910" s="351"/>
      <c r="N2910" s="351"/>
      <c r="O2910" s="351"/>
      <c r="P2910" s="351"/>
      <c r="Q2910" s="351"/>
      <c r="R2910" s="351"/>
      <c r="S2910" s="436"/>
      <c r="T2910" s="351"/>
      <c r="U2910" s="351"/>
    </row>
    <row r="2911" spans="2:25" s="341" customFormat="1" ht="14.25">
      <c r="F2911" s="351"/>
      <c r="G2911" s="351"/>
      <c r="H2911" s="351"/>
      <c r="I2911" s="351"/>
      <c r="J2911" s="351"/>
      <c r="K2911" s="351"/>
      <c r="L2911" s="351"/>
      <c r="M2911" s="351"/>
      <c r="N2911" s="351"/>
      <c r="O2911" s="351"/>
      <c r="P2911" s="351"/>
      <c r="Q2911" s="351"/>
      <c r="R2911" s="351"/>
      <c r="S2911" s="436"/>
      <c r="T2911" s="351"/>
      <c r="U2911" s="351"/>
    </row>
    <row r="2912" spans="2:25" s="341" customFormat="1" ht="18">
      <c r="F2912" s="352" t="s">
        <v>21</v>
      </c>
      <c r="G2912" s="352"/>
      <c r="H2912" s="351"/>
      <c r="I2912" s="360">
        <v>2011</v>
      </c>
      <c r="J2912" s="360">
        <f>I2912+1</f>
        <v>2012</v>
      </c>
      <c r="K2912" s="360">
        <f t="shared" ref="K2912" si="1373">J2912+1</f>
        <v>2013</v>
      </c>
      <c r="L2912" s="360">
        <f t="shared" ref="L2912" si="1374">K2912+1</f>
        <v>2014</v>
      </c>
      <c r="M2912" s="360">
        <f t="shared" ref="M2912" si="1375">L2912+1</f>
        <v>2015</v>
      </c>
      <c r="N2912" s="360">
        <f t="shared" ref="N2912" si="1376">M2912+1</f>
        <v>2016</v>
      </c>
      <c r="O2912" s="360">
        <f t="shared" ref="O2912" si="1377">N2912+1</f>
        <v>2017</v>
      </c>
      <c r="P2912" s="360">
        <f t="shared" ref="P2912" si="1378">O2912+1</f>
        <v>2018</v>
      </c>
      <c r="Q2912" s="360">
        <f t="shared" ref="Q2912" si="1379">P2912+1</f>
        <v>2019</v>
      </c>
      <c r="R2912" s="360">
        <f t="shared" ref="R2912" si="1380">Q2912+1</f>
        <v>2020</v>
      </c>
      <c r="S2912" s="360">
        <f>R2912+1</f>
        <v>2021</v>
      </c>
      <c r="T2912" s="360">
        <f>S2912+1</f>
        <v>2022</v>
      </c>
      <c r="U2912" s="360">
        <f>T2912+1</f>
        <v>2023</v>
      </c>
    </row>
    <row r="2913" spans="1:21" s="341" customFormat="1" ht="14.25">
      <c r="F2913" s="351"/>
      <c r="G2913" s="353" t="str">
        <f>"Total MWh Produced / Purchased from " &amp; H2910</f>
        <v>Total MWh Produced / Purchased from Sweetwater Solar</v>
      </c>
      <c r="H2913" s="354"/>
      <c r="I2913" s="362"/>
      <c r="J2913" s="363"/>
      <c r="K2913" s="363"/>
      <c r="L2913" s="363"/>
      <c r="M2913" s="363"/>
      <c r="N2913" s="363"/>
      <c r="O2913" s="363"/>
      <c r="P2913" s="363"/>
      <c r="Q2913" s="363"/>
      <c r="R2913" s="363"/>
      <c r="S2913" s="363">
        <v>179694</v>
      </c>
      <c r="T2913" s="363"/>
      <c r="U2913" s="460"/>
    </row>
    <row r="2914" spans="1:21" s="341" customFormat="1" ht="14.25">
      <c r="F2914" s="351"/>
      <c r="G2914" s="353" t="s">
        <v>25</v>
      </c>
      <c r="H2914" s="354"/>
      <c r="I2914" s="365"/>
      <c r="J2914" s="366"/>
      <c r="K2914" s="366"/>
      <c r="L2914" s="366"/>
      <c r="M2914" s="366"/>
      <c r="N2914" s="366"/>
      <c r="O2914" s="366"/>
      <c r="P2914" s="366"/>
      <c r="Q2914" s="366"/>
      <c r="R2914" s="366"/>
      <c r="S2914" s="366">
        <v>1</v>
      </c>
      <c r="T2914" s="366">
        <v>1</v>
      </c>
      <c r="U2914" s="461">
        <v>1</v>
      </c>
    </row>
    <row r="2915" spans="1:21" s="341" customFormat="1" ht="14.25">
      <c r="F2915" s="351"/>
      <c r="G2915" s="353" t="s">
        <v>20</v>
      </c>
      <c r="H2915" s="354"/>
      <c r="I2915" s="368"/>
      <c r="J2915" s="369"/>
      <c r="K2915" s="369"/>
      <c r="L2915" s="369"/>
      <c r="M2915" s="369"/>
      <c r="N2915" s="369"/>
      <c r="O2915" s="369"/>
      <c r="P2915" s="369"/>
      <c r="Q2915" s="369"/>
      <c r="R2915" s="369"/>
      <c r="S2915" s="369">
        <v>0</v>
      </c>
      <c r="T2915" s="369">
        <v>0</v>
      </c>
      <c r="U2915" s="369">
        <v>0</v>
      </c>
    </row>
    <row r="2916" spans="1:21" s="341" customFormat="1" ht="14.25">
      <c r="A2916" s="489" t="s">
        <v>234</v>
      </c>
      <c r="B2916" s="489"/>
      <c r="C2916" s="489"/>
      <c r="F2916" s="351"/>
      <c r="G2916" s="355" t="s">
        <v>22</v>
      </c>
      <c r="H2916" s="356"/>
      <c r="I2916" s="371">
        <v>0</v>
      </c>
      <c r="J2916" s="371">
        <v>0</v>
      </c>
      <c r="K2916" s="371">
        <v>0</v>
      </c>
      <c r="L2916" s="371">
        <v>0</v>
      </c>
      <c r="M2916" s="371">
        <v>0</v>
      </c>
      <c r="N2916" s="372">
        <v>0</v>
      </c>
      <c r="O2916" s="372">
        <v>0</v>
      </c>
      <c r="P2916" s="372">
        <v>0</v>
      </c>
      <c r="Q2916" s="372">
        <f>Q2913*Q2915</f>
        <v>0</v>
      </c>
      <c r="R2916" s="372">
        <f>R2913*R2915</f>
        <v>0</v>
      </c>
      <c r="S2916" s="372">
        <f>S2913*S2915</f>
        <v>0</v>
      </c>
      <c r="T2916" s="372">
        <f>T2913*T2915</f>
        <v>0</v>
      </c>
      <c r="U2916" s="372">
        <f>U2913*U2915</f>
        <v>0</v>
      </c>
    </row>
    <row r="2917" spans="1:21" s="341" customFormat="1" ht="14.25">
      <c r="F2917" s="351"/>
      <c r="G2917" s="351"/>
      <c r="H2917" s="351"/>
      <c r="I2917" s="374"/>
      <c r="J2917" s="374"/>
      <c r="K2917" s="374"/>
      <c r="L2917" s="374"/>
      <c r="M2917" s="374"/>
      <c r="N2917" s="375"/>
      <c r="O2917" s="375"/>
      <c r="P2917" s="375"/>
      <c r="Q2917" s="375"/>
      <c r="R2917" s="375"/>
      <c r="S2917" s="375"/>
      <c r="T2917" s="375"/>
      <c r="U2917" s="375"/>
    </row>
    <row r="2918" spans="1:21" s="341" customFormat="1" ht="18">
      <c r="F2918" s="352" t="s">
        <v>118</v>
      </c>
      <c r="G2918" s="351"/>
      <c r="H2918" s="351"/>
      <c r="I2918" s="360">
        <v>2011</v>
      </c>
      <c r="J2918" s="360">
        <f>I2918+1</f>
        <v>2012</v>
      </c>
      <c r="K2918" s="360">
        <f t="shared" ref="K2918" si="1381">J2918+1</f>
        <v>2013</v>
      </c>
      <c r="L2918" s="360">
        <f t="shared" ref="L2918" si="1382">K2918+1</f>
        <v>2014</v>
      </c>
      <c r="M2918" s="360">
        <f t="shared" ref="M2918" si="1383">L2918+1</f>
        <v>2015</v>
      </c>
      <c r="N2918" s="360">
        <f t="shared" ref="N2918" si="1384">M2918+1</f>
        <v>2016</v>
      </c>
      <c r="O2918" s="360">
        <f t="shared" ref="O2918" si="1385">N2918+1</f>
        <v>2017</v>
      </c>
      <c r="P2918" s="360">
        <f t="shared" ref="P2918" si="1386">O2918+1</f>
        <v>2018</v>
      </c>
      <c r="Q2918" s="360">
        <f t="shared" ref="Q2918" si="1387">P2918+1</f>
        <v>2019</v>
      </c>
      <c r="R2918" s="360">
        <f t="shared" ref="R2918" si="1388">Q2918+1</f>
        <v>2020</v>
      </c>
      <c r="S2918" s="360">
        <f>R2918+1</f>
        <v>2021</v>
      </c>
      <c r="T2918" s="360">
        <f>S2918+1</f>
        <v>2022</v>
      </c>
      <c r="U2918" s="360">
        <f>T2918+1</f>
        <v>2023</v>
      </c>
    </row>
    <row r="2919" spans="1:21" s="341" customFormat="1" ht="14.25">
      <c r="F2919" s="351"/>
      <c r="G2919" s="353" t="s">
        <v>10</v>
      </c>
      <c r="H2919" s="354"/>
      <c r="I2919" s="377">
        <f>IF($J63= "Eligible", I2916 * 'Facility Detail'!$G$3257, 0 )</f>
        <v>0</v>
      </c>
      <c r="J2919" s="378">
        <f>IF($J63= "Eligible", J2916 * 'Facility Detail'!$G$3257, 0 )</f>
        <v>0</v>
      </c>
      <c r="K2919" s="378">
        <f>IF($J63= "Eligible", K2916 * 'Facility Detail'!$G$3257, 0 )</f>
        <v>0</v>
      </c>
      <c r="L2919" s="378">
        <f>IF($J63= "Eligible", L2916 * 'Facility Detail'!$G$3257, 0 )</f>
        <v>0</v>
      </c>
      <c r="M2919" s="378">
        <f>IF($J63= "Eligible", M2916 * 'Facility Detail'!$G$3257, 0 )</f>
        <v>0</v>
      </c>
      <c r="N2919" s="378">
        <f>IF($J63= "Eligible", N2916 * 'Facility Detail'!$G$3257, 0 )</f>
        <v>0</v>
      </c>
      <c r="O2919" s="378">
        <f>IF($J63= "Eligible", O2916 * 'Facility Detail'!$G$3257, 0 )</f>
        <v>0</v>
      </c>
      <c r="P2919" s="378">
        <f>IF($J63= "Eligible", P2916 * 'Facility Detail'!$G$3257, 0 )</f>
        <v>0</v>
      </c>
      <c r="Q2919" s="378">
        <f>IF($J63= "Eligible", Q2916 * 'Facility Detail'!$G$3257, 0 )</f>
        <v>0</v>
      </c>
      <c r="R2919" s="378">
        <f>IF($J63= "Eligible", R2916 * 'Facility Detail'!$G$3257, 0 )</f>
        <v>0</v>
      </c>
      <c r="S2919" s="378">
        <f>IF($J63= "Eligible", S2916 * 'Facility Detail'!$G$3257, 0 )</f>
        <v>0</v>
      </c>
      <c r="T2919" s="378">
        <f>IF($J63= "Eligible", T2916 * 'Facility Detail'!$G$3257, 0 )</f>
        <v>0</v>
      </c>
      <c r="U2919" s="462">
        <f>IF($J63= "Eligible", U2916 * 'Facility Detail'!$G$3257, 0 )</f>
        <v>0</v>
      </c>
    </row>
    <row r="2920" spans="1:21" s="341" customFormat="1" ht="14.25">
      <c r="F2920" s="351"/>
      <c r="G2920" s="353" t="s">
        <v>6</v>
      </c>
      <c r="H2920" s="354"/>
      <c r="I2920" s="380">
        <f t="shared" ref="I2920:U2920" si="1389">IF($K63= "Eligible", I2916, 0 )</f>
        <v>0</v>
      </c>
      <c r="J2920" s="381">
        <f t="shared" si="1389"/>
        <v>0</v>
      </c>
      <c r="K2920" s="381">
        <f t="shared" si="1389"/>
        <v>0</v>
      </c>
      <c r="L2920" s="381">
        <f t="shared" si="1389"/>
        <v>0</v>
      </c>
      <c r="M2920" s="381">
        <f t="shared" si="1389"/>
        <v>0</v>
      </c>
      <c r="N2920" s="381">
        <f t="shared" si="1389"/>
        <v>0</v>
      </c>
      <c r="O2920" s="381">
        <f t="shared" si="1389"/>
        <v>0</v>
      </c>
      <c r="P2920" s="381">
        <f t="shared" si="1389"/>
        <v>0</v>
      </c>
      <c r="Q2920" s="381">
        <f t="shared" si="1389"/>
        <v>0</v>
      </c>
      <c r="R2920" s="381">
        <f t="shared" si="1389"/>
        <v>0</v>
      </c>
      <c r="S2920" s="381">
        <f t="shared" si="1389"/>
        <v>0</v>
      </c>
      <c r="T2920" s="381">
        <f t="shared" si="1389"/>
        <v>0</v>
      </c>
      <c r="U2920" s="463">
        <f t="shared" si="1389"/>
        <v>0</v>
      </c>
    </row>
    <row r="2921" spans="1:21" s="341" customFormat="1" ht="14.25">
      <c r="F2921" s="351"/>
      <c r="G2921" s="355" t="s">
        <v>120</v>
      </c>
      <c r="H2921" s="356"/>
      <c r="I2921" s="383">
        <f>SUM(I2919:I2920)</f>
        <v>0</v>
      </c>
      <c r="J2921" s="384">
        <f t="shared" ref="J2921:S2921" si="1390">SUM(J2919:J2920)</f>
        <v>0</v>
      </c>
      <c r="K2921" s="384">
        <f t="shared" si="1390"/>
        <v>0</v>
      </c>
      <c r="L2921" s="384">
        <f t="shared" si="1390"/>
        <v>0</v>
      </c>
      <c r="M2921" s="384">
        <f t="shared" si="1390"/>
        <v>0</v>
      </c>
      <c r="N2921" s="384">
        <f t="shared" si="1390"/>
        <v>0</v>
      </c>
      <c r="O2921" s="384">
        <f t="shared" si="1390"/>
        <v>0</v>
      </c>
      <c r="P2921" s="384">
        <f t="shared" si="1390"/>
        <v>0</v>
      </c>
      <c r="Q2921" s="384">
        <f t="shared" si="1390"/>
        <v>0</v>
      </c>
      <c r="R2921" s="384">
        <f t="shared" si="1390"/>
        <v>0</v>
      </c>
      <c r="S2921" s="384">
        <f t="shared" si="1390"/>
        <v>0</v>
      </c>
      <c r="T2921" s="384">
        <f t="shared" ref="T2921:U2921" si="1391">SUM(T2919:T2920)</f>
        <v>0</v>
      </c>
      <c r="U2921" s="384">
        <f t="shared" si="1391"/>
        <v>0</v>
      </c>
    </row>
    <row r="2922" spans="1:21" s="341" customFormat="1" ht="14.25">
      <c r="F2922" s="351"/>
      <c r="G2922" s="351"/>
      <c r="H2922" s="351"/>
      <c r="I2922" s="386"/>
      <c r="J2922" s="387"/>
      <c r="K2922" s="387"/>
      <c r="L2922" s="387"/>
      <c r="M2922" s="387"/>
      <c r="N2922" s="387"/>
      <c r="O2922" s="387"/>
      <c r="P2922" s="387"/>
      <c r="Q2922" s="387"/>
      <c r="R2922" s="387"/>
      <c r="S2922" s="387"/>
      <c r="T2922" s="387"/>
      <c r="U2922" s="387"/>
    </row>
    <row r="2923" spans="1:21" s="341" customFormat="1" ht="18">
      <c r="F2923" s="352" t="s">
        <v>30</v>
      </c>
      <c r="G2923" s="351"/>
      <c r="H2923" s="351"/>
      <c r="I2923" s="360">
        <v>2011</v>
      </c>
      <c r="J2923" s="360">
        <f>I2923+1</f>
        <v>2012</v>
      </c>
      <c r="K2923" s="360">
        <f t="shared" ref="K2923" si="1392">J2923+1</f>
        <v>2013</v>
      </c>
      <c r="L2923" s="360">
        <f t="shared" ref="L2923" si="1393">K2923+1</f>
        <v>2014</v>
      </c>
      <c r="M2923" s="360">
        <f t="shared" ref="M2923" si="1394">L2923+1</f>
        <v>2015</v>
      </c>
      <c r="N2923" s="360">
        <f t="shared" ref="N2923" si="1395">M2923+1</f>
        <v>2016</v>
      </c>
      <c r="O2923" s="360">
        <f t="shared" ref="O2923" si="1396">N2923+1</f>
        <v>2017</v>
      </c>
      <c r="P2923" s="360">
        <f t="shared" ref="P2923" si="1397">O2923+1</f>
        <v>2018</v>
      </c>
      <c r="Q2923" s="360">
        <f t="shared" ref="Q2923" si="1398">P2923+1</f>
        <v>2019</v>
      </c>
      <c r="R2923" s="360">
        <f t="shared" ref="R2923" si="1399">Q2923+1</f>
        <v>2020</v>
      </c>
      <c r="S2923" s="360">
        <f>R2923+1</f>
        <v>2021</v>
      </c>
      <c r="T2923" s="360">
        <f>S2923+1</f>
        <v>2022</v>
      </c>
      <c r="U2923" s="360">
        <f>T2923+1</f>
        <v>2023</v>
      </c>
    </row>
    <row r="2924" spans="1:21" s="341" customFormat="1" ht="14.25">
      <c r="F2924" s="351"/>
      <c r="G2924" s="353" t="s">
        <v>47</v>
      </c>
      <c r="H2924" s="354"/>
      <c r="I2924" s="389"/>
      <c r="J2924" s="390"/>
      <c r="K2924" s="390"/>
      <c r="L2924" s="390"/>
      <c r="M2924" s="390"/>
      <c r="N2924" s="390"/>
      <c r="O2924" s="390"/>
      <c r="P2924" s="390"/>
      <c r="Q2924" s="390"/>
      <c r="R2924" s="390"/>
      <c r="S2924" s="390"/>
      <c r="T2924" s="390"/>
      <c r="U2924" s="464"/>
    </row>
    <row r="2925" spans="1:21" s="341" customFormat="1" ht="14.25">
      <c r="F2925" s="351"/>
      <c r="G2925" s="357" t="s">
        <v>23</v>
      </c>
      <c r="H2925" s="358"/>
      <c r="I2925" s="392"/>
      <c r="J2925" s="393"/>
      <c r="K2925" s="393"/>
      <c r="L2925" s="393"/>
      <c r="M2925" s="393"/>
      <c r="N2925" s="393"/>
      <c r="O2925" s="393"/>
      <c r="P2925" s="393"/>
      <c r="Q2925" s="393"/>
      <c r="R2925" s="393"/>
      <c r="S2925" s="393"/>
      <c r="T2925" s="393"/>
      <c r="U2925" s="465"/>
    </row>
    <row r="2926" spans="1:21" s="341" customFormat="1" ht="14.25">
      <c r="F2926" s="351"/>
      <c r="G2926" s="357" t="s">
        <v>89</v>
      </c>
      <c r="H2926" s="359"/>
      <c r="I2926" s="395"/>
      <c r="J2926" s="396"/>
      <c r="K2926" s="396"/>
      <c r="L2926" s="396"/>
      <c r="M2926" s="396"/>
      <c r="N2926" s="396"/>
      <c r="O2926" s="396"/>
      <c r="P2926" s="396"/>
      <c r="Q2926" s="396"/>
      <c r="R2926" s="396"/>
      <c r="S2926" s="396"/>
      <c r="T2926" s="396"/>
      <c r="U2926" s="466"/>
    </row>
    <row r="2927" spans="1:21" s="341" customFormat="1" ht="14.25">
      <c r="F2927" s="351"/>
      <c r="G2927" s="355" t="s">
        <v>90</v>
      </c>
      <c r="H2927" s="351"/>
      <c r="I2927" s="398">
        <v>0</v>
      </c>
      <c r="J2927" s="398">
        <v>0</v>
      </c>
      <c r="K2927" s="398">
        <v>0</v>
      </c>
      <c r="L2927" s="398">
        <v>0</v>
      </c>
      <c r="M2927" s="398">
        <v>0</v>
      </c>
      <c r="N2927" s="398">
        <v>0</v>
      </c>
      <c r="O2927" s="398">
        <v>0</v>
      </c>
      <c r="P2927" s="398">
        <v>0</v>
      </c>
      <c r="Q2927" s="398">
        <v>0</v>
      </c>
      <c r="R2927" s="398">
        <v>0</v>
      </c>
      <c r="S2927" s="398">
        <v>0</v>
      </c>
      <c r="T2927" s="398">
        <v>0</v>
      </c>
      <c r="U2927" s="398">
        <v>0</v>
      </c>
    </row>
    <row r="2928" spans="1:21" s="341" customFormat="1" ht="14.25">
      <c r="F2928" s="351"/>
      <c r="G2928" s="356"/>
      <c r="H2928" s="351"/>
      <c r="I2928" s="398"/>
      <c r="J2928" s="398"/>
      <c r="K2928" s="398"/>
      <c r="L2928" s="400"/>
      <c r="M2928" s="400"/>
      <c r="N2928" s="400"/>
      <c r="O2928" s="400"/>
      <c r="P2928" s="400"/>
      <c r="Q2928" s="400"/>
      <c r="R2928" s="400"/>
      <c r="S2928" s="400"/>
      <c r="T2928" s="400"/>
      <c r="U2928" s="400"/>
    </row>
    <row r="2929" spans="6:21" s="341" customFormat="1" ht="18">
      <c r="F2929" s="352" t="s">
        <v>100</v>
      </c>
      <c r="G2929" s="351"/>
      <c r="H2929" s="351"/>
      <c r="I2929" s="360">
        <f>'Facility Detail'!$G$3260</f>
        <v>2011</v>
      </c>
      <c r="J2929" s="360">
        <f>I2929+1</f>
        <v>2012</v>
      </c>
      <c r="K2929" s="360">
        <f t="shared" ref="K2929" si="1400">J2929+1</f>
        <v>2013</v>
      </c>
      <c r="L2929" s="360">
        <f t="shared" ref="L2929" si="1401">K2929+1</f>
        <v>2014</v>
      </c>
      <c r="M2929" s="360">
        <f t="shared" ref="M2929" si="1402">L2929+1</f>
        <v>2015</v>
      </c>
      <c r="N2929" s="360">
        <f t="shared" ref="N2929" si="1403">M2929+1</f>
        <v>2016</v>
      </c>
      <c r="O2929" s="360">
        <f t="shared" ref="O2929" si="1404">N2929+1</f>
        <v>2017</v>
      </c>
      <c r="P2929" s="360">
        <f t="shared" ref="P2929" si="1405">O2929+1</f>
        <v>2018</v>
      </c>
      <c r="Q2929" s="360">
        <f t="shared" ref="Q2929" si="1406">P2929+1</f>
        <v>2019</v>
      </c>
      <c r="R2929" s="360">
        <f t="shared" ref="R2929" si="1407">Q2929+1</f>
        <v>2020</v>
      </c>
      <c r="S2929" s="360">
        <f>R2929+1</f>
        <v>2021</v>
      </c>
      <c r="T2929" s="360">
        <f>S2929+1</f>
        <v>2022</v>
      </c>
      <c r="U2929" s="360">
        <f>T2929+1</f>
        <v>2023</v>
      </c>
    </row>
    <row r="2930" spans="6:21" s="341" customFormat="1" ht="14.25">
      <c r="F2930" s="351"/>
      <c r="G2930" s="353" t="s">
        <v>68</v>
      </c>
      <c r="H2930" s="354"/>
      <c r="I2930" s="362"/>
      <c r="J2930" s="402">
        <f>I2930</f>
        <v>0</v>
      </c>
      <c r="K2930" s="403"/>
      <c r="L2930" s="403"/>
      <c r="M2930" s="403"/>
      <c r="N2930" s="403"/>
      <c r="O2930" s="403"/>
      <c r="P2930" s="403"/>
      <c r="Q2930" s="403"/>
      <c r="R2930" s="403"/>
      <c r="S2930" s="404"/>
      <c r="T2930" s="467"/>
      <c r="U2930" s="468"/>
    </row>
    <row r="2931" spans="6:21" s="341" customFormat="1" ht="14.25">
      <c r="F2931" s="351"/>
      <c r="G2931" s="353" t="s">
        <v>69</v>
      </c>
      <c r="H2931" s="354"/>
      <c r="I2931" s="405">
        <f>J2931</f>
        <v>0</v>
      </c>
      <c r="J2931" s="406"/>
      <c r="K2931" s="407"/>
      <c r="L2931" s="407"/>
      <c r="M2931" s="407"/>
      <c r="N2931" s="407"/>
      <c r="O2931" s="407"/>
      <c r="P2931" s="407"/>
      <c r="Q2931" s="407"/>
      <c r="R2931" s="407"/>
      <c r="S2931" s="408"/>
      <c r="T2931" s="469"/>
      <c r="U2931" s="470"/>
    </row>
    <row r="2932" spans="6:21" s="341" customFormat="1" ht="14.25">
      <c r="F2932" s="351"/>
      <c r="G2932" s="353" t="s">
        <v>70</v>
      </c>
      <c r="H2932" s="354"/>
      <c r="I2932" s="409"/>
      <c r="J2932" s="406">
        <f>J2916</f>
        <v>0</v>
      </c>
      <c r="K2932" s="410">
        <f>J2932</f>
        <v>0</v>
      </c>
      <c r="L2932" s="407"/>
      <c r="M2932" s="407"/>
      <c r="N2932" s="407"/>
      <c r="O2932" s="407"/>
      <c r="P2932" s="407"/>
      <c r="Q2932" s="407"/>
      <c r="R2932" s="407"/>
      <c r="S2932" s="408"/>
      <c r="T2932" s="469"/>
      <c r="U2932" s="470"/>
    </row>
    <row r="2933" spans="6:21" s="341" customFormat="1" ht="14.25">
      <c r="F2933" s="351"/>
      <c r="G2933" s="353" t="s">
        <v>71</v>
      </c>
      <c r="H2933" s="354"/>
      <c r="I2933" s="409"/>
      <c r="J2933" s="410">
        <f>K2933</f>
        <v>0</v>
      </c>
      <c r="K2933" s="406"/>
      <c r="L2933" s="407"/>
      <c r="M2933" s="407"/>
      <c r="N2933" s="407"/>
      <c r="O2933" s="407"/>
      <c r="P2933" s="407"/>
      <c r="Q2933" s="407"/>
      <c r="R2933" s="407"/>
      <c r="S2933" s="408"/>
      <c r="T2933" s="469"/>
      <c r="U2933" s="470"/>
    </row>
    <row r="2934" spans="6:21" s="341" customFormat="1" ht="14.25">
      <c r="F2934" s="351"/>
      <c r="G2934" s="353" t="s">
        <v>170</v>
      </c>
      <c r="H2934" s="351"/>
      <c r="I2934" s="409"/>
      <c r="J2934" s="411"/>
      <c r="K2934" s="406">
        <f>K2916</f>
        <v>0</v>
      </c>
      <c r="L2934" s="412">
        <f>K2934</f>
        <v>0</v>
      </c>
      <c r="M2934" s="407"/>
      <c r="N2934" s="407"/>
      <c r="O2934" s="407"/>
      <c r="P2934" s="407"/>
      <c r="Q2934" s="407"/>
      <c r="R2934" s="407"/>
      <c r="S2934" s="408"/>
      <c r="T2934" s="471"/>
      <c r="U2934" s="472"/>
    </row>
    <row r="2935" spans="6:21" s="341" customFormat="1" ht="14.25">
      <c r="F2935" s="351"/>
      <c r="G2935" s="353" t="s">
        <v>171</v>
      </c>
      <c r="H2935" s="351"/>
      <c r="I2935" s="409"/>
      <c r="J2935" s="411"/>
      <c r="K2935" s="410">
        <f>L2935</f>
        <v>0</v>
      </c>
      <c r="L2935" s="406"/>
      <c r="M2935" s="407"/>
      <c r="N2935" s="407"/>
      <c r="O2935" s="407"/>
      <c r="P2935" s="407"/>
      <c r="Q2935" s="407"/>
      <c r="R2935" s="407"/>
      <c r="S2935" s="408"/>
      <c r="T2935" s="471"/>
      <c r="U2935" s="472"/>
    </row>
    <row r="2936" spans="6:21" s="341" customFormat="1" ht="14.25">
      <c r="F2936" s="351"/>
      <c r="G2936" s="353" t="s">
        <v>172</v>
      </c>
      <c r="H2936" s="351"/>
      <c r="I2936" s="409"/>
      <c r="J2936" s="411"/>
      <c r="K2936" s="411"/>
      <c r="L2936" s="406">
        <f>L2916</f>
        <v>0</v>
      </c>
      <c r="M2936" s="412">
        <f>L2936</f>
        <v>0</v>
      </c>
      <c r="N2936" s="411"/>
      <c r="O2936" s="407"/>
      <c r="P2936" s="407"/>
      <c r="Q2936" s="407"/>
      <c r="R2936" s="407"/>
      <c r="S2936" s="408"/>
      <c r="T2936" s="471"/>
      <c r="U2936" s="472"/>
    </row>
    <row r="2937" spans="6:21" s="341" customFormat="1" ht="14.25">
      <c r="F2937" s="351"/>
      <c r="G2937" s="353" t="s">
        <v>173</v>
      </c>
      <c r="H2937" s="351"/>
      <c r="I2937" s="409"/>
      <c r="J2937" s="411"/>
      <c r="K2937" s="411"/>
      <c r="L2937" s="410"/>
      <c r="M2937" s="406"/>
      <c r="N2937" s="411"/>
      <c r="O2937" s="407"/>
      <c r="P2937" s="407"/>
      <c r="Q2937" s="407"/>
      <c r="R2937" s="407"/>
      <c r="S2937" s="408"/>
      <c r="T2937" s="471"/>
      <c r="U2937" s="472"/>
    </row>
    <row r="2938" spans="6:21" s="341" customFormat="1" ht="14.25">
      <c r="F2938" s="351"/>
      <c r="G2938" s="353" t="s">
        <v>174</v>
      </c>
      <c r="H2938" s="351"/>
      <c r="I2938" s="409"/>
      <c r="J2938" s="411"/>
      <c r="K2938" s="411"/>
      <c r="L2938" s="411"/>
      <c r="M2938" s="406">
        <v>0</v>
      </c>
      <c r="N2938" s="412">
        <f>M2938</f>
        <v>0</v>
      </c>
      <c r="O2938" s="407"/>
      <c r="P2938" s="407"/>
      <c r="Q2938" s="407"/>
      <c r="R2938" s="407"/>
      <c r="S2938" s="408"/>
      <c r="T2938" s="471"/>
      <c r="U2938" s="472"/>
    </row>
    <row r="2939" spans="6:21" s="341" customFormat="1" ht="14.25">
      <c r="F2939" s="351"/>
      <c r="G2939" s="353" t="s">
        <v>175</v>
      </c>
      <c r="H2939" s="351"/>
      <c r="I2939" s="409"/>
      <c r="J2939" s="411"/>
      <c r="K2939" s="411"/>
      <c r="L2939" s="411"/>
      <c r="M2939" s="410"/>
      <c r="N2939" s="406"/>
      <c r="O2939" s="407"/>
      <c r="P2939" s="407"/>
      <c r="Q2939" s="407"/>
      <c r="R2939" s="407"/>
      <c r="S2939" s="408"/>
      <c r="T2939" s="471"/>
      <c r="U2939" s="472"/>
    </row>
    <row r="2940" spans="6:21" s="341" customFormat="1" ht="14.25">
      <c r="F2940" s="351"/>
      <c r="G2940" s="353" t="s">
        <v>176</v>
      </c>
      <c r="H2940" s="351"/>
      <c r="I2940" s="409"/>
      <c r="J2940" s="411"/>
      <c r="K2940" s="411"/>
      <c r="L2940" s="411"/>
      <c r="M2940" s="411"/>
      <c r="N2940" s="413">
        <f>N2916</f>
        <v>0</v>
      </c>
      <c r="O2940" s="414">
        <f>N2940</f>
        <v>0</v>
      </c>
      <c r="P2940" s="407"/>
      <c r="Q2940" s="407"/>
      <c r="R2940" s="407"/>
      <c r="S2940" s="408"/>
      <c r="T2940" s="471"/>
      <c r="U2940" s="472"/>
    </row>
    <row r="2941" spans="6:21" s="341" customFormat="1" ht="14.25">
      <c r="F2941" s="351"/>
      <c r="G2941" s="353" t="s">
        <v>167</v>
      </c>
      <c r="H2941" s="351"/>
      <c r="I2941" s="409"/>
      <c r="J2941" s="411"/>
      <c r="K2941" s="411"/>
      <c r="L2941" s="411"/>
      <c r="M2941" s="411"/>
      <c r="N2941" s="415"/>
      <c r="O2941" s="416"/>
      <c r="P2941" s="407"/>
      <c r="Q2941" s="407"/>
      <c r="R2941" s="407"/>
      <c r="S2941" s="408"/>
      <c r="T2941" s="471"/>
      <c r="U2941" s="472"/>
    </row>
    <row r="2942" spans="6:21" s="341" customFormat="1" ht="14.25">
      <c r="F2942" s="351"/>
      <c r="G2942" s="353" t="s">
        <v>168</v>
      </c>
      <c r="H2942" s="351"/>
      <c r="I2942" s="409"/>
      <c r="J2942" s="411"/>
      <c r="K2942" s="411"/>
      <c r="L2942" s="411"/>
      <c r="M2942" s="411"/>
      <c r="N2942" s="411"/>
      <c r="O2942" s="416">
        <f>O2916</f>
        <v>0</v>
      </c>
      <c r="P2942" s="414">
        <f>O2942</f>
        <v>0</v>
      </c>
      <c r="Q2942" s="407"/>
      <c r="R2942" s="407"/>
      <c r="S2942" s="408"/>
      <c r="T2942" s="471"/>
      <c r="U2942" s="472"/>
    </row>
    <row r="2943" spans="6:21" s="341" customFormat="1" ht="14.25">
      <c r="F2943" s="351"/>
      <c r="G2943" s="353" t="s">
        <v>185</v>
      </c>
      <c r="H2943" s="351"/>
      <c r="I2943" s="409"/>
      <c r="J2943" s="411"/>
      <c r="K2943" s="411"/>
      <c r="L2943" s="411"/>
      <c r="M2943" s="411"/>
      <c r="N2943" s="411"/>
      <c r="O2943" s="414"/>
      <c r="P2943" s="416"/>
      <c r="Q2943" s="407"/>
      <c r="R2943" s="407"/>
      <c r="S2943" s="408"/>
      <c r="T2943" s="471"/>
      <c r="U2943" s="472"/>
    </row>
    <row r="2944" spans="6:21" s="341" customFormat="1" ht="14.25">
      <c r="F2944" s="351"/>
      <c r="G2944" s="353" t="s">
        <v>186</v>
      </c>
      <c r="H2944" s="351"/>
      <c r="I2944" s="409"/>
      <c r="J2944" s="411"/>
      <c r="K2944" s="411"/>
      <c r="L2944" s="411"/>
      <c r="M2944" s="411"/>
      <c r="N2944" s="411"/>
      <c r="O2944" s="411"/>
      <c r="P2944" s="416"/>
      <c r="Q2944" s="410">
        <f>P2944</f>
        <v>0</v>
      </c>
      <c r="R2944" s="407"/>
      <c r="S2944" s="408"/>
      <c r="T2944" s="471"/>
      <c r="U2944" s="472"/>
    </row>
    <row r="2945" spans="2:21" s="341" customFormat="1" ht="14.25">
      <c r="F2945" s="351"/>
      <c r="G2945" s="353" t="s">
        <v>187</v>
      </c>
      <c r="H2945" s="351"/>
      <c r="I2945" s="409"/>
      <c r="J2945" s="411"/>
      <c r="K2945" s="411"/>
      <c r="L2945" s="411"/>
      <c r="M2945" s="411"/>
      <c r="N2945" s="411"/>
      <c r="O2945" s="411"/>
      <c r="P2945" s="414"/>
      <c r="Q2945" s="417"/>
      <c r="R2945" s="407"/>
      <c r="S2945" s="408"/>
      <c r="T2945" s="471"/>
      <c r="U2945" s="472"/>
    </row>
    <row r="2946" spans="2:21" s="341" customFormat="1" ht="14.25">
      <c r="F2946" s="351"/>
      <c r="G2946" s="353" t="s">
        <v>188</v>
      </c>
      <c r="H2946" s="351"/>
      <c r="I2946" s="409"/>
      <c r="J2946" s="411"/>
      <c r="K2946" s="411"/>
      <c r="L2946" s="411"/>
      <c r="M2946" s="411"/>
      <c r="N2946" s="411"/>
      <c r="O2946" s="411"/>
      <c r="P2946" s="411"/>
      <c r="Q2946" s="416"/>
      <c r="R2946" s="418">
        <f>Q2946</f>
        <v>0</v>
      </c>
      <c r="S2946" s="408"/>
      <c r="T2946" s="471"/>
      <c r="U2946" s="472"/>
    </row>
    <row r="2947" spans="2:21" s="341" customFormat="1" ht="14.25">
      <c r="F2947" s="351"/>
      <c r="G2947" s="353" t="s">
        <v>189</v>
      </c>
      <c r="H2947" s="351"/>
      <c r="I2947" s="409"/>
      <c r="J2947" s="411"/>
      <c r="K2947" s="411"/>
      <c r="L2947" s="411"/>
      <c r="M2947" s="411"/>
      <c r="N2947" s="411"/>
      <c r="O2947" s="411"/>
      <c r="P2947" s="411"/>
      <c r="Q2947" s="418">
        <f>R2916</f>
        <v>0</v>
      </c>
      <c r="R2947" s="419">
        <f>Q2947</f>
        <v>0</v>
      </c>
      <c r="S2947" s="408"/>
      <c r="T2947" s="471"/>
      <c r="U2947" s="472"/>
    </row>
    <row r="2948" spans="2:21" s="341" customFormat="1" ht="14.25">
      <c r="F2948" s="351"/>
      <c r="G2948" s="353" t="s">
        <v>190</v>
      </c>
      <c r="H2948" s="351"/>
      <c r="I2948" s="409"/>
      <c r="J2948" s="411"/>
      <c r="K2948" s="411"/>
      <c r="L2948" s="411"/>
      <c r="M2948" s="411"/>
      <c r="N2948" s="411"/>
      <c r="O2948" s="411"/>
      <c r="P2948" s="411"/>
      <c r="Q2948" s="411"/>
      <c r="R2948" s="419"/>
      <c r="S2948" s="420">
        <f>R2948</f>
        <v>0</v>
      </c>
      <c r="T2948" s="471"/>
      <c r="U2948" s="472"/>
    </row>
    <row r="2949" spans="2:21" s="341" customFormat="1" ht="14.25">
      <c r="F2949" s="351"/>
      <c r="G2949" s="353" t="s">
        <v>199</v>
      </c>
      <c r="H2949" s="351"/>
      <c r="I2949" s="409"/>
      <c r="J2949" s="411"/>
      <c r="K2949" s="411"/>
      <c r="L2949" s="411"/>
      <c r="M2949" s="411"/>
      <c r="N2949" s="411"/>
      <c r="O2949" s="411"/>
      <c r="P2949" s="411"/>
      <c r="Q2949" s="411"/>
      <c r="R2949" s="414"/>
      <c r="S2949" s="421">
        <v>0</v>
      </c>
      <c r="T2949" s="471"/>
      <c r="U2949" s="472"/>
    </row>
    <row r="2950" spans="2:21" s="341" customFormat="1" ht="14.25">
      <c r="F2950" s="351"/>
      <c r="G2950" s="353" t="s">
        <v>200</v>
      </c>
      <c r="H2950" s="351"/>
      <c r="I2950" s="409"/>
      <c r="J2950" s="411"/>
      <c r="K2950" s="411"/>
      <c r="L2950" s="411"/>
      <c r="M2950" s="411"/>
      <c r="N2950" s="411"/>
      <c r="O2950" s="411"/>
      <c r="P2950" s="411"/>
      <c r="Q2950" s="411"/>
      <c r="R2950" s="411"/>
      <c r="S2950" s="421">
        <v>0</v>
      </c>
      <c r="T2950" s="418">
        <f>S2950</f>
        <v>0</v>
      </c>
      <c r="U2950" s="472"/>
    </row>
    <row r="2951" spans="2:21" s="341" customFormat="1" ht="14.25">
      <c r="F2951" s="351"/>
      <c r="G2951" s="353" t="s">
        <v>308</v>
      </c>
      <c r="H2951" s="351"/>
      <c r="I2951" s="409"/>
      <c r="J2951" s="411"/>
      <c r="K2951" s="411"/>
      <c r="L2951" s="411"/>
      <c r="M2951" s="411"/>
      <c r="N2951" s="411"/>
      <c r="O2951" s="411"/>
      <c r="P2951" s="411"/>
      <c r="Q2951" s="411"/>
      <c r="R2951" s="411"/>
      <c r="S2951" s="422">
        <f>T2951</f>
        <v>0</v>
      </c>
      <c r="T2951" s="419">
        <v>0</v>
      </c>
      <c r="U2951" s="472"/>
    </row>
    <row r="2952" spans="2:21" s="341" customFormat="1" ht="14.25">
      <c r="F2952" s="351"/>
      <c r="G2952" s="353" t="s">
        <v>307</v>
      </c>
      <c r="H2952" s="351"/>
      <c r="I2952" s="423"/>
      <c r="J2952" s="424"/>
      <c r="K2952" s="424"/>
      <c r="L2952" s="424"/>
      <c r="M2952" s="424"/>
      <c r="N2952" s="424"/>
      <c r="O2952" s="424"/>
      <c r="P2952" s="424"/>
      <c r="Q2952" s="424"/>
      <c r="R2952" s="424"/>
      <c r="S2952" s="425"/>
      <c r="T2952" s="419">
        <v>0</v>
      </c>
      <c r="U2952" s="473">
        <f>T2952</f>
        <v>0</v>
      </c>
    </row>
    <row r="2953" spans="2:21" s="341" customFormat="1" ht="14.25">
      <c r="F2953" s="351"/>
      <c r="G2953" s="353" t="s">
        <v>318</v>
      </c>
      <c r="H2953" s="351"/>
      <c r="I2953" s="423"/>
      <c r="J2953" s="424"/>
      <c r="K2953" s="424"/>
      <c r="L2953" s="424"/>
      <c r="M2953" s="424"/>
      <c r="N2953" s="424"/>
      <c r="O2953" s="424"/>
      <c r="P2953" s="424"/>
      <c r="Q2953" s="424"/>
      <c r="R2953" s="424"/>
      <c r="S2953" s="425"/>
      <c r="T2953" s="414">
        <f>U2953</f>
        <v>0</v>
      </c>
      <c r="U2953" s="474">
        <v>0</v>
      </c>
    </row>
    <row r="2954" spans="2:21" s="341" customFormat="1" ht="14.25">
      <c r="F2954" s="351"/>
      <c r="G2954" s="353" t="s">
        <v>319</v>
      </c>
      <c r="H2954" s="351"/>
      <c r="I2954" s="426"/>
      <c r="J2954" s="427"/>
      <c r="K2954" s="427"/>
      <c r="L2954" s="427"/>
      <c r="M2954" s="427"/>
      <c r="N2954" s="427"/>
      <c r="O2954" s="427"/>
      <c r="P2954" s="427"/>
      <c r="Q2954" s="427"/>
      <c r="R2954" s="427"/>
      <c r="S2954" s="428"/>
      <c r="T2954" s="427"/>
      <c r="U2954" s="475">
        <v>0</v>
      </c>
    </row>
    <row r="2955" spans="2:21" s="341" customFormat="1" ht="14.25">
      <c r="B2955" s="489" t="s">
        <v>234</v>
      </c>
      <c r="C2955" s="489"/>
      <c r="D2955" s="489"/>
      <c r="F2955" s="351"/>
      <c r="G2955" s="355" t="s">
        <v>17</v>
      </c>
      <c r="H2955" s="351"/>
      <c r="I2955" s="398">
        <f xml:space="preserve"> I2936 - I2935</f>
        <v>0</v>
      </c>
      <c r="J2955" s="398">
        <f xml:space="preserve"> J2935 + J2938 - J2937 - J2936</f>
        <v>0</v>
      </c>
      <c r="K2955" s="398">
        <f>K2937 - K2938</f>
        <v>0</v>
      </c>
      <c r="L2955" s="398">
        <f>L2937 - L2938</f>
        <v>0</v>
      </c>
      <c r="M2955" s="398">
        <f>M2936-M2937-M2938</f>
        <v>0</v>
      </c>
      <c r="N2955" s="398">
        <f>N2938-N2939-N2940</f>
        <v>0</v>
      </c>
      <c r="O2955" s="398">
        <f>O2940-O2941-O2942</f>
        <v>0</v>
      </c>
      <c r="P2955" s="429">
        <f>P2942-P2943-P2944</f>
        <v>0</v>
      </c>
      <c r="Q2955" s="429">
        <f>Q2944+Q2947-Q2946-Q2945</f>
        <v>0</v>
      </c>
      <c r="R2955" s="429">
        <f>R2946-R2947+R2949</f>
        <v>0</v>
      </c>
      <c r="S2955" s="399">
        <f>S2948-S2949+S2950-S2951</f>
        <v>0</v>
      </c>
      <c r="T2955" s="398">
        <f>T2950-T2951-T2952+T2953</f>
        <v>0</v>
      </c>
      <c r="U2955" s="398">
        <f>U2952-U2953-U2954</f>
        <v>0</v>
      </c>
    </row>
    <row r="2956" spans="2:21" s="341" customFormat="1" ht="14.25">
      <c r="F2956" s="351"/>
      <c r="G2956" s="356"/>
      <c r="H2956" s="351"/>
      <c r="I2956" s="429"/>
      <c r="J2956" s="429"/>
      <c r="K2956" s="429"/>
      <c r="L2956" s="429"/>
      <c r="M2956" s="429"/>
      <c r="N2956" s="429"/>
      <c r="O2956" s="429"/>
      <c r="P2956" s="429"/>
      <c r="Q2956" s="429"/>
      <c r="R2956" s="429"/>
      <c r="S2956" s="430"/>
      <c r="T2956" s="429"/>
      <c r="U2956" s="429"/>
    </row>
    <row r="2957" spans="2:21" s="341" customFormat="1" ht="14.25">
      <c r="F2957" s="351"/>
      <c r="G2957" s="355" t="s">
        <v>12</v>
      </c>
      <c r="H2957" s="354"/>
      <c r="I2957" s="431"/>
      <c r="J2957" s="432"/>
      <c r="K2957" s="432"/>
      <c r="L2957" s="432"/>
      <c r="M2957" s="432"/>
      <c r="N2957" s="432"/>
      <c r="O2957" s="432"/>
      <c r="P2957" s="432"/>
      <c r="Q2957" s="432"/>
      <c r="R2957" s="432"/>
      <c r="S2957" s="432"/>
      <c r="T2957" s="432"/>
      <c r="U2957" s="476"/>
    </row>
    <row r="2958" spans="2:21" s="341" customFormat="1" ht="14.25">
      <c r="F2958" s="351"/>
      <c r="G2958" s="356"/>
      <c r="H2958" s="351"/>
      <c r="I2958" s="429"/>
      <c r="J2958" s="429"/>
      <c r="K2958" s="429"/>
      <c r="L2958" s="429"/>
      <c r="M2958" s="429"/>
      <c r="N2958" s="429"/>
      <c r="O2958" s="429"/>
      <c r="P2958" s="429"/>
      <c r="Q2958" s="429"/>
      <c r="R2958" s="429"/>
      <c r="S2958" s="429"/>
      <c r="T2958" s="429"/>
      <c r="U2958" s="429"/>
    </row>
    <row r="2959" spans="2:21" s="341" customFormat="1" ht="18">
      <c r="C2959" s="489" t="s">
        <v>234</v>
      </c>
      <c r="D2959" s="489" t="s">
        <v>253</v>
      </c>
      <c r="E2959" s="489" t="s">
        <v>108</v>
      </c>
      <c r="F2959" s="352" t="s">
        <v>26</v>
      </c>
      <c r="G2959" s="351"/>
      <c r="H2959" s="354"/>
      <c r="I2959" s="433">
        <f t="shared" ref="I2959:S2959" si="1408" xml:space="preserve"> I2916 + I2921 - I2927 + I2955 + I2957</f>
        <v>0</v>
      </c>
      <c r="J2959" s="434">
        <f t="shared" si="1408"/>
        <v>0</v>
      </c>
      <c r="K2959" s="434">
        <f t="shared" si="1408"/>
        <v>0</v>
      </c>
      <c r="L2959" s="434">
        <f t="shared" si="1408"/>
        <v>0</v>
      </c>
      <c r="M2959" s="434">
        <f t="shared" si="1408"/>
        <v>0</v>
      </c>
      <c r="N2959" s="434">
        <f t="shared" si="1408"/>
        <v>0</v>
      </c>
      <c r="O2959" s="434">
        <f t="shared" si="1408"/>
        <v>0</v>
      </c>
      <c r="P2959" s="434">
        <f t="shared" si="1408"/>
        <v>0</v>
      </c>
      <c r="Q2959" s="434">
        <f t="shared" si="1408"/>
        <v>0</v>
      </c>
      <c r="R2959" s="434">
        <f t="shared" si="1408"/>
        <v>0</v>
      </c>
      <c r="S2959" s="435">
        <f t="shared" si="1408"/>
        <v>0</v>
      </c>
      <c r="T2959" s="434">
        <f t="shared" ref="T2959:U2959" si="1409" xml:space="preserve"> T2916 + T2921 - T2927 + T2955 + T2957</f>
        <v>0</v>
      </c>
      <c r="U2959" s="477">
        <f t="shared" si="1409"/>
        <v>0</v>
      </c>
    </row>
    <row r="2960" spans="2:21" s="341" customFormat="1" thickBot="1">
      <c r="F2960" s="351"/>
      <c r="G2960" s="351"/>
      <c r="H2960" s="351"/>
      <c r="I2960" s="351"/>
      <c r="J2960" s="351"/>
      <c r="K2960" s="351"/>
      <c r="L2960" s="351"/>
      <c r="M2960" s="351"/>
      <c r="N2960" s="351"/>
      <c r="O2960" s="351"/>
      <c r="P2960" s="351"/>
      <c r="Q2960" s="351"/>
      <c r="R2960" s="351"/>
      <c r="S2960" s="436"/>
      <c r="T2960" s="351"/>
      <c r="U2960" s="351"/>
    </row>
    <row r="2961" spans="1:25">
      <c r="F2961" s="8"/>
      <c r="G2961" s="8"/>
      <c r="H2961" s="8"/>
      <c r="I2961" s="8"/>
      <c r="J2961" s="8"/>
      <c r="K2961" s="8"/>
      <c r="L2961" s="8"/>
      <c r="M2961" s="8"/>
      <c r="N2961" s="8"/>
      <c r="O2961" s="8"/>
      <c r="P2961" s="8"/>
      <c r="Q2961" s="8"/>
      <c r="R2961" s="8"/>
      <c r="S2961" s="290"/>
      <c r="T2961" s="8"/>
      <c r="U2961" s="8"/>
      <c r="W2961" s="1"/>
      <c r="X2961" s="1"/>
      <c r="Y2961" s="1"/>
    </row>
    <row r="2962" spans="1:25" ht="15.75" thickBot="1">
      <c r="W2962" s="1"/>
      <c r="X2962" s="1"/>
      <c r="Y2962" s="1"/>
    </row>
    <row r="2963" spans="1:25" ht="21.75" thickBot="1">
      <c r="F2963" s="13" t="s">
        <v>4</v>
      </c>
      <c r="G2963" s="13"/>
      <c r="H2963" s="185" t="s">
        <v>154</v>
      </c>
      <c r="I2963" s="183"/>
      <c r="W2963" s="1"/>
      <c r="X2963" s="1"/>
      <c r="Y2963" s="1"/>
    </row>
    <row r="2964" spans="1:25">
      <c r="W2964" s="1"/>
      <c r="X2964" s="1"/>
      <c r="Y2964" s="1"/>
    </row>
    <row r="2965" spans="1:25" ht="18.75">
      <c r="F2965" s="9" t="s">
        <v>21</v>
      </c>
      <c r="G2965" s="9"/>
      <c r="I2965" s="2">
        <f>'Facility Detail'!$G$3260</f>
        <v>2011</v>
      </c>
      <c r="J2965" s="2">
        <f t="shared" ref="J2965:P2965" si="1410">I2965+1</f>
        <v>2012</v>
      </c>
      <c r="K2965" s="2">
        <f t="shared" si="1410"/>
        <v>2013</v>
      </c>
      <c r="L2965" s="2">
        <f t="shared" si="1410"/>
        <v>2014</v>
      </c>
      <c r="M2965" s="2">
        <f t="shared" si="1410"/>
        <v>2015</v>
      </c>
      <c r="N2965" s="2">
        <f t="shared" si="1410"/>
        <v>2016</v>
      </c>
      <c r="O2965" s="2">
        <f t="shared" si="1410"/>
        <v>2017</v>
      </c>
      <c r="P2965" s="2">
        <f t="shared" si="1410"/>
        <v>2018</v>
      </c>
      <c r="Q2965" s="2">
        <f t="shared" ref="Q2965" si="1411">P2965+1</f>
        <v>2019</v>
      </c>
      <c r="R2965" s="2">
        <f t="shared" ref="R2965" si="1412">Q2965+1</f>
        <v>2020</v>
      </c>
      <c r="S2965" s="2">
        <f>R2965+1</f>
        <v>2021</v>
      </c>
      <c r="T2965" s="2">
        <f>S2965+1</f>
        <v>2022</v>
      </c>
      <c r="U2965" s="2">
        <f>T2965+1</f>
        <v>2023</v>
      </c>
      <c r="W2965" s="1"/>
      <c r="X2965" s="1"/>
      <c r="Y2965" s="1"/>
    </row>
    <row r="2966" spans="1:25">
      <c r="G2966" s="62" t="str">
        <f>"Total MWh Produced / Purchased from " &amp; H2963</f>
        <v>Total MWh Produced / Purchased from Top of the World</v>
      </c>
      <c r="H2966" s="57"/>
      <c r="I2966" s="3"/>
      <c r="J2966" s="4"/>
      <c r="K2966" s="4"/>
      <c r="L2966" s="4"/>
      <c r="M2966" s="4">
        <v>570069</v>
      </c>
      <c r="N2966" s="4">
        <v>651049</v>
      </c>
      <c r="O2966" s="4">
        <v>611543</v>
      </c>
      <c r="P2966" s="4">
        <v>532188.39900000009</v>
      </c>
      <c r="Q2966" s="4">
        <v>263927</v>
      </c>
      <c r="R2966" s="4">
        <v>519246</v>
      </c>
      <c r="S2966" s="4">
        <v>392340</v>
      </c>
      <c r="T2966" s="4">
        <v>394510</v>
      </c>
      <c r="U2966" s="5">
        <v>541791</v>
      </c>
      <c r="W2966" s="1"/>
      <c r="X2966" s="1"/>
      <c r="Y2966" s="1"/>
    </row>
    <row r="2967" spans="1:25">
      <c r="G2967" s="62" t="s">
        <v>25</v>
      </c>
      <c r="H2967" s="57"/>
      <c r="I2967" s="269"/>
      <c r="J2967" s="41"/>
      <c r="K2967" s="41"/>
      <c r="L2967" s="41"/>
      <c r="M2967" s="41">
        <v>1</v>
      </c>
      <c r="N2967" s="41">
        <v>1</v>
      </c>
      <c r="O2967" s="41">
        <v>1</v>
      </c>
      <c r="P2967" s="41">
        <v>1</v>
      </c>
      <c r="Q2967" s="41">
        <v>1</v>
      </c>
      <c r="R2967" s="41">
        <v>1</v>
      </c>
      <c r="S2967" s="41">
        <v>1</v>
      </c>
      <c r="T2967" s="41">
        <v>1</v>
      </c>
      <c r="U2967" s="42">
        <v>1</v>
      </c>
      <c r="W2967" s="1"/>
      <c r="X2967" s="1"/>
      <c r="Y2967" s="1"/>
    </row>
    <row r="2968" spans="1:25">
      <c r="G2968" s="62" t="s">
        <v>20</v>
      </c>
      <c r="H2968" s="57"/>
      <c r="I2968" s="270">
        <v>7.8921000000000005E-2</v>
      </c>
      <c r="J2968" s="36">
        <v>7.9619999999999996E-2</v>
      </c>
      <c r="K2968" s="36">
        <v>7.8747999999999999E-2</v>
      </c>
      <c r="L2968" s="36">
        <v>8.0235000000000001E-2</v>
      </c>
      <c r="M2968" s="36">
        <v>8.0535999999999996E-2</v>
      </c>
      <c r="N2968" s="36">
        <v>8.1698151927344531E-2</v>
      </c>
      <c r="O2968" s="36">
        <v>8.0833713568703974E-2</v>
      </c>
      <c r="P2968" s="36">
        <v>7.9451999999999995E-2</v>
      </c>
      <c r="Q2968" s="36">
        <v>7.6724662968274293E-2</v>
      </c>
      <c r="R2968" s="36">
        <f>R2727</f>
        <v>8.1268700519883177E-2</v>
      </c>
      <c r="S2968" s="36">
        <f>S2</f>
        <v>7.9696892166366717E-2</v>
      </c>
      <c r="T2968" s="36">
        <f>T2</f>
        <v>7.8737918965874246E-2</v>
      </c>
      <c r="U2968" s="36">
        <f>U2</f>
        <v>7.8407467372863096E-2</v>
      </c>
      <c r="W2968" s="1"/>
      <c r="X2968" s="1"/>
      <c r="Y2968" s="1"/>
    </row>
    <row r="2969" spans="1:25">
      <c r="A2969" s="1" t="s">
        <v>154</v>
      </c>
      <c r="G2969" s="26" t="s">
        <v>22</v>
      </c>
      <c r="H2969" s="6"/>
      <c r="I2969" s="30">
        <f xml:space="preserve"> ROUND(I2966 * I2967 * I2968,0)</f>
        <v>0</v>
      </c>
      <c r="J2969" s="30">
        <f t="shared" ref="J2969:L2969" si="1413" xml:space="preserve"> ROUND(J2966 * J2967 * J2968,0)</f>
        <v>0</v>
      </c>
      <c r="K2969" s="30">
        <f t="shared" si="1413"/>
        <v>0</v>
      </c>
      <c r="L2969" s="30">
        <f t="shared" si="1413"/>
        <v>0</v>
      </c>
      <c r="M2969" s="30">
        <v>45911</v>
      </c>
      <c r="N2969" s="161">
        <v>53189</v>
      </c>
      <c r="O2969" s="161">
        <v>49434</v>
      </c>
      <c r="P2969" s="161">
        <v>42284</v>
      </c>
      <c r="Q2969" s="161">
        <f>Q2966*Q2968</f>
        <v>20249.710123227731</v>
      </c>
      <c r="R2969" s="161">
        <f>R2966*R2968</f>
        <v>42198.447670147259</v>
      </c>
      <c r="S2969" s="161">
        <f>ROUNDDOWN(S2966*S2968,0)</f>
        <v>31268</v>
      </c>
      <c r="T2969" s="161">
        <f>ROUNDUP(T2966*T2968,0)</f>
        <v>31063</v>
      </c>
      <c r="U2969" s="161">
        <f>U2966*U2968</f>
        <v>42480.460155410867</v>
      </c>
      <c r="W2969" s="1"/>
      <c r="X2969" s="1"/>
      <c r="Y2969" s="1"/>
    </row>
    <row r="2970" spans="1:25">
      <c r="I2970" s="29"/>
      <c r="J2970" s="29"/>
      <c r="K2970" s="29"/>
      <c r="L2970" s="29"/>
      <c r="M2970" s="29"/>
      <c r="N2970" s="20"/>
      <c r="O2970" s="20"/>
      <c r="P2970" s="20"/>
      <c r="Q2970" s="20"/>
      <c r="R2970" s="20"/>
      <c r="S2970" s="20"/>
      <c r="T2970" s="20"/>
      <c r="U2970" s="20"/>
      <c r="W2970" s="1"/>
      <c r="X2970" s="1"/>
      <c r="Y2970" s="1"/>
    </row>
    <row r="2971" spans="1:25" ht="18.75">
      <c r="F2971" s="9" t="s">
        <v>118</v>
      </c>
      <c r="I2971" s="2">
        <f>'Facility Detail'!$G$3260</f>
        <v>2011</v>
      </c>
      <c r="J2971" s="2">
        <f t="shared" ref="J2971:O2971" si="1414">I2971+1</f>
        <v>2012</v>
      </c>
      <c r="K2971" s="2">
        <f t="shared" si="1414"/>
        <v>2013</v>
      </c>
      <c r="L2971" s="2">
        <f t="shared" si="1414"/>
        <v>2014</v>
      </c>
      <c r="M2971" s="2">
        <f t="shared" si="1414"/>
        <v>2015</v>
      </c>
      <c r="N2971" s="2">
        <f t="shared" si="1414"/>
        <v>2016</v>
      </c>
      <c r="O2971" s="2">
        <f t="shared" si="1414"/>
        <v>2017</v>
      </c>
      <c r="P2971" s="2">
        <f>P2965</f>
        <v>2018</v>
      </c>
      <c r="Q2971" s="2">
        <f t="shared" ref="Q2971" si="1415">P2971+1</f>
        <v>2019</v>
      </c>
      <c r="R2971" s="2">
        <f t="shared" ref="R2971" si="1416">Q2971+1</f>
        <v>2020</v>
      </c>
      <c r="S2971" s="2">
        <f>R2971+1</f>
        <v>2021</v>
      </c>
      <c r="T2971" s="2">
        <f>S2971+1</f>
        <v>2022</v>
      </c>
      <c r="U2971" s="2">
        <f>T2971+1</f>
        <v>2023</v>
      </c>
      <c r="W2971" s="1"/>
      <c r="X2971" s="1"/>
      <c r="Y2971" s="1"/>
    </row>
    <row r="2972" spans="1:25">
      <c r="G2972" s="62" t="s">
        <v>10</v>
      </c>
      <c r="H2972" s="57"/>
      <c r="I2972" s="38">
        <f>IF($J64= "Eligible", I2969 * 'Facility Detail'!$G$3257, 0 )</f>
        <v>0</v>
      </c>
      <c r="J2972" s="11">
        <f>IF($J64= "Eligible", J2969 * 'Facility Detail'!$G$3257, 0 )</f>
        <v>0</v>
      </c>
      <c r="K2972" s="11">
        <f>IF($J64= "Eligible", K2969 * 'Facility Detail'!$G$3257, 0 )</f>
        <v>0</v>
      </c>
      <c r="L2972" s="11">
        <f>IF($J64= "Eligible", L2969 * 'Facility Detail'!$G$3257, 0 )</f>
        <v>0</v>
      </c>
      <c r="M2972" s="11">
        <f>IF($J64= "Eligible", M2969 * 'Facility Detail'!$G$3257, 0 )</f>
        <v>0</v>
      </c>
      <c r="N2972" s="11">
        <f>IF($J64= "Eligible", N2969 * 'Facility Detail'!$G$3257, 0 )</f>
        <v>0</v>
      </c>
      <c r="O2972" s="11">
        <f>IF($J64= "Eligible", O2969 * 'Facility Detail'!$G$3257, 0 )</f>
        <v>0</v>
      </c>
      <c r="P2972" s="11">
        <f>IF($J64= "Eligible", P2969 * 'Facility Detail'!$G$3257, 0 )</f>
        <v>0</v>
      </c>
      <c r="Q2972" s="11">
        <f>IF($J64= "Eligible", Q2969 * 'Facility Detail'!$G$3257, 0 )</f>
        <v>0</v>
      </c>
      <c r="R2972" s="11">
        <f>IF($J64= "Eligible", R2969 * 'Facility Detail'!$G$3257, 0 )</f>
        <v>0</v>
      </c>
      <c r="S2972" s="11">
        <f>IF($J64= "Eligible", S2969 * 'Facility Detail'!$G$3257, 0 )</f>
        <v>0</v>
      </c>
      <c r="T2972" s="11">
        <f>IF($J64= "Eligible", T2969 * 'Facility Detail'!$G$3257, 0 )</f>
        <v>0</v>
      </c>
      <c r="U2972" s="223">
        <f>IF($J64= "Eligible", U2969 * 'Facility Detail'!$G$3257, 0 )</f>
        <v>0</v>
      </c>
      <c r="W2972" s="1"/>
      <c r="X2972" s="1"/>
      <c r="Y2972" s="1"/>
    </row>
    <row r="2973" spans="1:25">
      <c r="G2973" s="62" t="s">
        <v>6</v>
      </c>
      <c r="H2973" s="57"/>
      <c r="I2973" s="39">
        <f t="shared" ref="I2973:U2973" si="1417">IF($K64= "Eligible", I2969, 0 )</f>
        <v>0</v>
      </c>
      <c r="J2973" s="193">
        <f t="shared" si="1417"/>
        <v>0</v>
      </c>
      <c r="K2973" s="193">
        <f t="shared" si="1417"/>
        <v>0</v>
      </c>
      <c r="L2973" s="193">
        <f t="shared" si="1417"/>
        <v>0</v>
      </c>
      <c r="M2973" s="193">
        <f t="shared" si="1417"/>
        <v>0</v>
      </c>
      <c r="N2973" s="193">
        <f t="shared" si="1417"/>
        <v>0</v>
      </c>
      <c r="O2973" s="193">
        <f t="shared" si="1417"/>
        <v>0</v>
      </c>
      <c r="P2973" s="193">
        <f t="shared" si="1417"/>
        <v>0</v>
      </c>
      <c r="Q2973" s="193">
        <f t="shared" si="1417"/>
        <v>0</v>
      </c>
      <c r="R2973" s="193">
        <f t="shared" si="1417"/>
        <v>0</v>
      </c>
      <c r="S2973" s="193">
        <f t="shared" si="1417"/>
        <v>0</v>
      </c>
      <c r="T2973" s="193">
        <f t="shared" si="1417"/>
        <v>0</v>
      </c>
      <c r="U2973" s="224">
        <f t="shared" si="1417"/>
        <v>0</v>
      </c>
      <c r="W2973" s="1"/>
      <c r="X2973" s="1"/>
      <c r="Y2973" s="1"/>
    </row>
    <row r="2974" spans="1:25">
      <c r="G2974" s="26" t="s">
        <v>120</v>
      </c>
      <c r="H2974" s="6"/>
      <c r="I2974" s="32">
        <f>SUM(I2972:I2973)</f>
        <v>0</v>
      </c>
      <c r="J2974" s="33">
        <f t="shared" ref="J2974:S2974" si="1418">SUM(J2972:J2973)</f>
        <v>0</v>
      </c>
      <c r="K2974" s="33">
        <f t="shared" si="1418"/>
        <v>0</v>
      </c>
      <c r="L2974" s="33">
        <f t="shared" si="1418"/>
        <v>0</v>
      </c>
      <c r="M2974" s="33">
        <f t="shared" si="1418"/>
        <v>0</v>
      </c>
      <c r="N2974" s="33">
        <f t="shared" si="1418"/>
        <v>0</v>
      </c>
      <c r="O2974" s="33">
        <f t="shared" si="1418"/>
        <v>0</v>
      </c>
      <c r="P2974" s="33">
        <f t="shared" si="1418"/>
        <v>0</v>
      </c>
      <c r="Q2974" s="33">
        <f t="shared" si="1418"/>
        <v>0</v>
      </c>
      <c r="R2974" s="33">
        <f t="shared" si="1418"/>
        <v>0</v>
      </c>
      <c r="S2974" s="33">
        <f t="shared" si="1418"/>
        <v>0</v>
      </c>
      <c r="T2974" s="33">
        <f t="shared" ref="T2974:U2974" si="1419">SUM(T2972:T2973)</f>
        <v>0</v>
      </c>
      <c r="U2974" s="33">
        <f t="shared" si="1419"/>
        <v>0</v>
      </c>
      <c r="W2974" s="1"/>
      <c r="X2974" s="1"/>
      <c r="Y2974" s="1"/>
    </row>
    <row r="2975" spans="1:25">
      <c r="I2975" s="31"/>
      <c r="J2975" s="24"/>
      <c r="K2975" s="24"/>
      <c r="L2975" s="24"/>
      <c r="M2975" s="24"/>
      <c r="N2975" s="24"/>
      <c r="O2975" s="24"/>
      <c r="P2975" s="24"/>
      <c r="Q2975" s="24"/>
      <c r="R2975" s="24"/>
      <c r="S2975" s="24"/>
      <c r="T2975" s="24"/>
      <c r="U2975" s="24"/>
      <c r="W2975" s="1"/>
      <c r="X2975" s="1"/>
      <c r="Y2975" s="1"/>
    </row>
    <row r="2976" spans="1:25" ht="18.75">
      <c r="F2976" s="9" t="s">
        <v>30</v>
      </c>
      <c r="I2976" s="2">
        <f>'Facility Detail'!$G$3260</f>
        <v>2011</v>
      </c>
      <c r="J2976" s="2">
        <f t="shared" ref="J2976:O2976" si="1420">I2976+1</f>
        <v>2012</v>
      </c>
      <c r="K2976" s="2">
        <f t="shared" si="1420"/>
        <v>2013</v>
      </c>
      <c r="L2976" s="2">
        <f t="shared" si="1420"/>
        <v>2014</v>
      </c>
      <c r="M2976" s="2">
        <f t="shared" si="1420"/>
        <v>2015</v>
      </c>
      <c r="N2976" s="2">
        <f t="shared" si="1420"/>
        <v>2016</v>
      </c>
      <c r="O2976" s="2">
        <f t="shared" si="1420"/>
        <v>2017</v>
      </c>
      <c r="P2976" s="2">
        <f>P2965</f>
        <v>2018</v>
      </c>
      <c r="Q2976" s="2">
        <f t="shared" ref="Q2976:S2976" si="1421">Q2965</f>
        <v>2019</v>
      </c>
      <c r="R2976" s="2">
        <f t="shared" si="1421"/>
        <v>2020</v>
      </c>
      <c r="S2976" s="2">
        <f t="shared" si="1421"/>
        <v>2021</v>
      </c>
      <c r="T2976" s="2">
        <f t="shared" ref="T2976:U2976" si="1422">T2965</f>
        <v>2022</v>
      </c>
      <c r="U2976" s="2">
        <f t="shared" si="1422"/>
        <v>2023</v>
      </c>
      <c r="W2976" s="1"/>
      <c r="X2976" s="1"/>
      <c r="Y2976" s="1"/>
    </row>
    <row r="2977" spans="6:25">
      <c r="G2977" s="62" t="s">
        <v>47</v>
      </c>
      <c r="H2977" s="57"/>
      <c r="I2977" s="71"/>
      <c r="J2977" s="72"/>
      <c r="K2977" s="72"/>
      <c r="L2977" s="72"/>
      <c r="M2977" s="72"/>
      <c r="N2977" s="72"/>
      <c r="O2977" s="72"/>
      <c r="P2977" s="72"/>
      <c r="Q2977" s="72"/>
      <c r="R2977" s="72"/>
      <c r="S2977" s="72"/>
      <c r="T2977" s="72"/>
      <c r="U2977" s="73"/>
      <c r="W2977" s="1"/>
      <c r="X2977" s="1"/>
      <c r="Y2977" s="1"/>
    </row>
    <row r="2978" spans="6:25">
      <c r="G2978" s="63" t="s">
        <v>23</v>
      </c>
      <c r="H2978" s="135"/>
      <c r="I2978" s="74"/>
      <c r="J2978" s="75"/>
      <c r="K2978" s="75"/>
      <c r="L2978" s="75"/>
      <c r="M2978" s="75"/>
      <c r="N2978" s="75"/>
      <c r="O2978" s="75"/>
      <c r="P2978" s="75"/>
      <c r="Q2978" s="75"/>
      <c r="R2978" s="75"/>
      <c r="S2978" s="75"/>
      <c r="T2978" s="75"/>
      <c r="U2978" s="76"/>
      <c r="W2978" s="1"/>
      <c r="X2978" s="1"/>
      <c r="Y2978" s="1"/>
    </row>
    <row r="2979" spans="6:25">
      <c r="G2979" s="63" t="s">
        <v>89</v>
      </c>
      <c r="H2979" s="134"/>
      <c r="I2979" s="43"/>
      <c r="J2979" s="44"/>
      <c r="K2979" s="44"/>
      <c r="L2979" s="44"/>
      <c r="M2979" s="44"/>
      <c r="N2979" s="44"/>
      <c r="O2979" s="44"/>
      <c r="P2979" s="44"/>
      <c r="Q2979" s="44"/>
      <c r="R2979" s="44"/>
      <c r="S2979" s="44"/>
      <c r="T2979" s="44"/>
      <c r="U2979" s="45"/>
      <c r="W2979" s="1"/>
      <c r="X2979" s="1"/>
      <c r="Y2979" s="1"/>
    </row>
    <row r="2980" spans="6:25">
      <c r="G2980" s="26" t="s">
        <v>90</v>
      </c>
      <c r="I2980" s="7">
        <f t="shared" ref="I2980:O2980" si="1423">SUM(I2977:I2979)</f>
        <v>0</v>
      </c>
      <c r="J2980" s="7">
        <f t="shared" si="1423"/>
        <v>0</v>
      </c>
      <c r="K2980" s="7">
        <f t="shared" si="1423"/>
        <v>0</v>
      </c>
      <c r="L2980" s="7">
        <f t="shared" si="1423"/>
        <v>0</v>
      </c>
      <c r="M2980" s="7">
        <f t="shared" si="1423"/>
        <v>0</v>
      </c>
      <c r="N2980" s="7">
        <f t="shared" si="1423"/>
        <v>0</v>
      </c>
      <c r="O2980" s="7">
        <f t="shared" si="1423"/>
        <v>0</v>
      </c>
      <c r="P2980" s="7">
        <f t="shared" ref="P2980:Q2980" si="1424">SUM(P2977:P2979)</f>
        <v>0</v>
      </c>
      <c r="Q2980" s="7">
        <f t="shared" si="1424"/>
        <v>0</v>
      </c>
      <c r="R2980" s="7">
        <f t="shared" ref="R2980:S2980" si="1425">SUM(R2977:R2979)</f>
        <v>0</v>
      </c>
      <c r="S2980" s="7">
        <f t="shared" si="1425"/>
        <v>0</v>
      </c>
      <c r="T2980" s="7">
        <f t="shared" ref="T2980:U2980" si="1426">SUM(T2977:T2979)</f>
        <v>0</v>
      </c>
      <c r="U2980" s="7">
        <f t="shared" si="1426"/>
        <v>0</v>
      </c>
      <c r="W2980" s="1"/>
      <c r="X2980" s="1"/>
      <c r="Y2980" s="1"/>
    </row>
    <row r="2981" spans="6:25">
      <c r="G2981" s="6"/>
      <c r="I2981" s="7"/>
      <c r="J2981" s="7"/>
      <c r="K2981" s="7"/>
      <c r="L2981" s="23"/>
      <c r="M2981" s="23"/>
      <c r="N2981" s="23"/>
      <c r="O2981" s="23"/>
      <c r="P2981" s="23"/>
      <c r="Q2981" s="23"/>
      <c r="R2981" s="23"/>
      <c r="S2981" s="23"/>
      <c r="T2981" s="23"/>
      <c r="U2981" s="23"/>
      <c r="W2981" s="1"/>
      <c r="X2981" s="1"/>
      <c r="Y2981" s="1"/>
    </row>
    <row r="2982" spans="6:25" ht="18.75">
      <c r="F2982" s="9" t="s">
        <v>100</v>
      </c>
      <c r="I2982" s="2">
        <f>'Facility Detail'!$G$3260</f>
        <v>2011</v>
      </c>
      <c r="J2982" s="2">
        <f t="shared" ref="J2982:O2982" si="1427">I2982+1</f>
        <v>2012</v>
      </c>
      <c r="K2982" s="2">
        <f t="shared" si="1427"/>
        <v>2013</v>
      </c>
      <c r="L2982" s="2">
        <f t="shared" si="1427"/>
        <v>2014</v>
      </c>
      <c r="M2982" s="2">
        <f t="shared" si="1427"/>
        <v>2015</v>
      </c>
      <c r="N2982" s="2">
        <f t="shared" si="1427"/>
        <v>2016</v>
      </c>
      <c r="O2982" s="2">
        <f t="shared" si="1427"/>
        <v>2017</v>
      </c>
      <c r="P2982" s="2">
        <f>P2965</f>
        <v>2018</v>
      </c>
      <c r="Q2982" s="2">
        <f t="shared" ref="Q2982:S2982" si="1428">Q2965</f>
        <v>2019</v>
      </c>
      <c r="R2982" s="2">
        <f t="shared" si="1428"/>
        <v>2020</v>
      </c>
      <c r="S2982" s="2">
        <f t="shared" si="1428"/>
        <v>2021</v>
      </c>
      <c r="T2982" s="2">
        <f t="shared" ref="T2982:U2982" si="1429">T2965</f>
        <v>2022</v>
      </c>
      <c r="U2982" s="2">
        <f t="shared" si="1429"/>
        <v>2023</v>
      </c>
      <c r="W2982" s="1"/>
      <c r="X2982" s="1"/>
      <c r="Y2982" s="1"/>
    </row>
    <row r="2983" spans="6:25">
      <c r="G2983" s="62" t="s">
        <v>68</v>
      </c>
      <c r="I2983" s="3">
        <f>I2969</f>
        <v>0</v>
      </c>
      <c r="J2983" s="46">
        <f>I2983</f>
        <v>0</v>
      </c>
      <c r="K2983" s="106"/>
      <c r="L2983" s="106"/>
      <c r="M2983" s="106"/>
      <c r="N2983" s="106"/>
      <c r="O2983" s="106"/>
      <c r="P2983" s="106"/>
      <c r="Q2983" s="106"/>
      <c r="R2983" s="106"/>
      <c r="S2983" s="106"/>
      <c r="T2983" s="217"/>
      <c r="U2983" s="47"/>
      <c r="W2983" s="1"/>
      <c r="X2983" s="1"/>
      <c r="Y2983" s="1"/>
    </row>
    <row r="2984" spans="6:25">
      <c r="G2984" s="62" t="s">
        <v>69</v>
      </c>
      <c r="I2984" s="127">
        <f>J2984</f>
        <v>0</v>
      </c>
      <c r="J2984" s="10"/>
      <c r="K2984" s="60"/>
      <c r="L2984" s="60"/>
      <c r="M2984" s="60"/>
      <c r="N2984" s="60"/>
      <c r="O2984" s="60"/>
      <c r="P2984" s="60"/>
      <c r="Q2984" s="60"/>
      <c r="R2984" s="60"/>
      <c r="S2984" s="60"/>
      <c r="T2984" s="218"/>
      <c r="U2984" s="128"/>
      <c r="W2984" s="1"/>
      <c r="X2984" s="1"/>
      <c r="Y2984" s="1"/>
    </row>
    <row r="2985" spans="6:25">
      <c r="G2985" s="62" t="s">
        <v>70</v>
      </c>
      <c r="I2985" s="48"/>
      <c r="J2985" s="10">
        <f>J2969</f>
        <v>0</v>
      </c>
      <c r="K2985" s="56">
        <f>J2985</f>
        <v>0</v>
      </c>
      <c r="L2985" s="60"/>
      <c r="M2985" s="60"/>
      <c r="N2985" s="60"/>
      <c r="O2985" s="60"/>
      <c r="P2985" s="60"/>
      <c r="Q2985" s="60"/>
      <c r="R2985" s="60"/>
      <c r="S2985" s="60"/>
      <c r="T2985" s="218"/>
      <c r="U2985" s="128"/>
      <c r="W2985" s="1"/>
      <c r="X2985" s="1"/>
      <c r="Y2985" s="1"/>
    </row>
    <row r="2986" spans="6:25">
      <c r="G2986" s="62" t="s">
        <v>71</v>
      </c>
      <c r="I2986" s="48"/>
      <c r="J2986" s="56">
        <f>K2986</f>
        <v>0</v>
      </c>
      <c r="K2986" s="10"/>
      <c r="L2986" s="60"/>
      <c r="M2986" s="60"/>
      <c r="N2986" s="60"/>
      <c r="O2986" s="60"/>
      <c r="P2986" s="60"/>
      <c r="Q2986" s="60"/>
      <c r="R2986" s="60"/>
      <c r="S2986" s="60"/>
      <c r="T2986" s="218"/>
      <c r="U2986" s="128"/>
      <c r="W2986" s="1"/>
      <c r="X2986" s="1"/>
      <c r="Y2986" s="1"/>
    </row>
    <row r="2987" spans="6:25">
      <c r="G2987" s="62" t="s">
        <v>170</v>
      </c>
      <c r="I2987" s="48"/>
      <c r="J2987" s="118"/>
      <c r="K2987" s="10">
        <f>K2969</f>
        <v>0</v>
      </c>
      <c r="L2987" s="119">
        <f>K2987</f>
        <v>0</v>
      </c>
      <c r="M2987" s="60"/>
      <c r="N2987" s="60"/>
      <c r="O2987" s="60"/>
      <c r="P2987" s="60"/>
      <c r="Q2987" s="60"/>
      <c r="R2987" s="60"/>
      <c r="S2987" s="60"/>
      <c r="T2987" s="146"/>
      <c r="U2987" s="122"/>
      <c r="W2987" s="1"/>
      <c r="X2987" s="1"/>
      <c r="Y2987" s="1"/>
    </row>
    <row r="2988" spans="6:25">
      <c r="G2988" s="62" t="s">
        <v>171</v>
      </c>
      <c r="I2988" s="48"/>
      <c r="J2988" s="118"/>
      <c r="K2988" s="56">
        <f>L2988</f>
        <v>0</v>
      </c>
      <c r="L2988" s="10"/>
      <c r="M2988" s="60"/>
      <c r="N2988" s="60"/>
      <c r="O2988" s="60" t="s">
        <v>169</v>
      </c>
      <c r="P2988" s="60"/>
      <c r="Q2988" s="60"/>
      <c r="R2988" s="60"/>
      <c r="S2988" s="60"/>
      <c r="T2988" s="146"/>
      <c r="U2988" s="122"/>
      <c r="W2988" s="1"/>
      <c r="X2988" s="1"/>
      <c r="Y2988" s="1"/>
    </row>
    <row r="2989" spans="6:25">
      <c r="G2989" s="62" t="s">
        <v>172</v>
      </c>
      <c r="I2989" s="48"/>
      <c r="J2989" s="118"/>
      <c r="K2989" s="118"/>
      <c r="L2989" s="10">
        <f>L2969</f>
        <v>0</v>
      </c>
      <c r="M2989" s="119">
        <f>L2989</f>
        <v>0</v>
      </c>
      <c r="N2989" s="118"/>
      <c r="O2989" s="60"/>
      <c r="P2989" s="60"/>
      <c r="Q2989" s="60"/>
      <c r="R2989" s="60"/>
      <c r="S2989" s="60"/>
      <c r="T2989" s="146"/>
      <c r="U2989" s="122"/>
      <c r="W2989" s="1"/>
      <c r="X2989" s="1"/>
      <c r="Y2989" s="1"/>
    </row>
    <row r="2990" spans="6:25">
      <c r="G2990" s="62" t="s">
        <v>173</v>
      </c>
      <c r="I2990" s="48"/>
      <c r="J2990" s="118"/>
      <c r="K2990" s="118"/>
      <c r="L2990" s="56"/>
      <c r="M2990" s="10"/>
      <c r="N2990" s="118"/>
      <c r="O2990" s="60"/>
      <c r="P2990" s="60"/>
      <c r="Q2990" s="60"/>
      <c r="R2990" s="60"/>
      <c r="S2990" s="60"/>
      <c r="T2990" s="146"/>
      <c r="U2990" s="122"/>
      <c r="W2990" s="1"/>
      <c r="X2990" s="1"/>
      <c r="Y2990" s="1"/>
    </row>
    <row r="2991" spans="6:25">
      <c r="G2991" s="62" t="s">
        <v>174</v>
      </c>
      <c r="I2991" s="48"/>
      <c r="J2991" s="118"/>
      <c r="K2991" s="118"/>
      <c r="L2991" s="118"/>
      <c r="M2991" s="10">
        <f>M2969</f>
        <v>45911</v>
      </c>
      <c r="N2991" s="119">
        <f>M2991</f>
        <v>45911</v>
      </c>
      <c r="O2991" s="60"/>
      <c r="P2991" s="60"/>
      <c r="Q2991" s="60"/>
      <c r="R2991" s="60"/>
      <c r="S2991" s="60"/>
      <c r="T2991" s="146"/>
      <c r="U2991" s="122"/>
      <c r="W2991" s="1"/>
      <c r="X2991" s="1"/>
      <c r="Y2991" s="1"/>
    </row>
    <row r="2992" spans="6:25">
      <c r="G2992" s="62" t="s">
        <v>175</v>
      </c>
      <c r="I2992" s="48"/>
      <c r="J2992" s="118"/>
      <c r="K2992" s="118"/>
      <c r="L2992" s="118"/>
      <c r="M2992" s="56"/>
      <c r="N2992" s="10"/>
      <c r="O2992" s="60"/>
      <c r="P2992" s="60"/>
      <c r="Q2992" s="60"/>
      <c r="R2992" s="60"/>
      <c r="S2992" s="60"/>
      <c r="T2992" s="146"/>
      <c r="U2992" s="122"/>
      <c r="W2992" s="1"/>
      <c r="X2992" s="1"/>
      <c r="Y2992" s="1"/>
    </row>
    <row r="2993" spans="2:25">
      <c r="G2993" s="62" t="s">
        <v>176</v>
      </c>
      <c r="I2993" s="48"/>
      <c r="J2993" s="118"/>
      <c r="K2993" s="118"/>
      <c r="L2993" s="118"/>
      <c r="M2993" s="118"/>
      <c r="N2993" s="149">
        <f>N2969</f>
        <v>53189</v>
      </c>
      <c r="O2993" s="120">
        <f>N2993</f>
        <v>53189</v>
      </c>
      <c r="P2993" s="60"/>
      <c r="Q2993" s="60"/>
      <c r="R2993" s="60"/>
      <c r="S2993" s="60"/>
      <c r="T2993" s="146"/>
      <c r="U2993" s="122"/>
      <c r="W2993" s="1"/>
      <c r="X2993" s="1"/>
      <c r="Y2993" s="1"/>
    </row>
    <row r="2994" spans="2:25">
      <c r="G2994" s="62" t="s">
        <v>167</v>
      </c>
      <c r="I2994" s="48"/>
      <c r="J2994" s="118"/>
      <c r="K2994" s="118"/>
      <c r="L2994" s="118"/>
      <c r="M2994" s="118"/>
      <c r="N2994" s="150"/>
      <c r="O2994" s="121"/>
      <c r="P2994" s="60"/>
      <c r="Q2994" s="60"/>
      <c r="R2994" s="60"/>
      <c r="S2994" s="60"/>
      <c r="T2994" s="146"/>
      <c r="U2994" s="122"/>
      <c r="W2994" s="1"/>
      <c r="X2994" s="1"/>
      <c r="Y2994" s="1"/>
    </row>
    <row r="2995" spans="2:25">
      <c r="G2995" s="62" t="s">
        <v>168</v>
      </c>
      <c r="I2995" s="48"/>
      <c r="J2995" s="118"/>
      <c r="K2995" s="118"/>
      <c r="L2995" s="118"/>
      <c r="M2995" s="118"/>
      <c r="N2995" s="118"/>
      <c r="O2995" s="121">
        <v>0</v>
      </c>
      <c r="P2995" s="120">
        <f>O2995</f>
        <v>0</v>
      </c>
      <c r="Q2995" s="60"/>
      <c r="R2995" s="60"/>
      <c r="S2995" s="60"/>
      <c r="T2995" s="146"/>
      <c r="U2995" s="122"/>
      <c r="W2995" s="1"/>
      <c r="X2995" s="1"/>
      <c r="Y2995" s="1"/>
    </row>
    <row r="2996" spans="2:25">
      <c r="G2996" s="62" t="s">
        <v>185</v>
      </c>
      <c r="I2996" s="48"/>
      <c r="J2996" s="118"/>
      <c r="K2996" s="118"/>
      <c r="L2996" s="118"/>
      <c r="M2996" s="118"/>
      <c r="N2996" s="118"/>
      <c r="O2996" s="120"/>
      <c r="P2996" s="121"/>
      <c r="Q2996" s="60"/>
      <c r="R2996" s="60"/>
      <c r="S2996" s="60"/>
      <c r="T2996" s="146"/>
      <c r="U2996" s="122"/>
      <c r="W2996" s="1"/>
      <c r="X2996" s="1"/>
      <c r="Y2996" s="1"/>
    </row>
    <row r="2997" spans="2:25">
      <c r="G2997" s="62" t="s">
        <v>186</v>
      </c>
      <c r="I2997" s="48"/>
      <c r="J2997" s="118"/>
      <c r="K2997" s="118"/>
      <c r="L2997" s="118"/>
      <c r="M2997" s="118"/>
      <c r="N2997" s="118"/>
      <c r="O2997" s="118"/>
      <c r="P2997" s="121"/>
      <c r="Q2997" s="56"/>
      <c r="R2997" s="60"/>
      <c r="S2997" s="60"/>
      <c r="T2997" s="146"/>
      <c r="U2997" s="122"/>
      <c r="W2997" s="1"/>
      <c r="X2997" s="1"/>
      <c r="Y2997" s="1"/>
    </row>
    <row r="2998" spans="2:25">
      <c r="G2998" s="62" t="s">
        <v>187</v>
      </c>
      <c r="I2998" s="48"/>
      <c r="J2998" s="118"/>
      <c r="K2998" s="118"/>
      <c r="L2998" s="118"/>
      <c r="M2998" s="118"/>
      <c r="N2998" s="118"/>
      <c r="O2998" s="118"/>
      <c r="P2998" s="120"/>
      <c r="Q2998" s="306"/>
      <c r="R2998" s="60"/>
      <c r="S2998" s="60"/>
      <c r="T2998" s="146"/>
      <c r="U2998" s="122"/>
      <c r="W2998" s="1"/>
      <c r="X2998" s="1"/>
      <c r="Y2998" s="1"/>
    </row>
    <row r="2999" spans="2:25">
      <c r="G2999" s="62" t="s">
        <v>188</v>
      </c>
      <c r="I2999" s="48"/>
      <c r="J2999" s="118"/>
      <c r="K2999" s="118"/>
      <c r="L2999" s="118"/>
      <c r="M2999" s="118"/>
      <c r="N2999" s="118"/>
      <c r="O2999" s="118"/>
      <c r="P2999" s="118"/>
      <c r="Q2999" s="121"/>
      <c r="R2999" s="151"/>
      <c r="S2999" s="60"/>
      <c r="T2999" s="146"/>
      <c r="U2999" s="122"/>
      <c r="W2999" s="1"/>
      <c r="X2999" s="1"/>
      <c r="Y2999" s="1"/>
    </row>
    <row r="3000" spans="2:25">
      <c r="G3000" s="62" t="s">
        <v>189</v>
      </c>
      <c r="I3000" s="48"/>
      <c r="J3000" s="118"/>
      <c r="K3000" s="118"/>
      <c r="L3000" s="118"/>
      <c r="M3000" s="118"/>
      <c r="N3000" s="118"/>
      <c r="O3000" s="118"/>
      <c r="P3000" s="118"/>
      <c r="Q3000" s="151"/>
      <c r="R3000" s="173"/>
      <c r="S3000" s="60">
        <f>R3000</f>
        <v>0</v>
      </c>
      <c r="T3000" s="146"/>
      <c r="U3000" s="122"/>
      <c r="W3000" s="1"/>
      <c r="X3000" s="1"/>
      <c r="Y3000" s="1"/>
    </row>
    <row r="3001" spans="2:25">
      <c r="G3001" s="62" t="s">
        <v>190</v>
      </c>
      <c r="I3001" s="48"/>
      <c r="J3001" s="118"/>
      <c r="K3001" s="118"/>
      <c r="L3001" s="118"/>
      <c r="M3001" s="118"/>
      <c r="N3001" s="118"/>
      <c r="O3001" s="118"/>
      <c r="P3001" s="118"/>
      <c r="Q3001" s="118"/>
      <c r="R3001" s="173">
        <v>0</v>
      </c>
      <c r="S3001" s="151">
        <v>0</v>
      </c>
      <c r="T3001" s="146"/>
      <c r="U3001" s="122"/>
      <c r="W3001" s="1"/>
      <c r="X3001" s="1"/>
      <c r="Y3001" s="1"/>
    </row>
    <row r="3002" spans="2:25">
      <c r="G3002" s="62" t="s">
        <v>199</v>
      </c>
      <c r="I3002" s="48"/>
      <c r="J3002" s="118"/>
      <c r="K3002" s="118"/>
      <c r="L3002" s="118"/>
      <c r="M3002" s="118"/>
      <c r="N3002" s="118"/>
      <c r="O3002" s="118"/>
      <c r="P3002" s="118"/>
      <c r="Q3002" s="118"/>
      <c r="R3002" s="120"/>
      <c r="S3002" s="173">
        <v>0</v>
      </c>
      <c r="T3002" s="146">
        <f>S3002</f>
        <v>0</v>
      </c>
      <c r="U3002" s="122"/>
      <c r="W3002" s="1"/>
      <c r="X3002" s="1"/>
      <c r="Y3002" s="1"/>
    </row>
    <row r="3003" spans="2:25">
      <c r="G3003" s="62" t="s">
        <v>200</v>
      </c>
      <c r="I3003" s="48"/>
      <c r="J3003" s="118"/>
      <c r="K3003" s="118"/>
      <c r="L3003" s="118"/>
      <c r="M3003" s="118"/>
      <c r="N3003" s="118"/>
      <c r="O3003" s="118"/>
      <c r="P3003" s="118"/>
      <c r="Q3003" s="118"/>
      <c r="R3003" s="118"/>
      <c r="S3003" s="173">
        <f>T3003</f>
        <v>0</v>
      </c>
      <c r="T3003" s="151">
        <v>0</v>
      </c>
      <c r="U3003" s="122"/>
      <c r="W3003" s="1"/>
      <c r="X3003" s="1"/>
      <c r="Y3003" s="1"/>
    </row>
    <row r="3004" spans="2:25">
      <c r="G3004" s="62" t="s">
        <v>308</v>
      </c>
      <c r="I3004" s="48"/>
      <c r="J3004" s="118"/>
      <c r="K3004" s="118"/>
      <c r="L3004" s="118"/>
      <c r="M3004" s="118"/>
      <c r="N3004" s="118"/>
      <c r="O3004" s="118"/>
      <c r="P3004" s="118"/>
      <c r="Q3004" s="118"/>
      <c r="R3004" s="118"/>
      <c r="S3004" s="120"/>
      <c r="T3004" s="173">
        <v>0</v>
      </c>
      <c r="U3004" s="122">
        <f>T3004</f>
        <v>0</v>
      </c>
      <c r="W3004" s="1"/>
      <c r="X3004" s="1"/>
      <c r="Y3004" s="1"/>
    </row>
    <row r="3005" spans="2:25">
      <c r="G3005" s="62" t="s">
        <v>307</v>
      </c>
      <c r="I3005" s="114"/>
      <c r="J3005" s="107"/>
      <c r="K3005" s="107"/>
      <c r="L3005" s="107"/>
      <c r="M3005" s="107"/>
      <c r="N3005" s="107"/>
      <c r="O3005" s="107"/>
      <c r="P3005" s="107"/>
      <c r="Q3005" s="107"/>
      <c r="R3005" s="107"/>
      <c r="S3005" s="107"/>
      <c r="T3005" s="173">
        <f>U3005</f>
        <v>0</v>
      </c>
      <c r="U3005" s="456">
        <v>0</v>
      </c>
      <c r="W3005" s="1"/>
      <c r="X3005" s="1"/>
      <c r="Y3005" s="1"/>
    </row>
    <row r="3006" spans="2:25">
      <c r="G3006" s="62" t="s">
        <v>318</v>
      </c>
      <c r="I3006" s="114"/>
      <c r="J3006" s="107"/>
      <c r="K3006" s="107"/>
      <c r="L3006" s="107"/>
      <c r="M3006" s="107"/>
      <c r="N3006" s="107"/>
      <c r="O3006" s="107"/>
      <c r="P3006" s="107"/>
      <c r="Q3006" s="107"/>
      <c r="R3006" s="107"/>
      <c r="S3006" s="107"/>
      <c r="T3006" s="120"/>
      <c r="U3006" s="457">
        <v>0</v>
      </c>
      <c r="W3006" s="1"/>
      <c r="X3006" s="1"/>
      <c r="Y3006" s="1"/>
    </row>
    <row r="3007" spans="2:25">
      <c r="G3007" s="62" t="s">
        <v>319</v>
      </c>
      <c r="I3007" s="49"/>
      <c r="J3007" s="194"/>
      <c r="K3007" s="194"/>
      <c r="L3007" s="194"/>
      <c r="M3007" s="194"/>
      <c r="N3007" s="194"/>
      <c r="O3007" s="194"/>
      <c r="P3007" s="194"/>
      <c r="Q3007" s="194"/>
      <c r="R3007" s="194"/>
      <c r="S3007" s="194">
        <f>S3000-S3001+S3002-S3003</f>
        <v>0</v>
      </c>
      <c r="T3007" s="194">
        <f>T3002-T3003-T3004+T3005</f>
        <v>0</v>
      </c>
      <c r="U3007" s="458">
        <f>U3004-U3005-U3006</f>
        <v>0</v>
      </c>
      <c r="W3007" s="1"/>
      <c r="X3007" s="1"/>
      <c r="Y3007" s="1"/>
    </row>
    <row r="3008" spans="2:25">
      <c r="B3008" s="1" t="s">
        <v>154</v>
      </c>
      <c r="G3008" s="26" t="s">
        <v>17</v>
      </c>
      <c r="I3008" s="7">
        <f xml:space="preserve"> I2989 - I2988</f>
        <v>0</v>
      </c>
      <c r="J3008" s="7">
        <f xml:space="preserve"> J2988 + J2991 - J2990 - J2989</f>
        <v>0</v>
      </c>
      <c r="K3008" s="7">
        <v>0</v>
      </c>
      <c r="L3008" s="7">
        <f>L2987-L2988-L2989</f>
        <v>0</v>
      </c>
      <c r="M3008" s="7">
        <f>M2989-M2990-M2991</f>
        <v>-45911</v>
      </c>
      <c r="N3008" s="7">
        <f>N2991-N2992-N2993</f>
        <v>-7278</v>
      </c>
      <c r="O3008" s="7">
        <f>O2993-O2994-O2995</f>
        <v>53189</v>
      </c>
      <c r="P3008" s="154">
        <f>P2995-P2996-P2997</f>
        <v>0</v>
      </c>
      <c r="Q3008" s="154">
        <f>Q2997-Q2998-Q2999</f>
        <v>0</v>
      </c>
      <c r="R3008" s="154">
        <f>R3002</f>
        <v>0</v>
      </c>
      <c r="S3008" s="7">
        <f>S3003*-1</f>
        <v>0</v>
      </c>
      <c r="T3008" s="7">
        <f>T3003-T3004-T3005</f>
        <v>0</v>
      </c>
      <c r="U3008" s="7">
        <f>U3003-U3004-U3005</f>
        <v>0</v>
      </c>
      <c r="W3008" s="1"/>
      <c r="X3008" s="1"/>
      <c r="Y3008" s="1"/>
    </row>
    <row r="3009" spans="1:25">
      <c r="G3009" s="6"/>
      <c r="I3009" s="154"/>
      <c r="J3009" s="154"/>
      <c r="K3009" s="154"/>
      <c r="L3009" s="154"/>
      <c r="M3009" s="154"/>
      <c r="N3009" s="154"/>
      <c r="O3009" s="154"/>
      <c r="P3009" s="154"/>
      <c r="Q3009" s="154"/>
      <c r="R3009" s="154"/>
      <c r="S3009" s="154"/>
      <c r="T3009" s="154"/>
      <c r="U3009" s="154"/>
      <c r="W3009" s="1"/>
      <c r="X3009" s="1"/>
      <c r="Y3009" s="1"/>
    </row>
    <row r="3010" spans="1:25">
      <c r="G3010" s="26" t="s">
        <v>12</v>
      </c>
      <c r="H3010" s="57"/>
      <c r="I3010" s="155"/>
      <c r="J3010" s="156"/>
      <c r="K3010" s="156"/>
      <c r="L3010" s="156"/>
      <c r="M3010" s="156"/>
      <c r="N3010" s="156"/>
      <c r="O3010" s="156"/>
      <c r="P3010" s="156"/>
      <c r="Q3010" s="156"/>
      <c r="R3010" s="156"/>
      <c r="S3010" s="156"/>
      <c r="T3010" s="156"/>
      <c r="U3010" s="267"/>
      <c r="W3010" s="1"/>
      <c r="X3010" s="1"/>
      <c r="Y3010" s="1"/>
    </row>
    <row r="3011" spans="1:25">
      <c r="G3011" s="6"/>
      <c r="I3011" s="154"/>
      <c r="J3011" s="154"/>
      <c r="K3011" s="154"/>
      <c r="L3011" s="154"/>
      <c r="M3011" s="154"/>
      <c r="N3011" s="154"/>
      <c r="O3011" s="154"/>
      <c r="P3011" s="154"/>
      <c r="Q3011" s="154"/>
      <c r="R3011" s="154"/>
      <c r="S3011" s="154"/>
      <c r="T3011" s="154"/>
      <c r="U3011" s="154"/>
      <c r="W3011" s="1"/>
      <c r="X3011" s="1"/>
      <c r="Y3011" s="1"/>
    </row>
    <row r="3012" spans="1:25" ht="18.75">
      <c r="C3012" s="1" t="s">
        <v>154</v>
      </c>
      <c r="D3012" s="1" t="s">
        <v>155</v>
      </c>
      <c r="E3012" s="1" t="s">
        <v>107</v>
      </c>
      <c r="F3012" s="9" t="s">
        <v>26</v>
      </c>
      <c r="H3012" s="57"/>
      <c r="I3012" s="157">
        <f t="shared" ref="I3012:S3012" si="1430" xml:space="preserve"> I2969 + I2974 - I2980 + I3008 + I3010</f>
        <v>0</v>
      </c>
      <c r="J3012" s="158">
        <f t="shared" si="1430"/>
        <v>0</v>
      </c>
      <c r="K3012" s="158">
        <f t="shared" si="1430"/>
        <v>0</v>
      </c>
      <c r="L3012" s="158">
        <f t="shared" si="1430"/>
        <v>0</v>
      </c>
      <c r="M3012" s="158">
        <f t="shared" si="1430"/>
        <v>0</v>
      </c>
      <c r="N3012" s="158">
        <f t="shared" si="1430"/>
        <v>45911</v>
      </c>
      <c r="O3012" s="158">
        <f t="shared" si="1430"/>
        <v>102623</v>
      </c>
      <c r="P3012" s="158">
        <f t="shared" si="1430"/>
        <v>42284</v>
      </c>
      <c r="Q3012" s="158">
        <f t="shared" si="1430"/>
        <v>20249.710123227731</v>
      </c>
      <c r="R3012" s="158">
        <f t="shared" si="1430"/>
        <v>42198.447670147259</v>
      </c>
      <c r="S3012" s="158">
        <f t="shared" si="1430"/>
        <v>31268</v>
      </c>
      <c r="T3012" s="158">
        <f t="shared" ref="T3012:U3012" si="1431" xml:space="preserve"> T2969 + T2974 - T2980 + T3008 + T3010</f>
        <v>31063</v>
      </c>
      <c r="U3012" s="268">
        <f t="shared" si="1431"/>
        <v>42480.460155410867</v>
      </c>
      <c r="W3012" s="1"/>
      <c r="X3012" s="1"/>
      <c r="Y3012" s="1"/>
    </row>
    <row r="3013" spans="1:25">
      <c r="G3013" s="6"/>
      <c r="I3013" s="7"/>
      <c r="J3013" s="7"/>
      <c r="K3013" s="7"/>
      <c r="L3013" s="23"/>
      <c r="M3013" s="23"/>
      <c r="N3013" s="23"/>
      <c r="O3013" s="23"/>
      <c r="P3013" s="23"/>
      <c r="Q3013" s="23"/>
      <c r="R3013" s="23"/>
      <c r="S3013" s="282"/>
      <c r="T3013" s="23"/>
      <c r="U3013" s="23"/>
      <c r="W3013" s="1"/>
      <c r="X3013" s="1"/>
      <c r="Y3013" s="1"/>
    </row>
    <row r="3014" spans="1:25" ht="15.75" thickBot="1">
      <c r="W3014" s="1"/>
      <c r="X3014" s="1"/>
      <c r="Y3014" s="1"/>
    </row>
    <row r="3015" spans="1:25" ht="15.75" thickBot="1">
      <c r="F3015" s="8"/>
      <c r="G3015" s="8"/>
      <c r="H3015" s="8"/>
      <c r="I3015" s="8"/>
      <c r="J3015" s="8"/>
      <c r="K3015" s="8"/>
      <c r="L3015" s="8"/>
      <c r="M3015" s="8"/>
      <c r="N3015" s="8"/>
      <c r="O3015" s="8"/>
      <c r="P3015" s="8"/>
      <c r="Q3015" s="8"/>
      <c r="R3015" s="8"/>
      <c r="S3015" s="290"/>
      <c r="T3015" s="8"/>
      <c r="U3015" s="8"/>
      <c r="W3015" s="1"/>
      <c r="X3015" s="1"/>
      <c r="Y3015" s="1"/>
    </row>
    <row r="3016" spans="1:25" ht="21.75" thickBot="1">
      <c r="F3016" s="13" t="s">
        <v>4</v>
      </c>
      <c r="G3016" s="13"/>
      <c r="H3016" s="185" t="s">
        <v>268</v>
      </c>
      <c r="I3016" s="183"/>
      <c r="W3016" s="1"/>
      <c r="X3016" s="1"/>
      <c r="Y3016" s="1"/>
    </row>
    <row r="3017" spans="1:25">
      <c r="W3017" s="1"/>
      <c r="X3017" s="1"/>
      <c r="Y3017" s="1"/>
    </row>
    <row r="3018" spans="1:25" ht="18.75">
      <c r="F3018" s="9" t="s">
        <v>21</v>
      </c>
      <c r="G3018" s="9"/>
      <c r="I3018" s="2">
        <v>2011</v>
      </c>
      <c r="J3018" s="2">
        <f>I3018+1</f>
        <v>2012</v>
      </c>
      <c r="K3018" s="2">
        <f t="shared" ref="K3018" si="1432">J3018+1</f>
        <v>2013</v>
      </c>
      <c r="L3018" s="2">
        <f t="shared" ref="L3018" si="1433">K3018+1</f>
        <v>2014</v>
      </c>
      <c r="M3018" s="2">
        <f t="shared" ref="M3018" si="1434">L3018+1</f>
        <v>2015</v>
      </c>
      <c r="N3018" s="2">
        <f t="shared" ref="N3018" si="1435">M3018+1</f>
        <v>2016</v>
      </c>
      <c r="O3018" s="2">
        <f t="shared" ref="O3018" si="1436">N3018+1</f>
        <v>2017</v>
      </c>
      <c r="P3018" s="2">
        <f t="shared" ref="P3018" si="1437">O3018+1</f>
        <v>2018</v>
      </c>
      <c r="Q3018" s="2">
        <f t="shared" ref="Q3018" si="1438">P3018+1</f>
        <v>2019</v>
      </c>
      <c r="R3018" s="2">
        <f t="shared" ref="R3018" si="1439">Q3018+1</f>
        <v>2020</v>
      </c>
      <c r="S3018" s="2">
        <f>R3018+1</f>
        <v>2021</v>
      </c>
      <c r="T3018" s="2">
        <f>S3018+1</f>
        <v>2022</v>
      </c>
      <c r="U3018" s="2">
        <f>T3018+1</f>
        <v>2023</v>
      </c>
      <c r="W3018" s="1"/>
      <c r="X3018" s="1"/>
      <c r="Y3018" s="1"/>
    </row>
    <row r="3019" spans="1:25">
      <c r="G3019" s="62" t="str">
        <f>"Total MWh Produced / Purchased from " &amp; H3016</f>
        <v>Total MWh Produced / Purchased from TB Flats Wind I</v>
      </c>
      <c r="H3019" s="57"/>
      <c r="I3019" s="3"/>
      <c r="J3019" s="4"/>
      <c r="K3019" s="4"/>
      <c r="L3019" s="4"/>
      <c r="M3019" s="4"/>
      <c r="N3019" s="4"/>
      <c r="O3019" s="4"/>
      <c r="P3019" s="4"/>
      <c r="Q3019" s="4"/>
      <c r="R3019" s="4"/>
      <c r="S3019" s="4">
        <v>764615</v>
      </c>
      <c r="T3019" s="4">
        <v>874045</v>
      </c>
      <c r="U3019" s="5">
        <v>823547</v>
      </c>
      <c r="W3019" s="1"/>
      <c r="X3019" s="1"/>
      <c r="Y3019" s="1"/>
    </row>
    <row r="3020" spans="1:25">
      <c r="G3020" s="62" t="s">
        <v>25</v>
      </c>
      <c r="H3020" s="57"/>
      <c r="I3020" s="269"/>
      <c r="J3020" s="41"/>
      <c r="K3020" s="41"/>
      <c r="L3020" s="41"/>
      <c r="M3020" s="41"/>
      <c r="N3020" s="41"/>
      <c r="O3020" s="41"/>
      <c r="P3020" s="41"/>
      <c r="Q3020" s="41"/>
      <c r="R3020" s="41"/>
      <c r="S3020" s="41">
        <v>1</v>
      </c>
      <c r="T3020" s="41">
        <v>1</v>
      </c>
      <c r="U3020" s="42">
        <v>1</v>
      </c>
      <c r="W3020" s="1"/>
      <c r="X3020" s="1"/>
      <c r="Y3020" s="1"/>
    </row>
    <row r="3021" spans="1:25">
      <c r="G3021" s="62" t="s">
        <v>20</v>
      </c>
      <c r="H3021" s="57"/>
      <c r="I3021" s="270"/>
      <c r="J3021" s="36"/>
      <c r="K3021" s="36"/>
      <c r="L3021" s="36"/>
      <c r="M3021" s="36"/>
      <c r="N3021" s="36"/>
      <c r="O3021" s="36"/>
      <c r="P3021" s="36"/>
      <c r="Q3021" s="36"/>
      <c r="R3021" s="36"/>
      <c r="S3021" s="36">
        <f>S2</f>
        <v>7.9696892166366717E-2</v>
      </c>
      <c r="T3021" s="36">
        <f>T2</f>
        <v>7.8737918965874246E-2</v>
      </c>
      <c r="U3021" s="36">
        <f>U2</f>
        <v>7.8407467372863096E-2</v>
      </c>
      <c r="W3021" s="1"/>
      <c r="X3021" s="1"/>
      <c r="Y3021" s="1"/>
    </row>
    <row r="3022" spans="1:25">
      <c r="A3022" s="1" t="s">
        <v>268</v>
      </c>
      <c r="G3022" s="26" t="s">
        <v>22</v>
      </c>
      <c r="H3022" s="6"/>
      <c r="I3022" s="30">
        <v>0</v>
      </c>
      <c r="J3022" s="30">
        <v>0</v>
      </c>
      <c r="K3022" s="30">
        <v>0</v>
      </c>
      <c r="L3022" s="30">
        <v>0</v>
      </c>
      <c r="M3022" s="30">
        <v>0</v>
      </c>
      <c r="N3022" s="161">
        <v>0</v>
      </c>
      <c r="O3022" s="161">
        <v>0</v>
      </c>
      <c r="P3022" s="161">
        <v>0</v>
      </c>
      <c r="Q3022" s="161">
        <f>Q3019*Q3021</f>
        <v>0</v>
      </c>
      <c r="R3022" s="161">
        <f>R3019*R3021</f>
        <v>0</v>
      </c>
      <c r="S3022" s="161">
        <f>ROUNDUP(S3019*S3021,0)</f>
        <v>60938</v>
      </c>
      <c r="T3022" s="161">
        <f>ROUNDUP(T3019*T3021,0)</f>
        <v>68821</v>
      </c>
      <c r="U3022" s="161">
        <f>U3019*U3021</f>
        <v>64572.234532519287</v>
      </c>
      <c r="W3022" s="1"/>
      <c r="X3022" s="1"/>
      <c r="Y3022" s="1"/>
    </row>
    <row r="3023" spans="1:25">
      <c r="I3023" s="29"/>
      <c r="J3023" s="29"/>
      <c r="K3023" s="29"/>
      <c r="L3023" s="29"/>
      <c r="M3023" s="29"/>
      <c r="N3023" s="20"/>
      <c r="O3023" s="20"/>
      <c r="P3023" s="20"/>
      <c r="Q3023" s="20"/>
      <c r="R3023" s="20"/>
      <c r="S3023" s="292"/>
      <c r="T3023" s="20"/>
      <c r="U3023" s="20"/>
      <c r="W3023" s="1"/>
      <c r="X3023" s="1"/>
      <c r="Y3023" s="1"/>
    </row>
    <row r="3024" spans="1:25" ht="18.75">
      <c r="F3024" s="9" t="s">
        <v>118</v>
      </c>
      <c r="I3024" s="2">
        <v>2011</v>
      </c>
      <c r="J3024" s="2">
        <f>I3024+1</f>
        <v>2012</v>
      </c>
      <c r="K3024" s="2">
        <f t="shared" ref="K3024" si="1440">J3024+1</f>
        <v>2013</v>
      </c>
      <c r="L3024" s="2">
        <f t="shared" ref="L3024" si="1441">K3024+1</f>
        <v>2014</v>
      </c>
      <c r="M3024" s="2">
        <f t="shared" ref="M3024" si="1442">L3024+1</f>
        <v>2015</v>
      </c>
      <c r="N3024" s="2">
        <f t="shared" ref="N3024" si="1443">M3024+1</f>
        <v>2016</v>
      </c>
      <c r="O3024" s="2">
        <f t="shared" ref="O3024" si="1444">N3024+1</f>
        <v>2017</v>
      </c>
      <c r="P3024" s="2">
        <f t="shared" ref="P3024" si="1445">O3024+1</f>
        <v>2018</v>
      </c>
      <c r="Q3024" s="2">
        <f t="shared" ref="Q3024" si="1446">P3024+1</f>
        <v>2019</v>
      </c>
      <c r="R3024" s="2">
        <f t="shared" ref="R3024" si="1447">Q3024+1</f>
        <v>2020</v>
      </c>
      <c r="S3024" s="2">
        <f>R3024+1</f>
        <v>2021</v>
      </c>
      <c r="T3024" s="2">
        <f>S3024+1</f>
        <v>2022</v>
      </c>
      <c r="U3024" s="2">
        <f>T3024+1</f>
        <v>2023</v>
      </c>
      <c r="W3024" s="1"/>
      <c r="X3024" s="1"/>
      <c r="Y3024" s="1"/>
    </row>
    <row r="3025" spans="6:25">
      <c r="G3025" s="62" t="s">
        <v>10</v>
      </c>
      <c r="H3025" s="57"/>
      <c r="I3025" s="38">
        <f>IF($J65= "Eligible", I3022 * 'Facility Detail'!$G$3257, 0 )</f>
        <v>0</v>
      </c>
      <c r="J3025" s="11">
        <f>IF($J65= "Eligible", J3022 * 'Facility Detail'!$G$3257, 0 )</f>
        <v>0</v>
      </c>
      <c r="K3025" s="11">
        <f>IF($J65= "Eligible", K3022 * 'Facility Detail'!$G$3257, 0 )</f>
        <v>0</v>
      </c>
      <c r="L3025" s="11">
        <f>IF($J65= "Eligible", L3022 * 'Facility Detail'!$G$3257, 0 )</f>
        <v>0</v>
      </c>
      <c r="M3025" s="11">
        <f>IF($J65= "Eligible", M3022 * 'Facility Detail'!$G$3257, 0 )</f>
        <v>0</v>
      </c>
      <c r="N3025" s="11">
        <f>IF($J65= "Eligible", N3022 * 'Facility Detail'!$G$3257, 0 )</f>
        <v>0</v>
      </c>
      <c r="O3025" s="11">
        <f>IF($J65= "Eligible", O3022 * 'Facility Detail'!$G$3257, 0 )</f>
        <v>0</v>
      </c>
      <c r="P3025" s="11">
        <f>IF($J65= "Eligible", P3022 * 'Facility Detail'!$G$3257, 0 )</f>
        <v>0</v>
      </c>
      <c r="Q3025" s="11">
        <f>IF($J65= "Eligible", Q3022 * 'Facility Detail'!$G$3257, 0 )</f>
        <v>0</v>
      </c>
      <c r="R3025" s="11">
        <f>IF($J65= "Eligible", R3022 * 'Facility Detail'!$G$3257, 0 )</f>
        <v>0</v>
      </c>
      <c r="S3025" s="11">
        <f>IF($J65= "Eligible", S3022 * 'Facility Detail'!$G$3257, 0 )</f>
        <v>0</v>
      </c>
      <c r="T3025" s="11">
        <f>IF($J65= "Eligible", T3022 * 'Facility Detail'!$G$3257, 0 )</f>
        <v>0</v>
      </c>
      <c r="U3025" s="223">
        <f>IF($J65= "Eligible", U3022 * 'Facility Detail'!$G$3257, 0 )</f>
        <v>0</v>
      </c>
      <c r="W3025" s="1"/>
      <c r="X3025" s="1"/>
      <c r="Y3025" s="1"/>
    </row>
    <row r="3026" spans="6:25">
      <c r="G3026" s="62" t="s">
        <v>6</v>
      </c>
      <c r="H3026" s="57"/>
      <c r="I3026" s="39">
        <f t="shared" ref="I3026:U3026" si="1448">IF($K65= "Eligible", I3022, 0 )</f>
        <v>0</v>
      </c>
      <c r="J3026" s="193">
        <f t="shared" si="1448"/>
        <v>0</v>
      </c>
      <c r="K3026" s="193">
        <f t="shared" si="1448"/>
        <v>0</v>
      </c>
      <c r="L3026" s="193">
        <f t="shared" si="1448"/>
        <v>0</v>
      </c>
      <c r="M3026" s="193">
        <f t="shared" si="1448"/>
        <v>0</v>
      </c>
      <c r="N3026" s="193">
        <f t="shared" si="1448"/>
        <v>0</v>
      </c>
      <c r="O3026" s="193">
        <f t="shared" si="1448"/>
        <v>0</v>
      </c>
      <c r="P3026" s="193">
        <f t="shared" si="1448"/>
        <v>0</v>
      </c>
      <c r="Q3026" s="193">
        <f t="shared" si="1448"/>
        <v>0</v>
      </c>
      <c r="R3026" s="193">
        <f t="shared" si="1448"/>
        <v>0</v>
      </c>
      <c r="S3026" s="193">
        <f t="shared" si="1448"/>
        <v>0</v>
      </c>
      <c r="T3026" s="193">
        <f t="shared" si="1448"/>
        <v>0</v>
      </c>
      <c r="U3026" s="224">
        <f t="shared" si="1448"/>
        <v>0</v>
      </c>
      <c r="W3026" s="1"/>
      <c r="X3026" s="1"/>
      <c r="Y3026" s="1"/>
    </row>
    <row r="3027" spans="6:25">
      <c r="G3027" s="26" t="s">
        <v>120</v>
      </c>
      <c r="H3027" s="6"/>
      <c r="I3027" s="32">
        <f>SUM(I3025:I3026)</f>
        <v>0</v>
      </c>
      <c r="J3027" s="33">
        <f t="shared" ref="J3027:S3027" si="1449">SUM(J3025:J3026)</f>
        <v>0</v>
      </c>
      <c r="K3027" s="33">
        <f t="shared" si="1449"/>
        <v>0</v>
      </c>
      <c r="L3027" s="33">
        <f t="shared" si="1449"/>
        <v>0</v>
      </c>
      <c r="M3027" s="33">
        <f t="shared" si="1449"/>
        <v>0</v>
      </c>
      <c r="N3027" s="33">
        <f t="shared" si="1449"/>
        <v>0</v>
      </c>
      <c r="O3027" s="33">
        <f t="shared" si="1449"/>
        <v>0</v>
      </c>
      <c r="P3027" s="33">
        <f t="shared" si="1449"/>
        <v>0</v>
      </c>
      <c r="Q3027" s="33">
        <f t="shared" si="1449"/>
        <v>0</v>
      </c>
      <c r="R3027" s="33">
        <f t="shared" si="1449"/>
        <v>0</v>
      </c>
      <c r="S3027" s="33">
        <f t="shared" si="1449"/>
        <v>0</v>
      </c>
      <c r="T3027" s="33">
        <f t="shared" ref="T3027:U3027" si="1450">SUM(T3025:T3026)</f>
        <v>0</v>
      </c>
      <c r="U3027" s="33">
        <f t="shared" si="1450"/>
        <v>0</v>
      </c>
      <c r="W3027" s="1"/>
      <c r="X3027" s="1"/>
      <c r="Y3027" s="1"/>
    </row>
    <row r="3028" spans="6:25">
      <c r="I3028" s="31"/>
      <c r="J3028" s="24"/>
      <c r="K3028" s="24"/>
      <c r="L3028" s="24"/>
      <c r="M3028" s="24"/>
      <c r="N3028" s="24"/>
      <c r="O3028" s="24"/>
      <c r="P3028" s="24"/>
      <c r="Q3028" s="24"/>
      <c r="R3028" s="24"/>
      <c r="S3028" s="24"/>
      <c r="T3028" s="24"/>
      <c r="U3028" s="24"/>
      <c r="W3028" s="1"/>
      <c r="X3028" s="1"/>
      <c r="Y3028" s="1"/>
    </row>
    <row r="3029" spans="6:25" ht="18.75">
      <c r="F3029" s="9" t="s">
        <v>30</v>
      </c>
      <c r="I3029" s="2">
        <v>2011</v>
      </c>
      <c r="J3029" s="2">
        <f>I3029+1</f>
        <v>2012</v>
      </c>
      <c r="K3029" s="2">
        <f t="shared" ref="K3029" si="1451">J3029+1</f>
        <v>2013</v>
      </c>
      <c r="L3029" s="2">
        <f t="shared" ref="L3029" si="1452">K3029+1</f>
        <v>2014</v>
      </c>
      <c r="M3029" s="2">
        <f t="shared" ref="M3029" si="1453">L3029+1</f>
        <v>2015</v>
      </c>
      <c r="N3029" s="2">
        <f t="shared" ref="N3029" si="1454">M3029+1</f>
        <v>2016</v>
      </c>
      <c r="O3029" s="2">
        <f t="shared" ref="O3029" si="1455">N3029+1</f>
        <v>2017</v>
      </c>
      <c r="P3029" s="2">
        <f t="shared" ref="P3029" si="1456">O3029+1</f>
        <v>2018</v>
      </c>
      <c r="Q3029" s="2">
        <f t="shared" ref="Q3029" si="1457">P3029+1</f>
        <v>2019</v>
      </c>
      <c r="R3029" s="2">
        <f t="shared" ref="R3029" si="1458">Q3029+1</f>
        <v>2020</v>
      </c>
      <c r="S3029" s="2">
        <f>R3029+1</f>
        <v>2021</v>
      </c>
      <c r="T3029" s="2">
        <f>S3029+1</f>
        <v>2022</v>
      </c>
      <c r="U3029" s="2">
        <f>T3029+1</f>
        <v>2023</v>
      </c>
      <c r="W3029" s="1"/>
      <c r="X3029" s="1"/>
      <c r="Y3029" s="1"/>
    </row>
    <row r="3030" spans="6:25">
      <c r="G3030" s="62" t="s">
        <v>47</v>
      </c>
      <c r="H3030" s="57"/>
      <c r="I3030" s="71"/>
      <c r="J3030" s="72"/>
      <c r="K3030" s="72"/>
      <c r="L3030" s="72"/>
      <c r="M3030" s="72"/>
      <c r="N3030" s="72"/>
      <c r="O3030" s="72"/>
      <c r="P3030" s="72"/>
      <c r="Q3030" s="72"/>
      <c r="R3030" s="72"/>
      <c r="S3030" s="72"/>
      <c r="T3030" s="72"/>
      <c r="U3030" s="73"/>
      <c r="W3030" s="1"/>
      <c r="X3030" s="1"/>
      <c r="Y3030" s="1"/>
    </row>
    <row r="3031" spans="6:25">
      <c r="G3031" s="63" t="s">
        <v>23</v>
      </c>
      <c r="H3031" s="135"/>
      <c r="I3031" s="74"/>
      <c r="J3031" s="75"/>
      <c r="K3031" s="75"/>
      <c r="L3031" s="75"/>
      <c r="M3031" s="75"/>
      <c r="N3031" s="75"/>
      <c r="O3031" s="75"/>
      <c r="P3031" s="75"/>
      <c r="Q3031" s="75"/>
      <c r="R3031" s="75"/>
      <c r="S3031" s="75"/>
      <c r="T3031" s="75"/>
      <c r="U3031" s="76"/>
      <c r="W3031" s="1"/>
      <c r="X3031" s="1"/>
      <c r="Y3031" s="1"/>
    </row>
    <row r="3032" spans="6:25">
      <c r="G3032" s="63" t="s">
        <v>89</v>
      </c>
      <c r="H3032" s="134"/>
      <c r="I3032" s="43"/>
      <c r="J3032" s="44"/>
      <c r="K3032" s="44"/>
      <c r="L3032" s="44"/>
      <c r="M3032" s="44"/>
      <c r="N3032" s="44"/>
      <c r="O3032" s="44"/>
      <c r="P3032" s="44"/>
      <c r="Q3032" s="44"/>
      <c r="R3032" s="44"/>
      <c r="S3032" s="44"/>
      <c r="T3032" s="44"/>
      <c r="U3032" s="45"/>
      <c r="W3032" s="1"/>
      <c r="X3032" s="1"/>
      <c r="Y3032" s="1"/>
    </row>
    <row r="3033" spans="6:25">
      <c r="G3033" s="26" t="s">
        <v>90</v>
      </c>
      <c r="I3033" s="7">
        <v>0</v>
      </c>
      <c r="J3033" s="7">
        <v>0</v>
      </c>
      <c r="K3033" s="7">
        <v>0</v>
      </c>
      <c r="L3033" s="7">
        <v>0</v>
      </c>
      <c r="M3033" s="7">
        <v>0</v>
      </c>
      <c r="N3033" s="7">
        <v>0</v>
      </c>
      <c r="O3033" s="7">
        <v>0</v>
      </c>
      <c r="P3033" s="7">
        <v>0</v>
      </c>
      <c r="Q3033" s="7">
        <v>0</v>
      </c>
      <c r="R3033" s="7">
        <v>0</v>
      </c>
      <c r="S3033" s="7">
        <v>0</v>
      </c>
      <c r="T3033" s="7">
        <v>0</v>
      </c>
      <c r="U3033" s="7">
        <v>0</v>
      </c>
      <c r="W3033" s="1"/>
      <c r="X3033" s="1"/>
      <c r="Y3033" s="1"/>
    </row>
    <row r="3034" spans="6:25">
      <c r="G3034" s="6"/>
      <c r="I3034" s="7"/>
      <c r="J3034" s="7"/>
      <c r="K3034" s="7"/>
      <c r="L3034" s="23"/>
      <c r="M3034" s="23"/>
      <c r="N3034" s="23"/>
      <c r="O3034" s="23"/>
      <c r="P3034" s="23"/>
      <c r="Q3034" s="23"/>
      <c r="R3034" s="23"/>
      <c r="S3034" s="282"/>
      <c r="T3034" s="23"/>
      <c r="U3034" s="23"/>
      <c r="W3034" s="1"/>
      <c r="X3034" s="1"/>
      <c r="Y3034" s="1"/>
    </row>
    <row r="3035" spans="6:25" ht="18.75">
      <c r="F3035" s="9" t="s">
        <v>100</v>
      </c>
      <c r="I3035" s="2">
        <f>'Facility Detail'!$G$3260</f>
        <v>2011</v>
      </c>
      <c r="J3035" s="2">
        <f>I3035+1</f>
        <v>2012</v>
      </c>
      <c r="K3035" s="2">
        <f t="shared" ref="K3035" si="1459">J3035+1</f>
        <v>2013</v>
      </c>
      <c r="L3035" s="2">
        <f t="shared" ref="L3035" si="1460">K3035+1</f>
        <v>2014</v>
      </c>
      <c r="M3035" s="2">
        <f t="shared" ref="M3035" si="1461">L3035+1</f>
        <v>2015</v>
      </c>
      <c r="N3035" s="2">
        <f t="shared" ref="N3035" si="1462">M3035+1</f>
        <v>2016</v>
      </c>
      <c r="O3035" s="2">
        <f t="shared" ref="O3035" si="1463">N3035+1</f>
        <v>2017</v>
      </c>
      <c r="P3035" s="2">
        <f t="shared" ref="P3035" si="1464">O3035+1</f>
        <v>2018</v>
      </c>
      <c r="Q3035" s="2">
        <f t="shared" ref="Q3035" si="1465">P3035+1</f>
        <v>2019</v>
      </c>
      <c r="R3035" s="2">
        <f t="shared" ref="R3035" si="1466">Q3035+1</f>
        <v>2020</v>
      </c>
      <c r="S3035" s="2">
        <f>R3035+1</f>
        <v>2021</v>
      </c>
      <c r="T3035" s="2">
        <f>S3035+1</f>
        <v>2022</v>
      </c>
      <c r="U3035" s="2">
        <f>T3035+1</f>
        <v>2023</v>
      </c>
      <c r="W3035" s="1"/>
      <c r="X3035" s="1"/>
      <c r="Y3035" s="1"/>
    </row>
    <row r="3036" spans="6:25">
      <c r="G3036" s="62" t="s">
        <v>68</v>
      </c>
      <c r="H3036" s="57"/>
      <c r="I3036" s="3"/>
      <c r="J3036" s="46">
        <f>I3036</f>
        <v>0</v>
      </c>
      <c r="K3036" s="106"/>
      <c r="L3036" s="106"/>
      <c r="M3036" s="106"/>
      <c r="N3036" s="106"/>
      <c r="O3036" s="106"/>
      <c r="P3036" s="106"/>
      <c r="Q3036" s="106"/>
      <c r="R3036" s="106"/>
      <c r="S3036" s="106"/>
      <c r="T3036" s="217"/>
      <c r="U3036" s="47"/>
      <c r="W3036" s="1"/>
      <c r="X3036" s="1"/>
      <c r="Y3036" s="1"/>
    </row>
    <row r="3037" spans="6:25">
      <c r="G3037" s="62" t="s">
        <v>69</v>
      </c>
      <c r="H3037" s="57"/>
      <c r="I3037" s="127">
        <f>J3037</f>
        <v>0</v>
      </c>
      <c r="J3037" s="10"/>
      <c r="K3037" s="60"/>
      <c r="L3037" s="60"/>
      <c r="M3037" s="60"/>
      <c r="N3037" s="60"/>
      <c r="O3037" s="60"/>
      <c r="P3037" s="60"/>
      <c r="Q3037" s="60"/>
      <c r="R3037" s="60"/>
      <c r="S3037" s="60"/>
      <c r="T3037" s="218"/>
      <c r="U3037" s="128"/>
      <c r="W3037" s="1"/>
      <c r="X3037" s="1"/>
      <c r="Y3037" s="1"/>
    </row>
    <row r="3038" spans="6:25">
      <c r="G3038" s="62" t="s">
        <v>70</v>
      </c>
      <c r="H3038" s="57"/>
      <c r="I3038" s="48"/>
      <c r="J3038" s="10">
        <f>J3022</f>
        <v>0</v>
      </c>
      <c r="K3038" s="56">
        <f>J3038</f>
        <v>0</v>
      </c>
      <c r="L3038" s="60"/>
      <c r="M3038" s="60"/>
      <c r="N3038" s="60"/>
      <c r="O3038" s="60"/>
      <c r="P3038" s="60"/>
      <c r="Q3038" s="60"/>
      <c r="R3038" s="60"/>
      <c r="S3038" s="60"/>
      <c r="T3038" s="218"/>
      <c r="U3038" s="128"/>
      <c r="W3038" s="1"/>
      <c r="X3038" s="1"/>
      <c r="Y3038" s="1"/>
    </row>
    <row r="3039" spans="6:25">
      <c r="G3039" s="62" t="s">
        <v>71</v>
      </c>
      <c r="H3039" s="57"/>
      <c r="I3039" s="48"/>
      <c r="J3039" s="56">
        <f>K3039</f>
        <v>0</v>
      </c>
      <c r="K3039" s="10"/>
      <c r="L3039" s="60"/>
      <c r="M3039" s="60"/>
      <c r="N3039" s="60"/>
      <c r="O3039" s="60"/>
      <c r="P3039" s="60"/>
      <c r="Q3039" s="60"/>
      <c r="R3039" s="60"/>
      <c r="S3039" s="60"/>
      <c r="T3039" s="218"/>
      <c r="U3039" s="128"/>
      <c r="W3039" s="1"/>
      <c r="X3039" s="1"/>
      <c r="Y3039" s="1"/>
    </row>
    <row r="3040" spans="6:25">
      <c r="G3040" s="62" t="s">
        <v>170</v>
      </c>
      <c r="I3040" s="48"/>
      <c r="J3040" s="118"/>
      <c r="K3040" s="10">
        <f>K3022</f>
        <v>0</v>
      </c>
      <c r="L3040" s="119">
        <f>K3040</f>
        <v>0</v>
      </c>
      <c r="M3040" s="60"/>
      <c r="N3040" s="60"/>
      <c r="O3040" s="60"/>
      <c r="P3040" s="60"/>
      <c r="Q3040" s="60"/>
      <c r="R3040" s="60"/>
      <c r="S3040" s="60"/>
      <c r="T3040" s="146"/>
      <c r="U3040" s="122"/>
      <c r="W3040" s="1"/>
      <c r="X3040" s="1"/>
      <c r="Y3040" s="1"/>
    </row>
    <row r="3041" spans="7:25">
      <c r="G3041" s="62" t="s">
        <v>171</v>
      </c>
      <c r="I3041" s="48"/>
      <c r="J3041" s="118"/>
      <c r="K3041" s="56">
        <f>L3041</f>
        <v>0</v>
      </c>
      <c r="L3041" s="10"/>
      <c r="M3041" s="60"/>
      <c r="N3041" s="60"/>
      <c r="O3041" s="60"/>
      <c r="P3041" s="60"/>
      <c r="Q3041" s="60"/>
      <c r="R3041" s="60"/>
      <c r="S3041" s="60"/>
      <c r="T3041" s="146"/>
      <c r="U3041" s="122"/>
      <c r="W3041" s="1"/>
      <c r="X3041" s="1"/>
      <c r="Y3041" s="1"/>
    </row>
    <row r="3042" spans="7:25">
      <c r="G3042" s="62" t="s">
        <v>172</v>
      </c>
      <c r="I3042" s="48"/>
      <c r="J3042" s="118"/>
      <c r="K3042" s="118"/>
      <c r="L3042" s="10">
        <f>L3022</f>
        <v>0</v>
      </c>
      <c r="M3042" s="119">
        <f>L3042</f>
        <v>0</v>
      </c>
      <c r="N3042" s="118"/>
      <c r="O3042" s="60"/>
      <c r="P3042" s="60"/>
      <c r="Q3042" s="60"/>
      <c r="R3042" s="60"/>
      <c r="S3042" s="60"/>
      <c r="T3042" s="146"/>
      <c r="U3042" s="122"/>
      <c r="W3042" s="1"/>
      <c r="X3042" s="1"/>
      <c r="Y3042" s="1"/>
    </row>
    <row r="3043" spans="7:25">
      <c r="G3043" s="62" t="s">
        <v>173</v>
      </c>
      <c r="I3043" s="48"/>
      <c r="J3043" s="118"/>
      <c r="K3043" s="118"/>
      <c r="L3043" s="56"/>
      <c r="M3043" s="10"/>
      <c r="N3043" s="118"/>
      <c r="O3043" s="60"/>
      <c r="P3043" s="60"/>
      <c r="Q3043" s="60"/>
      <c r="R3043" s="60"/>
      <c r="S3043" s="60"/>
      <c r="T3043" s="146"/>
      <c r="U3043" s="122"/>
      <c r="W3043" s="1"/>
      <c r="X3043" s="1"/>
      <c r="Y3043" s="1"/>
    </row>
    <row r="3044" spans="7:25">
      <c r="G3044" s="62" t="s">
        <v>174</v>
      </c>
      <c r="I3044" s="48"/>
      <c r="J3044" s="118"/>
      <c r="K3044" s="118"/>
      <c r="L3044" s="118"/>
      <c r="M3044" s="10">
        <v>0</v>
      </c>
      <c r="N3044" s="119">
        <f>M3044</f>
        <v>0</v>
      </c>
      <c r="O3044" s="60"/>
      <c r="P3044" s="60"/>
      <c r="Q3044" s="60"/>
      <c r="R3044" s="60"/>
      <c r="S3044" s="60"/>
      <c r="T3044" s="146"/>
      <c r="U3044" s="122"/>
      <c r="W3044" s="1"/>
      <c r="X3044" s="1"/>
      <c r="Y3044" s="1"/>
    </row>
    <row r="3045" spans="7:25">
      <c r="G3045" s="62" t="s">
        <v>175</v>
      </c>
      <c r="I3045" s="48"/>
      <c r="J3045" s="118"/>
      <c r="K3045" s="118"/>
      <c r="L3045" s="118"/>
      <c r="M3045" s="56"/>
      <c r="N3045" s="10"/>
      <c r="O3045" s="60"/>
      <c r="P3045" s="60"/>
      <c r="Q3045" s="60"/>
      <c r="R3045" s="60"/>
      <c r="S3045" s="60"/>
      <c r="T3045" s="146"/>
      <c r="U3045" s="122"/>
      <c r="W3045" s="1"/>
      <c r="X3045" s="1"/>
      <c r="Y3045" s="1"/>
    </row>
    <row r="3046" spans="7:25">
      <c r="G3046" s="62" t="s">
        <v>176</v>
      </c>
      <c r="I3046" s="48"/>
      <c r="J3046" s="118"/>
      <c r="K3046" s="118"/>
      <c r="L3046" s="118"/>
      <c r="M3046" s="118"/>
      <c r="N3046" s="149">
        <f>N3022</f>
        <v>0</v>
      </c>
      <c r="O3046" s="120">
        <f>N3046</f>
        <v>0</v>
      </c>
      <c r="P3046" s="60"/>
      <c r="Q3046" s="60"/>
      <c r="R3046" s="60"/>
      <c r="S3046" s="60"/>
      <c r="T3046" s="146"/>
      <c r="U3046" s="122"/>
      <c r="W3046" s="1"/>
      <c r="X3046" s="1"/>
      <c r="Y3046" s="1"/>
    </row>
    <row r="3047" spans="7:25">
      <c r="G3047" s="62" t="s">
        <v>167</v>
      </c>
      <c r="I3047" s="48"/>
      <c r="J3047" s="118"/>
      <c r="K3047" s="118"/>
      <c r="L3047" s="118"/>
      <c r="M3047" s="118"/>
      <c r="N3047" s="150"/>
      <c r="O3047" s="121"/>
      <c r="P3047" s="60"/>
      <c r="Q3047" s="60"/>
      <c r="R3047" s="60"/>
      <c r="S3047" s="60"/>
      <c r="T3047" s="146"/>
      <c r="U3047" s="122"/>
      <c r="W3047" s="1"/>
      <c r="X3047" s="1"/>
      <c r="Y3047" s="1"/>
    </row>
    <row r="3048" spans="7:25">
      <c r="G3048" s="62" t="s">
        <v>168</v>
      </c>
      <c r="I3048" s="48"/>
      <c r="J3048" s="118"/>
      <c r="K3048" s="118"/>
      <c r="L3048" s="118"/>
      <c r="M3048" s="118"/>
      <c r="N3048" s="118"/>
      <c r="O3048" s="121">
        <f>O3022</f>
        <v>0</v>
      </c>
      <c r="P3048" s="120">
        <f>O3048</f>
        <v>0</v>
      </c>
      <c r="Q3048" s="60"/>
      <c r="R3048" s="60"/>
      <c r="S3048" s="60"/>
      <c r="T3048" s="146"/>
      <c r="U3048" s="122"/>
      <c r="W3048" s="1"/>
      <c r="X3048" s="1"/>
      <c r="Y3048" s="1"/>
    </row>
    <row r="3049" spans="7:25">
      <c r="G3049" s="62" t="s">
        <v>185</v>
      </c>
      <c r="I3049" s="48"/>
      <c r="J3049" s="118"/>
      <c r="K3049" s="118"/>
      <c r="L3049" s="118"/>
      <c r="M3049" s="118"/>
      <c r="N3049" s="118"/>
      <c r="O3049" s="120"/>
      <c r="P3049" s="121"/>
      <c r="Q3049" s="60"/>
      <c r="R3049" s="60"/>
      <c r="S3049" s="60"/>
      <c r="T3049" s="146"/>
      <c r="U3049" s="122"/>
      <c r="W3049" s="1"/>
      <c r="X3049" s="1"/>
      <c r="Y3049" s="1"/>
    </row>
    <row r="3050" spans="7:25">
      <c r="G3050" s="62" t="s">
        <v>186</v>
      </c>
      <c r="I3050" s="48"/>
      <c r="J3050" s="118"/>
      <c r="K3050" s="118"/>
      <c r="L3050" s="118"/>
      <c r="M3050" s="118"/>
      <c r="N3050" s="118"/>
      <c r="O3050" s="118"/>
      <c r="P3050" s="121"/>
      <c r="Q3050" s="56">
        <f>P3050</f>
        <v>0</v>
      </c>
      <c r="R3050" s="60"/>
      <c r="S3050" s="60"/>
      <c r="T3050" s="146"/>
      <c r="U3050" s="122"/>
      <c r="W3050" s="1"/>
      <c r="X3050" s="1"/>
      <c r="Y3050" s="1"/>
    </row>
    <row r="3051" spans="7:25">
      <c r="G3051" s="62" t="s">
        <v>187</v>
      </c>
      <c r="I3051" s="48"/>
      <c r="J3051" s="118"/>
      <c r="K3051" s="118"/>
      <c r="L3051" s="118"/>
      <c r="M3051" s="118"/>
      <c r="N3051" s="118"/>
      <c r="O3051" s="118"/>
      <c r="P3051" s="120"/>
      <c r="Q3051" s="306"/>
      <c r="R3051" s="60"/>
      <c r="S3051" s="60"/>
      <c r="T3051" s="146"/>
      <c r="U3051" s="122"/>
      <c r="W3051" s="1"/>
      <c r="X3051" s="1"/>
      <c r="Y3051" s="1"/>
    </row>
    <row r="3052" spans="7:25">
      <c r="G3052" s="62" t="s">
        <v>188</v>
      </c>
      <c r="I3052" s="48"/>
      <c r="J3052" s="118"/>
      <c r="K3052" s="118"/>
      <c r="L3052" s="118"/>
      <c r="M3052" s="118"/>
      <c r="N3052" s="118"/>
      <c r="O3052" s="118"/>
      <c r="P3052" s="118"/>
      <c r="Q3052" s="121"/>
      <c r="R3052" s="151">
        <f>Q3052</f>
        <v>0</v>
      </c>
      <c r="S3052" s="60"/>
      <c r="T3052" s="146"/>
      <c r="U3052" s="122"/>
      <c r="W3052" s="1"/>
      <c r="X3052" s="1"/>
      <c r="Y3052" s="1"/>
    </row>
    <row r="3053" spans="7:25">
      <c r="G3053" s="62" t="s">
        <v>189</v>
      </c>
      <c r="I3053" s="48"/>
      <c r="J3053" s="118"/>
      <c r="K3053" s="118"/>
      <c r="L3053" s="118"/>
      <c r="M3053" s="118"/>
      <c r="N3053" s="118"/>
      <c r="O3053" s="118"/>
      <c r="P3053" s="118"/>
      <c r="Q3053" s="151">
        <f>R3022</f>
        <v>0</v>
      </c>
      <c r="R3053" s="173">
        <f>Q3053</f>
        <v>0</v>
      </c>
      <c r="S3053" s="60"/>
      <c r="T3053" s="146"/>
      <c r="U3053" s="122"/>
      <c r="W3053" s="1"/>
      <c r="X3053" s="1"/>
      <c r="Y3053" s="1"/>
    </row>
    <row r="3054" spans="7:25">
      <c r="G3054" s="62" t="s">
        <v>190</v>
      </c>
      <c r="I3054" s="48"/>
      <c r="J3054" s="118"/>
      <c r="K3054" s="118"/>
      <c r="L3054" s="118"/>
      <c r="M3054" s="118"/>
      <c r="N3054" s="118"/>
      <c r="O3054" s="118"/>
      <c r="P3054" s="118"/>
      <c r="Q3054" s="118"/>
      <c r="R3054" s="173"/>
      <c r="S3054" s="151">
        <f>R3054</f>
        <v>0</v>
      </c>
      <c r="T3054" s="146"/>
      <c r="U3054" s="122"/>
      <c r="W3054" s="1"/>
      <c r="X3054" s="1"/>
      <c r="Y3054" s="1"/>
    </row>
    <row r="3055" spans="7:25">
      <c r="G3055" s="62" t="s">
        <v>199</v>
      </c>
      <c r="I3055" s="48"/>
      <c r="J3055" s="118"/>
      <c r="K3055" s="118"/>
      <c r="L3055" s="118"/>
      <c r="M3055" s="118"/>
      <c r="N3055" s="118"/>
      <c r="O3055" s="118"/>
      <c r="P3055" s="118"/>
      <c r="Q3055" s="118"/>
      <c r="R3055" s="120"/>
      <c r="S3055" s="173"/>
      <c r="T3055" s="146"/>
      <c r="U3055" s="122"/>
      <c r="W3055" s="1"/>
      <c r="X3055" s="1"/>
      <c r="Y3055" s="1"/>
    </row>
    <row r="3056" spans="7:25">
      <c r="G3056" s="62" t="s">
        <v>200</v>
      </c>
      <c r="I3056" s="48"/>
      <c r="J3056" s="118"/>
      <c r="K3056" s="118"/>
      <c r="L3056" s="118"/>
      <c r="M3056" s="118"/>
      <c r="N3056" s="118"/>
      <c r="O3056" s="118"/>
      <c r="P3056" s="118"/>
      <c r="Q3056" s="118"/>
      <c r="R3056" s="118"/>
      <c r="S3056" s="173"/>
      <c r="T3056" s="151"/>
      <c r="U3056" s="122"/>
      <c r="W3056" s="1"/>
      <c r="X3056" s="1"/>
      <c r="Y3056" s="1"/>
    </row>
    <row r="3057" spans="2:25">
      <c r="G3057" s="62" t="s">
        <v>308</v>
      </c>
      <c r="I3057" s="48"/>
      <c r="J3057" s="118"/>
      <c r="K3057" s="118"/>
      <c r="L3057" s="118"/>
      <c r="M3057" s="118"/>
      <c r="N3057" s="118"/>
      <c r="O3057" s="118"/>
      <c r="P3057" s="118"/>
      <c r="Q3057" s="118"/>
      <c r="R3057" s="118"/>
      <c r="S3057" s="120"/>
      <c r="T3057" s="173"/>
      <c r="U3057" s="122"/>
      <c r="W3057" s="1"/>
      <c r="X3057" s="1"/>
      <c r="Y3057" s="1"/>
    </row>
    <row r="3058" spans="2:25">
      <c r="G3058" s="62" t="s">
        <v>307</v>
      </c>
      <c r="I3058" s="114"/>
      <c r="J3058" s="107"/>
      <c r="K3058" s="107"/>
      <c r="L3058" s="107"/>
      <c r="M3058" s="107"/>
      <c r="N3058" s="107"/>
      <c r="O3058" s="107"/>
      <c r="P3058" s="107"/>
      <c r="Q3058" s="107"/>
      <c r="R3058" s="107"/>
      <c r="S3058" s="107"/>
      <c r="T3058" s="173"/>
      <c r="U3058" s="456">
        <f>T3058</f>
        <v>0</v>
      </c>
      <c r="W3058" s="1"/>
      <c r="X3058" s="1"/>
      <c r="Y3058" s="1"/>
    </row>
    <row r="3059" spans="2:25">
      <c r="G3059" s="62" t="s">
        <v>318</v>
      </c>
      <c r="I3059" s="114"/>
      <c r="J3059" s="107"/>
      <c r="K3059" s="107"/>
      <c r="L3059" s="107"/>
      <c r="M3059" s="107"/>
      <c r="N3059" s="107"/>
      <c r="O3059" s="107"/>
      <c r="P3059" s="107"/>
      <c r="Q3059" s="107"/>
      <c r="R3059" s="107"/>
      <c r="S3059" s="107"/>
      <c r="T3059" s="120"/>
      <c r="U3059" s="457"/>
      <c r="W3059" s="1"/>
      <c r="X3059" s="1"/>
      <c r="Y3059" s="1"/>
    </row>
    <row r="3060" spans="2:25">
      <c r="G3060" s="62" t="s">
        <v>319</v>
      </c>
      <c r="I3060" s="49"/>
      <c r="J3060" s="194"/>
      <c r="K3060" s="194"/>
      <c r="L3060" s="194"/>
      <c r="M3060" s="194"/>
      <c r="N3060" s="194"/>
      <c r="O3060" s="194"/>
      <c r="P3060" s="194"/>
      <c r="Q3060" s="194"/>
      <c r="R3060" s="194"/>
      <c r="S3060" s="194"/>
      <c r="T3060" s="194"/>
      <c r="U3060" s="458"/>
      <c r="W3060" s="1"/>
      <c r="X3060" s="1"/>
      <c r="Y3060" s="1"/>
    </row>
    <row r="3061" spans="2:25">
      <c r="B3061" s="1" t="s">
        <v>268</v>
      </c>
      <c r="G3061" s="26" t="s">
        <v>17</v>
      </c>
      <c r="I3061" s="7">
        <f xml:space="preserve"> I3042 - I3041</f>
        <v>0</v>
      </c>
      <c r="J3061" s="7">
        <f xml:space="preserve"> J3041 + J3044 - J3043 - J3042</f>
        <v>0</v>
      </c>
      <c r="K3061" s="7">
        <f>K3043 - K3044</f>
        <v>0</v>
      </c>
      <c r="L3061" s="7">
        <f>L3043 - L3044</f>
        <v>0</v>
      </c>
      <c r="M3061" s="7">
        <f>M3042-M3043-M3044</f>
        <v>0</v>
      </c>
      <c r="N3061" s="7">
        <f>N3044-N3045-N3046</f>
        <v>0</v>
      </c>
      <c r="O3061" s="7">
        <f>O3046-O3047-O3048</f>
        <v>0</v>
      </c>
      <c r="P3061" s="154">
        <f>P3048-P3049-P3050</f>
        <v>0</v>
      </c>
      <c r="Q3061" s="154">
        <f>Q3050+Q3053-Q3052-Q3051</f>
        <v>0</v>
      </c>
      <c r="R3061" s="154">
        <f>R3052-R3053+R3055</f>
        <v>0</v>
      </c>
      <c r="S3061" s="7">
        <f>S3054-S3055-S3056</f>
        <v>0</v>
      </c>
      <c r="T3061" s="7">
        <f>T3056-T3057-T3058</f>
        <v>0</v>
      </c>
      <c r="U3061" s="7">
        <f>U3058-U3059-U3060</f>
        <v>0</v>
      </c>
      <c r="W3061" s="1"/>
      <c r="X3061" s="1"/>
      <c r="Y3061" s="1"/>
    </row>
    <row r="3062" spans="2:25">
      <c r="G3062" s="6"/>
      <c r="I3062" s="154"/>
      <c r="J3062" s="154"/>
      <c r="K3062" s="154"/>
      <c r="L3062" s="154"/>
      <c r="M3062" s="154"/>
      <c r="N3062" s="154"/>
      <c r="O3062" s="154"/>
      <c r="P3062" s="154"/>
      <c r="Q3062" s="154"/>
      <c r="R3062" s="154"/>
      <c r="S3062" s="297"/>
      <c r="T3062" s="154"/>
      <c r="U3062" s="154"/>
      <c r="W3062" s="1"/>
      <c r="X3062" s="1"/>
      <c r="Y3062" s="1"/>
    </row>
    <row r="3063" spans="2:25">
      <c r="G3063" s="26" t="s">
        <v>12</v>
      </c>
      <c r="H3063" s="57"/>
      <c r="I3063" s="155"/>
      <c r="J3063" s="156"/>
      <c r="K3063" s="156"/>
      <c r="L3063" s="156"/>
      <c r="M3063" s="156"/>
      <c r="N3063" s="156"/>
      <c r="O3063" s="156"/>
      <c r="P3063" s="156"/>
      <c r="Q3063" s="156"/>
      <c r="R3063" s="156"/>
      <c r="S3063" s="156"/>
      <c r="T3063" s="156"/>
      <c r="U3063" s="267"/>
      <c r="W3063" s="1"/>
      <c r="X3063" s="1"/>
      <c r="Y3063" s="1"/>
    </row>
    <row r="3064" spans="2:25">
      <c r="G3064" s="6"/>
      <c r="I3064" s="154"/>
      <c r="J3064" s="154"/>
      <c r="K3064" s="154"/>
      <c r="L3064" s="154"/>
      <c r="M3064" s="154"/>
      <c r="N3064" s="154"/>
      <c r="O3064" s="154"/>
      <c r="P3064" s="154"/>
      <c r="Q3064" s="154"/>
      <c r="R3064" s="154"/>
      <c r="S3064" s="154"/>
      <c r="T3064" s="154"/>
      <c r="U3064" s="154"/>
      <c r="W3064" s="1"/>
      <c r="X3064" s="1"/>
      <c r="Y3064" s="1"/>
    </row>
    <row r="3065" spans="2:25" ht="18.75">
      <c r="C3065" s="1" t="s">
        <v>268</v>
      </c>
      <c r="D3065" s="1" t="s">
        <v>164</v>
      </c>
      <c r="E3065" s="1" t="s">
        <v>107</v>
      </c>
      <c r="F3065" s="9" t="s">
        <v>26</v>
      </c>
      <c r="H3065" s="57"/>
      <c r="I3065" s="157">
        <f t="shared" ref="I3065:S3065" si="1467" xml:space="preserve"> I3022 + I3027 - I3033 + I3061 + I3063</f>
        <v>0</v>
      </c>
      <c r="J3065" s="158">
        <f t="shared" si="1467"/>
        <v>0</v>
      </c>
      <c r="K3065" s="158">
        <f t="shared" si="1467"/>
        <v>0</v>
      </c>
      <c r="L3065" s="158">
        <f t="shared" si="1467"/>
        <v>0</v>
      </c>
      <c r="M3065" s="158">
        <f t="shared" si="1467"/>
        <v>0</v>
      </c>
      <c r="N3065" s="158">
        <f t="shared" si="1467"/>
        <v>0</v>
      </c>
      <c r="O3065" s="158">
        <f t="shared" si="1467"/>
        <v>0</v>
      </c>
      <c r="P3065" s="158">
        <f t="shared" si="1467"/>
        <v>0</v>
      </c>
      <c r="Q3065" s="158">
        <f t="shared" si="1467"/>
        <v>0</v>
      </c>
      <c r="R3065" s="158">
        <f t="shared" si="1467"/>
        <v>0</v>
      </c>
      <c r="S3065" s="158">
        <f t="shared" si="1467"/>
        <v>60938</v>
      </c>
      <c r="T3065" s="158">
        <f t="shared" ref="T3065:U3065" si="1468" xml:space="preserve"> T3022 + T3027 - T3033 + T3061 + T3063</f>
        <v>68821</v>
      </c>
      <c r="U3065" s="268">
        <f t="shared" si="1468"/>
        <v>64572.234532519287</v>
      </c>
      <c r="W3065" s="1"/>
      <c r="X3065" s="1"/>
      <c r="Y3065" s="1"/>
    </row>
    <row r="3066" spans="2:25" ht="15.75" thickBot="1">
      <c r="W3066" s="1"/>
      <c r="X3066" s="1"/>
      <c r="Y3066" s="1"/>
    </row>
    <row r="3067" spans="2:25" ht="15.75" thickBot="1">
      <c r="F3067" s="8"/>
      <c r="G3067" s="8"/>
      <c r="H3067" s="8"/>
      <c r="I3067" s="8"/>
      <c r="J3067" s="8"/>
      <c r="K3067" s="8"/>
      <c r="L3067" s="8"/>
      <c r="M3067" s="8"/>
      <c r="N3067" s="8"/>
      <c r="O3067" s="8"/>
      <c r="P3067" s="8"/>
      <c r="Q3067" s="8"/>
      <c r="R3067" s="8"/>
      <c r="S3067" s="290"/>
      <c r="T3067" s="8"/>
      <c r="U3067" s="8"/>
      <c r="W3067" s="1"/>
      <c r="X3067" s="1"/>
      <c r="Y3067" s="1"/>
    </row>
    <row r="3068" spans="2:25" ht="21.75" thickBot="1">
      <c r="F3068" s="13" t="s">
        <v>4</v>
      </c>
      <c r="G3068" s="13"/>
      <c r="H3068" s="185" t="s">
        <v>269</v>
      </c>
      <c r="I3068" s="183"/>
      <c r="W3068" s="1"/>
      <c r="X3068" s="1"/>
      <c r="Y3068" s="1"/>
    </row>
    <row r="3069" spans="2:25">
      <c r="W3069" s="1"/>
      <c r="X3069" s="1"/>
      <c r="Y3069" s="1"/>
    </row>
    <row r="3070" spans="2:25" ht="18.75">
      <c r="F3070" s="9" t="s">
        <v>21</v>
      </c>
      <c r="G3070" s="9"/>
      <c r="I3070" s="2">
        <v>2011</v>
      </c>
      <c r="J3070" s="2">
        <f>I3070+1</f>
        <v>2012</v>
      </c>
      <c r="K3070" s="2">
        <f t="shared" ref="K3070" si="1469">J3070+1</f>
        <v>2013</v>
      </c>
      <c r="L3070" s="2">
        <f t="shared" ref="L3070" si="1470">K3070+1</f>
        <v>2014</v>
      </c>
      <c r="M3070" s="2">
        <f t="shared" ref="M3070" si="1471">L3070+1</f>
        <v>2015</v>
      </c>
      <c r="N3070" s="2">
        <f t="shared" ref="N3070" si="1472">M3070+1</f>
        <v>2016</v>
      </c>
      <c r="O3070" s="2">
        <f t="shared" ref="O3070" si="1473">N3070+1</f>
        <v>2017</v>
      </c>
      <c r="P3070" s="2">
        <f t="shared" ref="P3070" si="1474">O3070+1</f>
        <v>2018</v>
      </c>
      <c r="Q3070" s="2">
        <f t="shared" ref="Q3070" si="1475">P3070+1</f>
        <v>2019</v>
      </c>
      <c r="R3070" s="2">
        <f t="shared" ref="R3070" si="1476">Q3070+1</f>
        <v>2020</v>
      </c>
      <c r="S3070" s="2">
        <f>R3070+1</f>
        <v>2021</v>
      </c>
      <c r="T3070" s="2">
        <f>S3070+1</f>
        <v>2022</v>
      </c>
      <c r="U3070" s="2">
        <f>T3070+1</f>
        <v>2023</v>
      </c>
      <c r="W3070" s="1"/>
      <c r="X3070" s="1"/>
      <c r="Y3070" s="1"/>
    </row>
    <row r="3071" spans="2:25">
      <c r="G3071" s="62" t="str">
        <f>"Total MWh Produced / Purchased from " &amp; H3068</f>
        <v>Total MWh Produced / Purchased from TB Flats Wind II</v>
      </c>
      <c r="H3071" s="57"/>
      <c r="I3071" s="3"/>
      <c r="J3071" s="4"/>
      <c r="K3071" s="4"/>
      <c r="L3071" s="4"/>
      <c r="M3071" s="4"/>
      <c r="N3071" s="4"/>
      <c r="O3071" s="4"/>
      <c r="P3071" s="4"/>
      <c r="Q3071" s="4"/>
      <c r="R3071" s="4"/>
      <c r="S3071" s="4">
        <v>315288</v>
      </c>
      <c r="T3071" s="4">
        <v>614941</v>
      </c>
      <c r="U3071" s="5">
        <v>704290</v>
      </c>
      <c r="W3071" s="1"/>
      <c r="X3071" s="1"/>
      <c r="Y3071" s="1"/>
    </row>
    <row r="3072" spans="2:25">
      <c r="G3072" s="62" t="s">
        <v>25</v>
      </c>
      <c r="H3072" s="57"/>
      <c r="I3072" s="269"/>
      <c r="J3072" s="41"/>
      <c r="K3072" s="41"/>
      <c r="L3072" s="41"/>
      <c r="M3072" s="41"/>
      <c r="N3072" s="41"/>
      <c r="O3072" s="41"/>
      <c r="P3072" s="41"/>
      <c r="Q3072" s="41"/>
      <c r="R3072" s="41"/>
      <c r="S3072" s="41">
        <v>1</v>
      </c>
      <c r="T3072" s="41">
        <v>1</v>
      </c>
      <c r="U3072" s="42">
        <v>1</v>
      </c>
      <c r="W3072" s="1"/>
      <c r="X3072" s="1"/>
      <c r="Y3072" s="1"/>
    </row>
    <row r="3073" spans="1:25">
      <c r="G3073" s="62" t="s">
        <v>20</v>
      </c>
      <c r="H3073" s="57"/>
      <c r="I3073" s="270"/>
      <c r="J3073" s="36"/>
      <c r="K3073" s="36"/>
      <c r="L3073" s="36"/>
      <c r="M3073" s="36"/>
      <c r="N3073" s="36"/>
      <c r="O3073" s="36"/>
      <c r="P3073" s="36"/>
      <c r="Q3073" s="36"/>
      <c r="R3073" s="36"/>
      <c r="S3073" s="36">
        <f>S2</f>
        <v>7.9696892166366717E-2</v>
      </c>
      <c r="T3073" s="36">
        <f>T2</f>
        <v>7.8737918965874246E-2</v>
      </c>
      <c r="U3073" s="36">
        <f>U2</f>
        <v>7.8407467372863096E-2</v>
      </c>
      <c r="W3073" s="1"/>
      <c r="X3073" s="1"/>
      <c r="Y3073" s="1"/>
    </row>
    <row r="3074" spans="1:25">
      <c r="A3074" s="1" t="s">
        <v>269</v>
      </c>
      <c r="G3074" s="26" t="s">
        <v>22</v>
      </c>
      <c r="H3074" s="6"/>
      <c r="I3074" s="30">
        <v>0</v>
      </c>
      <c r="J3074" s="30">
        <v>0</v>
      </c>
      <c r="K3074" s="30">
        <v>0</v>
      </c>
      <c r="L3074" s="30">
        <v>0</v>
      </c>
      <c r="M3074" s="30">
        <v>0</v>
      </c>
      <c r="N3074" s="161">
        <v>0</v>
      </c>
      <c r="O3074" s="161">
        <v>0</v>
      </c>
      <c r="P3074" s="161">
        <v>0</v>
      </c>
      <c r="Q3074" s="161">
        <f>Q3071*Q3073</f>
        <v>0</v>
      </c>
      <c r="R3074" s="161">
        <f>R3071*R3073</f>
        <v>0</v>
      </c>
      <c r="S3074" s="161">
        <f>ROUNDUP(S3071*S3073,0)</f>
        <v>25128</v>
      </c>
      <c r="T3074" s="161">
        <f>ROUNDUP(T3071*T3073,0)</f>
        <v>48420</v>
      </c>
      <c r="U3074" s="161">
        <f>U3071*U3073</f>
        <v>55221.595196033748</v>
      </c>
      <c r="W3074" s="1"/>
      <c r="X3074" s="1"/>
      <c r="Y3074" s="1"/>
    </row>
    <row r="3075" spans="1:25">
      <c r="I3075" s="29"/>
      <c r="J3075" s="29"/>
      <c r="K3075" s="29"/>
      <c r="L3075" s="29"/>
      <c r="M3075" s="29"/>
      <c r="N3075" s="20"/>
      <c r="O3075" s="20"/>
      <c r="P3075" s="20"/>
      <c r="Q3075" s="20"/>
      <c r="R3075" s="20"/>
      <c r="S3075" s="292"/>
      <c r="T3075" s="20"/>
      <c r="U3075" s="20"/>
      <c r="W3075" s="1"/>
      <c r="X3075" s="1"/>
      <c r="Y3075" s="1"/>
    </row>
    <row r="3076" spans="1:25" ht="18.75">
      <c r="F3076" s="9" t="s">
        <v>118</v>
      </c>
      <c r="I3076" s="2">
        <v>2011</v>
      </c>
      <c r="J3076" s="2">
        <f>I3076+1</f>
        <v>2012</v>
      </c>
      <c r="K3076" s="2">
        <f t="shared" ref="K3076" si="1477">J3076+1</f>
        <v>2013</v>
      </c>
      <c r="L3076" s="2">
        <f t="shared" ref="L3076" si="1478">K3076+1</f>
        <v>2014</v>
      </c>
      <c r="M3076" s="2">
        <f t="shared" ref="M3076" si="1479">L3076+1</f>
        <v>2015</v>
      </c>
      <c r="N3076" s="2">
        <f t="shared" ref="N3076" si="1480">M3076+1</f>
        <v>2016</v>
      </c>
      <c r="O3076" s="2">
        <f t="shared" ref="O3076" si="1481">N3076+1</f>
        <v>2017</v>
      </c>
      <c r="P3076" s="2">
        <f t="shared" ref="P3076" si="1482">O3076+1</f>
        <v>2018</v>
      </c>
      <c r="Q3076" s="2">
        <f t="shared" ref="Q3076" si="1483">P3076+1</f>
        <v>2019</v>
      </c>
      <c r="R3076" s="2">
        <f t="shared" ref="R3076" si="1484">Q3076+1</f>
        <v>2020</v>
      </c>
      <c r="S3076" s="2">
        <f>R3076+1</f>
        <v>2021</v>
      </c>
      <c r="T3076" s="2">
        <f>S3076+1</f>
        <v>2022</v>
      </c>
      <c r="U3076" s="2">
        <f>T3076+1</f>
        <v>2023</v>
      </c>
      <c r="W3076" s="1"/>
      <c r="X3076" s="1"/>
      <c r="Y3076" s="1"/>
    </row>
    <row r="3077" spans="1:25">
      <c r="G3077" s="62" t="s">
        <v>10</v>
      </c>
      <c r="H3077" s="57"/>
      <c r="I3077" s="38">
        <f>IF($J66= "Eligible", I3074 * 'Facility Detail'!$G$3257, 0 )</f>
        <v>0</v>
      </c>
      <c r="J3077" s="11">
        <f>IF($J66= "Eligible", J3074 * 'Facility Detail'!$G$3257, 0 )</f>
        <v>0</v>
      </c>
      <c r="K3077" s="11">
        <f>IF($J66= "Eligible", K3074 * 'Facility Detail'!$G$3257, 0 )</f>
        <v>0</v>
      </c>
      <c r="L3077" s="11">
        <f>IF($J66= "Eligible", L3074 * 'Facility Detail'!$G$3257, 0 )</f>
        <v>0</v>
      </c>
      <c r="M3077" s="11">
        <f>IF($J66= "Eligible", M3074 * 'Facility Detail'!$G$3257, 0 )</f>
        <v>0</v>
      </c>
      <c r="N3077" s="11">
        <f>IF($J66= "Eligible", N3074 * 'Facility Detail'!$G$3257, 0 )</f>
        <v>0</v>
      </c>
      <c r="O3077" s="11">
        <f>IF($J66= "Eligible", O3074 * 'Facility Detail'!$G$3257, 0 )</f>
        <v>0</v>
      </c>
      <c r="P3077" s="11">
        <f>IF($J66= "Eligible", P3074 * 'Facility Detail'!$G$3257, 0 )</f>
        <v>0</v>
      </c>
      <c r="Q3077" s="11">
        <f>IF($J66= "Eligible", Q3074 * 'Facility Detail'!$G$3257, 0 )</f>
        <v>0</v>
      </c>
      <c r="R3077" s="11">
        <f>IF($J66= "Eligible", R3074 * 'Facility Detail'!$G$3257, 0 )</f>
        <v>0</v>
      </c>
      <c r="S3077" s="11">
        <f>IF($J66= "Eligible", S3074 * 'Facility Detail'!$G$3257, 0 )</f>
        <v>0</v>
      </c>
      <c r="T3077" s="11">
        <f>IF($J66= "Eligible", T3074 * 'Facility Detail'!$G$3257, 0 )</f>
        <v>0</v>
      </c>
      <c r="U3077" s="223">
        <f>IF($J66= "Eligible", U3074 * 'Facility Detail'!$G$3257, 0 )</f>
        <v>0</v>
      </c>
      <c r="W3077" s="1"/>
      <c r="X3077" s="1"/>
      <c r="Y3077" s="1"/>
    </row>
    <row r="3078" spans="1:25">
      <c r="G3078" s="62" t="s">
        <v>6</v>
      </c>
      <c r="H3078" s="57"/>
      <c r="I3078" s="39">
        <f t="shared" ref="I3078:U3078" si="1485">IF($K66= "Eligible", I3074, 0 )</f>
        <v>0</v>
      </c>
      <c r="J3078" s="193">
        <f t="shared" si="1485"/>
        <v>0</v>
      </c>
      <c r="K3078" s="193">
        <f t="shared" si="1485"/>
        <v>0</v>
      </c>
      <c r="L3078" s="193">
        <f t="shared" si="1485"/>
        <v>0</v>
      </c>
      <c r="M3078" s="193">
        <f t="shared" si="1485"/>
        <v>0</v>
      </c>
      <c r="N3078" s="193">
        <f t="shared" si="1485"/>
        <v>0</v>
      </c>
      <c r="O3078" s="193">
        <f t="shared" si="1485"/>
        <v>0</v>
      </c>
      <c r="P3078" s="193">
        <f t="shared" si="1485"/>
        <v>0</v>
      </c>
      <c r="Q3078" s="193">
        <f t="shared" si="1485"/>
        <v>0</v>
      </c>
      <c r="R3078" s="193">
        <f t="shared" si="1485"/>
        <v>0</v>
      </c>
      <c r="S3078" s="193">
        <f t="shared" si="1485"/>
        <v>0</v>
      </c>
      <c r="T3078" s="193">
        <f t="shared" si="1485"/>
        <v>0</v>
      </c>
      <c r="U3078" s="224">
        <f t="shared" si="1485"/>
        <v>0</v>
      </c>
      <c r="W3078" s="1"/>
      <c r="X3078" s="1"/>
      <c r="Y3078" s="1"/>
    </row>
    <row r="3079" spans="1:25">
      <c r="G3079" s="26" t="s">
        <v>120</v>
      </c>
      <c r="H3079" s="6"/>
      <c r="I3079" s="32">
        <f>SUM(I3077:I3078)</f>
        <v>0</v>
      </c>
      <c r="J3079" s="33">
        <f t="shared" ref="J3079:S3079" si="1486">SUM(J3077:J3078)</f>
        <v>0</v>
      </c>
      <c r="K3079" s="33">
        <f t="shared" si="1486"/>
        <v>0</v>
      </c>
      <c r="L3079" s="33">
        <f t="shared" si="1486"/>
        <v>0</v>
      </c>
      <c r="M3079" s="33">
        <f t="shared" si="1486"/>
        <v>0</v>
      </c>
      <c r="N3079" s="33">
        <f t="shared" si="1486"/>
        <v>0</v>
      </c>
      <c r="O3079" s="33">
        <f t="shared" si="1486"/>
        <v>0</v>
      </c>
      <c r="P3079" s="33">
        <f t="shared" si="1486"/>
        <v>0</v>
      </c>
      <c r="Q3079" s="33">
        <f t="shared" si="1486"/>
        <v>0</v>
      </c>
      <c r="R3079" s="33">
        <f t="shared" si="1486"/>
        <v>0</v>
      </c>
      <c r="S3079" s="33">
        <f t="shared" si="1486"/>
        <v>0</v>
      </c>
      <c r="T3079" s="33">
        <f t="shared" ref="T3079:U3079" si="1487">SUM(T3077:T3078)</f>
        <v>0</v>
      </c>
      <c r="U3079" s="33">
        <f t="shared" si="1487"/>
        <v>0</v>
      </c>
      <c r="W3079" s="1"/>
      <c r="X3079" s="1"/>
      <c r="Y3079" s="1"/>
    </row>
    <row r="3080" spans="1:25">
      <c r="I3080" s="31"/>
      <c r="J3080" s="24"/>
      <c r="K3080" s="24"/>
      <c r="L3080" s="24"/>
      <c r="M3080" s="24"/>
      <c r="N3080" s="24"/>
      <c r="O3080" s="24"/>
      <c r="P3080" s="24"/>
      <c r="Q3080" s="24"/>
      <c r="R3080" s="24"/>
      <c r="S3080" s="24"/>
      <c r="T3080" s="24"/>
      <c r="U3080" s="24"/>
      <c r="W3080" s="1"/>
      <c r="X3080" s="1"/>
      <c r="Y3080" s="1"/>
    </row>
    <row r="3081" spans="1:25" ht="18.75">
      <c r="F3081" s="9" t="s">
        <v>30</v>
      </c>
      <c r="I3081" s="2">
        <v>2011</v>
      </c>
      <c r="J3081" s="2">
        <f>I3081+1</f>
        <v>2012</v>
      </c>
      <c r="K3081" s="2">
        <f t="shared" ref="K3081" si="1488">J3081+1</f>
        <v>2013</v>
      </c>
      <c r="L3081" s="2">
        <f t="shared" ref="L3081" si="1489">K3081+1</f>
        <v>2014</v>
      </c>
      <c r="M3081" s="2">
        <f t="shared" ref="M3081" si="1490">L3081+1</f>
        <v>2015</v>
      </c>
      <c r="N3081" s="2">
        <f t="shared" ref="N3081" si="1491">M3081+1</f>
        <v>2016</v>
      </c>
      <c r="O3081" s="2">
        <f t="shared" ref="O3081" si="1492">N3081+1</f>
        <v>2017</v>
      </c>
      <c r="P3081" s="2">
        <f t="shared" ref="P3081" si="1493">O3081+1</f>
        <v>2018</v>
      </c>
      <c r="Q3081" s="2">
        <f t="shared" ref="Q3081" si="1494">P3081+1</f>
        <v>2019</v>
      </c>
      <c r="R3081" s="2">
        <f t="shared" ref="R3081" si="1495">Q3081+1</f>
        <v>2020</v>
      </c>
      <c r="S3081" s="2">
        <f>R3081+1</f>
        <v>2021</v>
      </c>
      <c r="T3081" s="2">
        <f>S3081+1</f>
        <v>2022</v>
      </c>
      <c r="U3081" s="2">
        <f>T3081+1</f>
        <v>2023</v>
      </c>
      <c r="W3081" s="1"/>
      <c r="X3081" s="1"/>
      <c r="Y3081" s="1"/>
    </row>
    <row r="3082" spans="1:25">
      <c r="G3082" s="62" t="s">
        <v>47</v>
      </c>
      <c r="H3082" s="57"/>
      <c r="I3082" s="71"/>
      <c r="J3082" s="72"/>
      <c r="K3082" s="72"/>
      <c r="L3082" s="72"/>
      <c r="M3082" s="72"/>
      <c r="N3082" s="72"/>
      <c r="O3082" s="72"/>
      <c r="P3082" s="72"/>
      <c r="Q3082" s="72"/>
      <c r="R3082" s="72"/>
      <c r="S3082" s="72"/>
      <c r="T3082" s="72"/>
      <c r="U3082" s="73"/>
      <c r="W3082" s="1"/>
      <c r="X3082" s="1"/>
      <c r="Y3082" s="1"/>
    </row>
    <row r="3083" spans="1:25">
      <c r="G3083" s="63" t="s">
        <v>23</v>
      </c>
      <c r="H3083" s="135"/>
      <c r="I3083" s="74"/>
      <c r="J3083" s="75"/>
      <c r="K3083" s="75"/>
      <c r="L3083" s="75"/>
      <c r="M3083" s="75"/>
      <c r="N3083" s="75"/>
      <c r="O3083" s="75"/>
      <c r="P3083" s="75"/>
      <c r="Q3083" s="75"/>
      <c r="R3083" s="75"/>
      <c r="S3083" s="75"/>
      <c r="T3083" s="75"/>
      <c r="U3083" s="76"/>
      <c r="W3083" s="1"/>
      <c r="X3083" s="1"/>
      <c r="Y3083" s="1"/>
    </row>
    <row r="3084" spans="1:25">
      <c r="G3084" s="63" t="s">
        <v>89</v>
      </c>
      <c r="H3084" s="134"/>
      <c r="I3084" s="43"/>
      <c r="J3084" s="44"/>
      <c r="K3084" s="44"/>
      <c r="L3084" s="44"/>
      <c r="M3084" s="44"/>
      <c r="N3084" s="44"/>
      <c r="O3084" s="44"/>
      <c r="P3084" s="44"/>
      <c r="Q3084" s="44"/>
      <c r="R3084" s="44"/>
      <c r="S3084" s="44"/>
      <c r="T3084" s="44"/>
      <c r="U3084" s="45"/>
      <c r="W3084" s="1"/>
      <c r="X3084" s="1"/>
      <c r="Y3084" s="1"/>
    </row>
    <row r="3085" spans="1:25">
      <c r="G3085" s="26" t="s">
        <v>90</v>
      </c>
      <c r="I3085" s="7">
        <v>0</v>
      </c>
      <c r="J3085" s="7">
        <v>0</v>
      </c>
      <c r="K3085" s="7">
        <v>0</v>
      </c>
      <c r="L3085" s="7">
        <v>0</v>
      </c>
      <c r="M3085" s="7">
        <v>0</v>
      </c>
      <c r="N3085" s="7">
        <v>0</v>
      </c>
      <c r="O3085" s="7">
        <v>0</v>
      </c>
      <c r="P3085" s="7">
        <v>0</v>
      </c>
      <c r="Q3085" s="7">
        <v>0</v>
      </c>
      <c r="R3085" s="7">
        <v>0</v>
      </c>
      <c r="S3085" s="7">
        <v>0</v>
      </c>
      <c r="T3085" s="7">
        <v>0</v>
      </c>
      <c r="U3085" s="7">
        <v>0</v>
      </c>
      <c r="W3085" s="1"/>
      <c r="X3085" s="1"/>
      <c r="Y3085" s="1"/>
    </row>
    <row r="3086" spans="1:25">
      <c r="G3086" s="6"/>
      <c r="I3086" s="7"/>
      <c r="J3086" s="7"/>
      <c r="K3086" s="7"/>
      <c r="L3086" s="23"/>
      <c r="M3086" s="23"/>
      <c r="N3086" s="23"/>
      <c r="O3086" s="23"/>
      <c r="P3086" s="23"/>
      <c r="Q3086" s="23"/>
      <c r="R3086" s="23"/>
      <c r="S3086" s="282"/>
      <c r="T3086" s="23"/>
      <c r="U3086" s="23"/>
      <c r="W3086" s="1"/>
      <c r="X3086" s="1"/>
      <c r="Y3086" s="1"/>
    </row>
    <row r="3087" spans="1:25" ht="18.75">
      <c r="F3087" s="9" t="s">
        <v>100</v>
      </c>
      <c r="I3087" s="2">
        <f>'Facility Detail'!$G$3260</f>
        <v>2011</v>
      </c>
      <c r="J3087" s="2">
        <f>I3087+1</f>
        <v>2012</v>
      </c>
      <c r="K3087" s="2">
        <f t="shared" ref="K3087" si="1496">J3087+1</f>
        <v>2013</v>
      </c>
      <c r="L3087" s="2">
        <f t="shared" ref="L3087" si="1497">K3087+1</f>
        <v>2014</v>
      </c>
      <c r="M3087" s="2">
        <f t="shared" ref="M3087" si="1498">L3087+1</f>
        <v>2015</v>
      </c>
      <c r="N3087" s="2">
        <f t="shared" ref="N3087" si="1499">M3087+1</f>
        <v>2016</v>
      </c>
      <c r="O3087" s="2">
        <f t="shared" ref="O3087" si="1500">N3087+1</f>
        <v>2017</v>
      </c>
      <c r="P3087" s="2">
        <f t="shared" ref="P3087" si="1501">O3087+1</f>
        <v>2018</v>
      </c>
      <c r="Q3087" s="2">
        <f t="shared" ref="Q3087" si="1502">P3087+1</f>
        <v>2019</v>
      </c>
      <c r="R3087" s="2">
        <f t="shared" ref="R3087" si="1503">Q3087+1</f>
        <v>2020</v>
      </c>
      <c r="S3087" s="2">
        <f>R3087+1</f>
        <v>2021</v>
      </c>
      <c r="T3087" s="2">
        <f>S3087+1</f>
        <v>2022</v>
      </c>
      <c r="U3087" s="2">
        <f>T3087+1</f>
        <v>2023</v>
      </c>
      <c r="W3087" s="1"/>
      <c r="X3087" s="1"/>
      <c r="Y3087" s="1"/>
    </row>
    <row r="3088" spans="1:25">
      <c r="G3088" s="62" t="s">
        <v>68</v>
      </c>
      <c r="H3088" s="57"/>
      <c r="I3088" s="3"/>
      <c r="J3088" s="46">
        <f>I3088</f>
        <v>0</v>
      </c>
      <c r="K3088" s="106"/>
      <c r="L3088" s="106"/>
      <c r="M3088" s="106"/>
      <c r="N3088" s="106"/>
      <c r="O3088" s="106"/>
      <c r="P3088" s="106"/>
      <c r="Q3088" s="106"/>
      <c r="R3088" s="106"/>
      <c r="S3088" s="299"/>
      <c r="T3088" s="217"/>
      <c r="U3088" s="47"/>
      <c r="W3088" s="1"/>
      <c r="X3088" s="1"/>
      <c r="Y3088" s="1"/>
    </row>
    <row r="3089" spans="7:25">
      <c r="G3089" s="62" t="s">
        <v>69</v>
      </c>
      <c r="H3089" s="57"/>
      <c r="I3089" s="127">
        <f>J3089</f>
        <v>0</v>
      </c>
      <c r="J3089" s="10"/>
      <c r="K3089" s="60"/>
      <c r="L3089" s="60"/>
      <c r="M3089" s="60"/>
      <c r="N3089" s="60"/>
      <c r="O3089" s="60"/>
      <c r="P3089" s="60"/>
      <c r="Q3089" s="60"/>
      <c r="R3089" s="60"/>
      <c r="S3089" s="300"/>
      <c r="T3089" s="218"/>
      <c r="U3089" s="128"/>
      <c r="W3089" s="1"/>
      <c r="X3089" s="1"/>
      <c r="Y3089" s="1"/>
    </row>
    <row r="3090" spans="7:25">
      <c r="G3090" s="62" t="s">
        <v>70</v>
      </c>
      <c r="H3090" s="57"/>
      <c r="I3090" s="48"/>
      <c r="J3090" s="10">
        <f>J3074</f>
        <v>0</v>
      </c>
      <c r="K3090" s="56">
        <f>J3090</f>
        <v>0</v>
      </c>
      <c r="L3090" s="60"/>
      <c r="M3090" s="60"/>
      <c r="N3090" s="60"/>
      <c r="O3090" s="60"/>
      <c r="P3090" s="60"/>
      <c r="Q3090" s="60"/>
      <c r="R3090" s="60"/>
      <c r="S3090" s="300"/>
      <c r="T3090" s="218"/>
      <c r="U3090" s="128"/>
      <c r="W3090" s="1"/>
      <c r="X3090" s="1"/>
      <c r="Y3090" s="1"/>
    </row>
    <row r="3091" spans="7:25">
      <c r="G3091" s="62" t="s">
        <v>71</v>
      </c>
      <c r="H3091" s="57"/>
      <c r="I3091" s="48"/>
      <c r="J3091" s="56">
        <f>K3091</f>
        <v>0</v>
      </c>
      <c r="K3091" s="10"/>
      <c r="L3091" s="60"/>
      <c r="M3091" s="60"/>
      <c r="N3091" s="60"/>
      <c r="O3091" s="60"/>
      <c r="P3091" s="60"/>
      <c r="Q3091" s="60"/>
      <c r="R3091" s="60"/>
      <c r="S3091" s="300"/>
      <c r="T3091" s="218"/>
      <c r="U3091" s="128"/>
      <c r="W3091" s="1"/>
      <c r="X3091" s="1"/>
      <c r="Y3091" s="1"/>
    </row>
    <row r="3092" spans="7:25">
      <c r="G3092" s="62" t="s">
        <v>170</v>
      </c>
      <c r="I3092" s="48"/>
      <c r="J3092" s="118"/>
      <c r="K3092" s="10">
        <f>K3074</f>
        <v>0</v>
      </c>
      <c r="L3092" s="119">
        <f>K3092</f>
        <v>0</v>
      </c>
      <c r="M3092" s="60"/>
      <c r="N3092" s="60"/>
      <c r="O3092" s="60"/>
      <c r="P3092" s="60"/>
      <c r="Q3092" s="60"/>
      <c r="R3092" s="60"/>
      <c r="S3092" s="300"/>
      <c r="T3092" s="146"/>
      <c r="U3092" s="122"/>
      <c r="W3092" s="1"/>
      <c r="X3092" s="1"/>
      <c r="Y3092" s="1"/>
    </row>
    <row r="3093" spans="7:25">
      <c r="G3093" s="62" t="s">
        <v>171</v>
      </c>
      <c r="I3093" s="48"/>
      <c r="J3093" s="118"/>
      <c r="K3093" s="56">
        <f>L3093</f>
        <v>0</v>
      </c>
      <c r="L3093" s="10"/>
      <c r="M3093" s="60"/>
      <c r="N3093" s="60"/>
      <c r="O3093" s="60"/>
      <c r="P3093" s="60"/>
      <c r="Q3093" s="60"/>
      <c r="R3093" s="60"/>
      <c r="S3093" s="300"/>
      <c r="T3093" s="146"/>
      <c r="U3093" s="122"/>
      <c r="W3093" s="1"/>
      <c r="X3093" s="1"/>
      <c r="Y3093" s="1"/>
    </row>
    <row r="3094" spans="7:25">
      <c r="G3094" s="62" t="s">
        <v>172</v>
      </c>
      <c r="I3094" s="48"/>
      <c r="J3094" s="118"/>
      <c r="K3094" s="118"/>
      <c r="L3094" s="10">
        <f>L3074</f>
        <v>0</v>
      </c>
      <c r="M3094" s="119">
        <f>L3094</f>
        <v>0</v>
      </c>
      <c r="N3094" s="118"/>
      <c r="O3094" s="60"/>
      <c r="P3094" s="60"/>
      <c r="Q3094" s="60"/>
      <c r="R3094" s="60"/>
      <c r="S3094" s="300"/>
      <c r="T3094" s="146"/>
      <c r="U3094" s="122"/>
      <c r="W3094" s="1"/>
      <c r="X3094" s="1"/>
      <c r="Y3094" s="1"/>
    </row>
    <row r="3095" spans="7:25">
      <c r="G3095" s="62" t="s">
        <v>173</v>
      </c>
      <c r="I3095" s="48"/>
      <c r="J3095" s="118"/>
      <c r="K3095" s="118"/>
      <c r="L3095" s="56"/>
      <c r="M3095" s="10"/>
      <c r="N3095" s="118"/>
      <c r="O3095" s="60"/>
      <c r="P3095" s="60"/>
      <c r="Q3095" s="60"/>
      <c r="R3095" s="60"/>
      <c r="S3095" s="300"/>
      <c r="T3095" s="146"/>
      <c r="U3095" s="122"/>
      <c r="W3095" s="1"/>
      <c r="X3095" s="1"/>
      <c r="Y3095" s="1"/>
    </row>
    <row r="3096" spans="7:25">
      <c r="G3096" s="62" t="s">
        <v>174</v>
      </c>
      <c r="I3096" s="48"/>
      <c r="J3096" s="118"/>
      <c r="K3096" s="118"/>
      <c r="L3096" s="118"/>
      <c r="M3096" s="10">
        <v>0</v>
      </c>
      <c r="N3096" s="119">
        <f>M3096</f>
        <v>0</v>
      </c>
      <c r="O3096" s="60"/>
      <c r="P3096" s="60"/>
      <c r="Q3096" s="60"/>
      <c r="R3096" s="60"/>
      <c r="S3096" s="300"/>
      <c r="T3096" s="146"/>
      <c r="U3096" s="122"/>
      <c r="W3096" s="1"/>
      <c r="X3096" s="1"/>
      <c r="Y3096" s="1"/>
    </row>
    <row r="3097" spans="7:25">
      <c r="G3097" s="62" t="s">
        <v>175</v>
      </c>
      <c r="I3097" s="48"/>
      <c r="J3097" s="118"/>
      <c r="K3097" s="118"/>
      <c r="L3097" s="118"/>
      <c r="M3097" s="56"/>
      <c r="N3097" s="10"/>
      <c r="O3097" s="60"/>
      <c r="P3097" s="60"/>
      <c r="Q3097" s="60"/>
      <c r="R3097" s="60"/>
      <c r="S3097" s="300"/>
      <c r="T3097" s="146"/>
      <c r="U3097" s="122"/>
      <c r="W3097" s="1"/>
      <c r="X3097" s="1"/>
      <c r="Y3097" s="1"/>
    </row>
    <row r="3098" spans="7:25">
      <c r="G3098" s="62" t="s">
        <v>176</v>
      </c>
      <c r="I3098" s="48"/>
      <c r="J3098" s="118"/>
      <c r="K3098" s="118"/>
      <c r="L3098" s="118"/>
      <c r="M3098" s="118"/>
      <c r="N3098" s="149">
        <f>N3074</f>
        <v>0</v>
      </c>
      <c r="O3098" s="120">
        <f>N3098</f>
        <v>0</v>
      </c>
      <c r="P3098" s="60"/>
      <c r="Q3098" s="60"/>
      <c r="R3098" s="60"/>
      <c r="S3098" s="300"/>
      <c r="T3098" s="146"/>
      <c r="U3098" s="122"/>
      <c r="W3098" s="1"/>
      <c r="X3098" s="1"/>
      <c r="Y3098" s="1"/>
    </row>
    <row r="3099" spans="7:25">
      <c r="G3099" s="62" t="s">
        <v>167</v>
      </c>
      <c r="I3099" s="48"/>
      <c r="J3099" s="118"/>
      <c r="K3099" s="118"/>
      <c r="L3099" s="118"/>
      <c r="M3099" s="118"/>
      <c r="N3099" s="150"/>
      <c r="O3099" s="121"/>
      <c r="P3099" s="60"/>
      <c r="Q3099" s="60"/>
      <c r="R3099" s="60"/>
      <c r="S3099" s="300"/>
      <c r="T3099" s="146"/>
      <c r="U3099" s="122"/>
      <c r="W3099" s="1"/>
      <c r="X3099" s="1"/>
      <c r="Y3099" s="1"/>
    </row>
    <row r="3100" spans="7:25">
      <c r="G3100" s="62" t="s">
        <v>168</v>
      </c>
      <c r="I3100" s="48"/>
      <c r="J3100" s="118"/>
      <c r="K3100" s="118"/>
      <c r="L3100" s="118"/>
      <c r="M3100" s="118"/>
      <c r="N3100" s="118"/>
      <c r="O3100" s="121">
        <f>O3074</f>
        <v>0</v>
      </c>
      <c r="P3100" s="120">
        <f>O3100</f>
        <v>0</v>
      </c>
      <c r="Q3100" s="60"/>
      <c r="R3100" s="60"/>
      <c r="S3100" s="300"/>
      <c r="T3100" s="146"/>
      <c r="U3100" s="122"/>
      <c r="W3100" s="1"/>
      <c r="X3100" s="1"/>
      <c r="Y3100" s="1"/>
    </row>
    <row r="3101" spans="7:25">
      <c r="G3101" s="62" t="s">
        <v>185</v>
      </c>
      <c r="I3101" s="48"/>
      <c r="J3101" s="118"/>
      <c r="K3101" s="118"/>
      <c r="L3101" s="118"/>
      <c r="M3101" s="118"/>
      <c r="N3101" s="118"/>
      <c r="O3101" s="120"/>
      <c r="P3101" s="121"/>
      <c r="Q3101" s="60"/>
      <c r="R3101" s="60"/>
      <c r="S3101" s="300"/>
      <c r="T3101" s="146"/>
      <c r="U3101" s="122"/>
      <c r="W3101" s="1"/>
      <c r="X3101" s="1"/>
      <c r="Y3101" s="1"/>
    </row>
    <row r="3102" spans="7:25">
      <c r="G3102" s="62" t="s">
        <v>186</v>
      </c>
      <c r="I3102" s="48"/>
      <c r="J3102" s="118"/>
      <c r="K3102" s="118"/>
      <c r="L3102" s="118"/>
      <c r="M3102" s="118"/>
      <c r="N3102" s="118"/>
      <c r="O3102" s="118"/>
      <c r="P3102" s="121"/>
      <c r="Q3102" s="56">
        <f>P3102</f>
        <v>0</v>
      </c>
      <c r="R3102" s="60"/>
      <c r="S3102" s="300"/>
      <c r="T3102" s="146"/>
      <c r="U3102" s="122"/>
      <c r="W3102" s="1"/>
      <c r="X3102" s="1"/>
      <c r="Y3102" s="1"/>
    </row>
    <row r="3103" spans="7:25">
      <c r="G3103" s="62" t="s">
        <v>187</v>
      </c>
      <c r="I3103" s="48"/>
      <c r="J3103" s="118"/>
      <c r="K3103" s="118"/>
      <c r="L3103" s="118"/>
      <c r="M3103" s="118"/>
      <c r="N3103" s="118"/>
      <c r="O3103" s="118"/>
      <c r="P3103" s="120"/>
      <c r="Q3103" s="306"/>
      <c r="R3103" s="60"/>
      <c r="S3103" s="300"/>
      <c r="T3103" s="146"/>
      <c r="U3103" s="122"/>
      <c r="W3103" s="1"/>
      <c r="X3103" s="1"/>
      <c r="Y3103" s="1"/>
    </row>
    <row r="3104" spans="7:25">
      <c r="G3104" s="62" t="s">
        <v>188</v>
      </c>
      <c r="I3104" s="48"/>
      <c r="J3104" s="118"/>
      <c r="K3104" s="118"/>
      <c r="L3104" s="118"/>
      <c r="M3104" s="118"/>
      <c r="N3104" s="118"/>
      <c r="O3104" s="118"/>
      <c r="P3104" s="118"/>
      <c r="Q3104" s="121"/>
      <c r="R3104" s="151">
        <f>Q3104</f>
        <v>0</v>
      </c>
      <c r="S3104" s="300"/>
      <c r="T3104" s="146"/>
      <c r="U3104" s="122"/>
      <c r="W3104" s="1"/>
      <c r="X3104" s="1"/>
      <c r="Y3104" s="1"/>
    </row>
    <row r="3105" spans="2:25">
      <c r="G3105" s="62" t="s">
        <v>189</v>
      </c>
      <c r="I3105" s="48"/>
      <c r="J3105" s="118"/>
      <c r="K3105" s="118"/>
      <c r="L3105" s="118"/>
      <c r="M3105" s="118"/>
      <c r="N3105" s="118"/>
      <c r="O3105" s="118"/>
      <c r="P3105" s="118"/>
      <c r="Q3105" s="151">
        <f>R3074</f>
        <v>0</v>
      </c>
      <c r="R3105" s="173">
        <f>Q3105</f>
        <v>0</v>
      </c>
      <c r="S3105" s="300"/>
      <c r="T3105" s="146"/>
      <c r="U3105" s="122"/>
      <c r="W3105" s="1"/>
      <c r="X3105" s="1"/>
      <c r="Y3105" s="1"/>
    </row>
    <row r="3106" spans="2:25">
      <c r="G3106" s="62" t="s">
        <v>190</v>
      </c>
      <c r="I3106" s="48"/>
      <c r="J3106" s="118"/>
      <c r="K3106" s="118"/>
      <c r="L3106" s="118"/>
      <c r="M3106" s="118"/>
      <c r="N3106" s="118"/>
      <c r="O3106" s="118"/>
      <c r="P3106" s="118"/>
      <c r="Q3106" s="118"/>
      <c r="R3106" s="173"/>
      <c r="S3106" s="307">
        <f>R3106</f>
        <v>0</v>
      </c>
      <c r="T3106" s="146">
        <f>S3106</f>
        <v>0</v>
      </c>
      <c r="U3106" s="122">
        <f>T3106</f>
        <v>0</v>
      </c>
      <c r="W3106" s="1"/>
      <c r="X3106" s="1"/>
      <c r="Y3106" s="1"/>
    </row>
    <row r="3107" spans="2:25">
      <c r="G3107" s="62" t="s">
        <v>199</v>
      </c>
      <c r="I3107" s="48"/>
      <c r="J3107" s="118"/>
      <c r="K3107" s="118"/>
      <c r="L3107" s="118"/>
      <c r="M3107" s="118"/>
      <c r="N3107" s="118"/>
      <c r="O3107" s="118"/>
      <c r="P3107" s="118"/>
      <c r="Q3107" s="118"/>
      <c r="R3107" s="120"/>
      <c r="S3107" s="302"/>
      <c r="T3107" s="146"/>
      <c r="U3107" s="122"/>
      <c r="W3107" s="1"/>
      <c r="X3107" s="1"/>
      <c r="Y3107" s="1"/>
    </row>
    <row r="3108" spans="2:25">
      <c r="G3108" s="62" t="s">
        <v>200</v>
      </c>
      <c r="I3108" s="48"/>
      <c r="J3108" s="118"/>
      <c r="K3108" s="118"/>
      <c r="L3108" s="118"/>
      <c r="M3108" s="118"/>
      <c r="N3108" s="118"/>
      <c r="O3108" s="118"/>
      <c r="P3108" s="118"/>
      <c r="Q3108" s="118"/>
      <c r="R3108" s="118"/>
      <c r="S3108" s="302"/>
      <c r="T3108" s="151"/>
      <c r="U3108" s="122"/>
      <c r="W3108" s="1"/>
      <c r="X3108" s="1"/>
      <c r="Y3108" s="1"/>
    </row>
    <row r="3109" spans="2:25">
      <c r="G3109" s="62" t="s">
        <v>308</v>
      </c>
      <c r="I3109" s="48"/>
      <c r="J3109" s="118"/>
      <c r="K3109" s="118"/>
      <c r="L3109" s="118"/>
      <c r="M3109" s="118"/>
      <c r="N3109" s="118"/>
      <c r="O3109" s="118"/>
      <c r="P3109" s="118"/>
      <c r="Q3109" s="118"/>
      <c r="R3109" s="118"/>
      <c r="S3109" s="301"/>
      <c r="T3109" s="173"/>
      <c r="U3109" s="122"/>
      <c r="W3109" s="1"/>
      <c r="X3109" s="1"/>
      <c r="Y3109" s="1"/>
    </row>
    <row r="3110" spans="2:25">
      <c r="G3110" s="62" t="s">
        <v>307</v>
      </c>
      <c r="I3110" s="114"/>
      <c r="J3110" s="107"/>
      <c r="K3110" s="107"/>
      <c r="L3110" s="107"/>
      <c r="M3110" s="107"/>
      <c r="N3110" s="107"/>
      <c r="O3110" s="107"/>
      <c r="P3110" s="107"/>
      <c r="Q3110" s="107"/>
      <c r="R3110" s="107"/>
      <c r="S3110" s="303"/>
      <c r="T3110" s="173"/>
      <c r="U3110" s="456">
        <f>T3110</f>
        <v>0</v>
      </c>
      <c r="W3110" s="1"/>
      <c r="X3110" s="1"/>
      <c r="Y3110" s="1"/>
    </row>
    <row r="3111" spans="2:25">
      <c r="G3111" s="62" t="s">
        <v>318</v>
      </c>
      <c r="I3111" s="114"/>
      <c r="J3111" s="107"/>
      <c r="K3111" s="107"/>
      <c r="L3111" s="107"/>
      <c r="M3111" s="107"/>
      <c r="N3111" s="107"/>
      <c r="O3111" s="107"/>
      <c r="P3111" s="107"/>
      <c r="Q3111" s="107"/>
      <c r="R3111" s="107"/>
      <c r="S3111" s="303"/>
      <c r="T3111" s="120"/>
      <c r="U3111" s="457"/>
      <c r="W3111" s="1"/>
      <c r="X3111" s="1"/>
      <c r="Y3111" s="1"/>
    </row>
    <row r="3112" spans="2:25">
      <c r="G3112" s="62" t="s">
        <v>319</v>
      </c>
      <c r="I3112" s="49"/>
      <c r="J3112" s="194"/>
      <c r="K3112" s="194"/>
      <c r="L3112" s="194"/>
      <c r="M3112" s="194"/>
      <c r="N3112" s="194"/>
      <c r="O3112" s="194"/>
      <c r="P3112" s="194"/>
      <c r="Q3112" s="194"/>
      <c r="R3112" s="194"/>
      <c r="S3112" s="284"/>
      <c r="T3112" s="194"/>
      <c r="U3112" s="458"/>
      <c r="W3112" s="1"/>
      <c r="X3112" s="1"/>
      <c r="Y3112" s="1"/>
    </row>
    <row r="3113" spans="2:25">
      <c r="B3113" s="1" t="s">
        <v>269</v>
      </c>
      <c r="G3113" s="26" t="s">
        <v>17</v>
      </c>
      <c r="I3113" s="7">
        <f xml:space="preserve"> I3094 - I3093</f>
        <v>0</v>
      </c>
      <c r="J3113" s="7">
        <f xml:space="preserve"> J3093 + J3096 - J3095 - J3094</f>
        <v>0</v>
      </c>
      <c r="K3113" s="7">
        <f>K3095 - K3096</f>
        <v>0</v>
      </c>
      <c r="L3113" s="7">
        <f>L3095 - L3096</f>
        <v>0</v>
      </c>
      <c r="M3113" s="7">
        <f>M3094-M3095-M3096</f>
        <v>0</v>
      </c>
      <c r="N3113" s="7">
        <f>N3096-N3097-N3098</f>
        <v>0</v>
      </c>
      <c r="O3113" s="7">
        <f>O3098-O3099-O3100</f>
        <v>0</v>
      </c>
      <c r="P3113" s="154">
        <f>P3100-P3101-P3102</f>
        <v>0</v>
      </c>
      <c r="Q3113" s="154">
        <f>Q3102+Q3105-Q3104-Q3103</f>
        <v>0</v>
      </c>
      <c r="R3113" s="154">
        <f>R3104-R3105+R3107</f>
        <v>0</v>
      </c>
      <c r="S3113" s="294">
        <f>S3106-S3107-S3108</f>
        <v>0</v>
      </c>
      <c r="T3113" s="7">
        <f>T3108-T3109-T3110</f>
        <v>0</v>
      </c>
      <c r="U3113" s="7">
        <f>U3110-U3111-U3112</f>
        <v>0</v>
      </c>
      <c r="W3113" s="1"/>
      <c r="X3113" s="1"/>
      <c r="Y3113" s="1"/>
    </row>
    <row r="3114" spans="2:25">
      <c r="G3114" s="6"/>
      <c r="I3114" s="154"/>
      <c r="J3114" s="154"/>
      <c r="K3114" s="154"/>
      <c r="L3114" s="154"/>
      <c r="M3114" s="154"/>
      <c r="N3114" s="154"/>
      <c r="O3114" s="154"/>
      <c r="P3114" s="154"/>
      <c r="Q3114" s="154"/>
      <c r="R3114" s="154"/>
      <c r="S3114" s="297"/>
      <c r="T3114" s="154"/>
      <c r="U3114" s="154"/>
      <c r="W3114" s="1"/>
      <c r="X3114" s="1"/>
      <c r="Y3114" s="1"/>
    </row>
    <row r="3115" spans="2:25">
      <c r="G3115" s="26" t="s">
        <v>12</v>
      </c>
      <c r="H3115" s="57"/>
      <c r="I3115" s="155"/>
      <c r="J3115" s="156"/>
      <c r="K3115" s="156"/>
      <c r="L3115" s="156"/>
      <c r="M3115" s="156"/>
      <c r="N3115" s="156"/>
      <c r="O3115" s="156"/>
      <c r="P3115" s="156"/>
      <c r="Q3115" s="156"/>
      <c r="R3115" s="156"/>
      <c r="S3115" s="156"/>
      <c r="T3115" s="156"/>
      <c r="U3115" s="267"/>
      <c r="W3115" s="1"/>
      <c r="X3115" s="1"/>
      <c r="Y3115" s="1"/>
    </row>
    <row r="3116" spans="2:25">
      <c r="G3116" s="6"/>
      <c r="I3116" s="154"/>
      <c r="J3116" s="154"/>
      <c r="K3116" s="154"/>
      <c r="L3116" s="154"/>
      <c r="M3116" s="154"/>
      <c r="N3116" s="154"/>
      <c r="O3116" s="154"/>
      <c r="P3116" s="154"/>
      <c r="Q3116" s="154"/>
      <c r="R3116" s="154"/>
      <c r="S3116" s="154"/>
      <c r="T3116" s="154"/>
      <c r="U3116" s="154"/>
      <c r="W3116" s="1"/>
      <c r="X3116" s="1"/>
      <c r="Y3116" s="1"/>
    </row>
    <row r="3117" spans="2:25" ht="18.75">
      <c r="C3117" s="1" t="s">
        <v>269</v>
      </c>
      <c r="D3117" s="1" t="s">
        <v>164</v>
      </c>
      <c r="E3117" s="1" t="s">
        <v>107</v>
      </c>
      <c r="F3117" s="9" t="s">
        <v>26</v>
      </c>
      <c r="H3117" s="57"/>
      <c r="I3117" s="157">
        <f t="shared" ref="I3117:S3117" si="1504" xml:space="preserve"> I3074 + I3079 - I3085 + I3113 + I3115</f>
        <v>0</v>
      </c>
      <c r="J3117" s="158">
        <f t="shared" si="1504"/>
        <v>0</v>
      </c>
      <c r="K3117" s="158">
        <f t="shared" si="1504"/>
        <v>0</v>
      </c>
      <c r="L3117" s="158">
        <f t="shared" si="1504"/>
        <v>0</v>
      </c>
      <c r="M3117" s="158">
        <f t="shared" si="1504"/>
        <v>0</v>
      </c>
      <c r="N3117" s="158">
        <f t="shared" si="1504"/>
        <v>0</v>
      </c>
      <c r="O3117" s="158">
        <f t="shared" si="1504"/>
        <v>0</v>
      </c>
      <c r="P3117" s="158">
        <f t="shared" si="1504"/>
        <v>0</v>
      </c>
      <c r="Q3117" s="158">
        <f t="shared" si="1504"/>
        <v>0</v>
      </c>
      <c r="R3117" s="158">
        <f t="shared" si="1504"/>
        <v>0</v>
      </c>
      <c r="S3117" s="158">
        <f t="shared" si="1504"/>
        <v>25128</v>
      </c>
      <c r="T3117" s="158">
        <f t="shared" ref="T3117:U3117" si="1505" xml:space="preserve"> T3074 + T3079 - T3085 + T3113 + T3115</f>
        <v>48420</v>
      </c>
      <c r="U3117" s="268">
        <f t="shared" si="1505"/>
        <v>55221.595196033748</v>
      </c>
      <c r="W3117" s="1"/>
      <c r="X3117" s="1"/>
      <c r="Y3117" s="1"/>
    </row>
    <row r="3118" spans="2:25" ht="15.75" thickBot="1">
      <c r="W3118" s="1"/>
      <c r="X3118" s="1"/>
      <c r="Y3118" s="1"/>
    </row>
    <row r="3119" spans="2:25">
      <c r="F3119" s="8"/>
      <c r="G3119" s="8"/>
      <c r="H3119" s="8"/>
      <c r="I3119" s="8"/>
      <c r="J3119" s="8"/>
      <c r="K3119" s="8"/>
      <c r="L3119" s="8"/>
      <c r="M3119" s="8"/>
      <c r="N3119" s="8"/>
      <c r="O3119" s="8"/>
      <c r="P3119" s="8"/>
      <c r="Q3119" s="8"/>
      <c r="R3119" s="8"/>
      <c r="S3119" s="290"/>
      <c r="T3119" s="8"/>
      <c r="U3119" s="8"/>
      <c r="W3119" s="1"/>
      <c r="X3119" s="1"/>
      <c r="Y3119" s="1"/>
    </row>
    <row r="3120" spans="2:25" ht="15.75" thickBot="1">
      <c r="W3120" s="1"/>
      <c r="X3120" s="1"/>
      <c r="Y3120" s="1"/>
    </row>
    <row r="3121" spans="1:25" ht="21.75" thickBot="1">
      <c r="F3121" s="13" t="s">
        <v>4</v>
      </c>
      <c r="G3121" s="13"/>
      <c r="H3121" s="196" t="str">
        <f>G67</f>
        <v>*Tuana Springs - REC Only</v>
      </c>
      <c r="I3121" s="183"/>
      <c r="W3121" s="1"/>
      <c r="X3121" s="1"/>
      <c r="Y3121" s="1"/>
    </row>
    <row r="3122" spans="1:25">
      <c r="W3122" s="1"/>
      <c r="X3122" s="1"/>
      <c r="Y3122" s="1"/>
    </row>
    <row r="3123" spans="1:25" ht="18.75">
      <c r="F3123" s="9" t="s">
        <v>21</v>
      </c>
      <c r="G3123" s="9"/>
      <c r="I3123" s="2">
        <f>'Facility Detail'!$G$3260</f>
        <v>2011</v>
      </c>
      <c r="J3123" s="2">
        <f t="shared" ref="J3123:R3123" si="1506">I3123+1</f>
        <v>2012</v>
      </c>
      <c r="K3123" s="2">
        <f t="shared" si="1506"/>
        <v>2013</v>
      </c>
      <c r="L3123" s="2">
        <f t="shared" si="1506"/>
        <v>2014</v>
      </c>
      <c r="M3123" s="2">
        <f t="shared" si="1506"/>
        <v>2015</v>
      </c>
      <c r="N3123" s="2">
        <f t="shared" si="1506"/>
        <v>2016</v>
      </c>
      <c r="O3123" s="2">
        <f t="shared" si="1506"/>
        <v>2017</v>
      </c>
      <c r="P3123" s="2">
        <f t="shared" si="1506"/>
        <v>2018</v>
      </c>
      <c r="Q3123" s="2">
        <f t="shared" si="1506"/>
        <v>2019</v>
      </c>
      <c r="R3123" s="2">
        <f t="shared" si="1506"/>
        <v>2020</v>
      </c>
      <c r="S3123" s="304">
        <f>R3123+1</f>
        <v>2021</v>
      </c>
      <c r="T3123" s="2">
        <f>S3123+1</f>
        <v>2022</v>
      </c>
      <c r="U3123" s="2">
        <f>T3123+1</f>
        <v>2023</v>
      </c>
      <c r="W3123" s="1"/>
      <c r="X3123" s="1"/>
      <c r="Y3123" s="1"/>
    </row>
    <row r="3124" spans="1:25">
      <c r="G3124" s="62" t="str">
        <f>"Total MWh Produced / Purchased from " &amp; H3121</f>
        <v>Total MWh Produced / Purchased from *Tuana Springs - REC Only</v>
      </c>
      <c r="H3124" s="57"/>
      <c r="I3124" s="3"/>
      <c r="J3124" s="4">
        <v>29430</v>
      </c>
      <c r="K3124" s="4">
        <v>32556</v>
      </c>
      <c r="L3124" s="4">
        <v>35021</v>
      </c>
      <c r="M3124" s="4"/>
      <c r="N3124" s="4"/>
      <c r="O3124" s="4"/>
      <c r="P3124" s="4"/>
      <c r="Q3124" s="4"/>
      <c r="R3124" s="4"/>
      <c r="S3124" s="308"/>
      <c r="T3124" s="4"/>
      <c r="U3124" s="5"/>
      <c r="W3124" s="1"/>
      <c r="X3124" s="1"/>
      <c r="Y3124" s="1"/>
    </row>
    <row r="3125" spans="1:25">
      <c r="G3125" s="62" t="s">
        <v>25</v>
      </c>
      <c r="H3125" s="57"/>
      <c r="I3125" s="269"/>
      <c r="J3125" s="41">
        <v>1</v>
      </c>
      <c r="K3125" s="41">
        <v>1</v>
      </c>
      <c r="L3125" s="41">
        <v>1</v>
      </c>
      <c r="M3125" s="41"/>
      <c r="N3125" s="41"/>
      <c r="O3125" s="41"/>
      <c r="P3125" s="41"/>
      <c r="Q3125" s="41"/>
      <c r="R3125" s="41"/>
      <c r="S3125" s="309"/>
      <c r="T3125" s="41"/>
      <c r="U3125" s="42"/>
      <c r="W3125" s="1"/>
      <c r="X3125" s="1"/>
      <c r="Y3125" s="1"/>
    </row>
    <row r="3126" spans="1:25">
      <c r="G3126" s="62" t="s">
        <v>20</v>
      </c>
      <c r="H3126" s="57"/>
      <c r="I3126" s="270"/>
      <c r="J3126" s="36">
        <v>1</v>
      </c>
      <c r="K3126" s="36">
        <v>1</v>
      </c>
      <c r="L3126" s="36">
        <v>1</v>
      </c>
      <c r="M3126" s="36"/>
      <c r="N3126" s="36"/>
      <c r="O3126" s="36"/>
      <c r="P3126" s="36"/>
      <c r="Q3126" s="36"/>
      <c r="R3126" s="36"/>
      <c r="S3126" s="310"/>
      <c r="T3126" s="36"/>
      <c r="U3126" s="37"/>
      <c r="W3126" s="1"/>
      <c r="X3126" s="1"/>
      <c r="Y3126" s="1"/>
    </row>
    <row r="3127" spans="1:25">
      <c r="A3127" s="1" t="s">
        <v>271</v>
      </c>
      <c r="G3127" s="26" t="s">
        <v>22</v>
      </c>
      <c r="H3127" s="6"/>
      <c r="I3127" s="30">
        <v>0</v>
      </c>
      <c r="J3127" s="30">
        <v>29430</v>
      </c>
      <c r="K3127" s="30">
        <v>32556</v>
      </c>
      <c r="L3127" s="30">
        <v>35021</v>
      </c>
      <c r="M3127" s="30">
        <f t="shared" ref="M3127:S3127" si="1507">ROUND(M3124 * M3125 * M3126,0)</f>
        <v>0</v>
      </c>
      <c r="N3127" s="161">
        <f t="shared" si="1507"/>
        <v>0</v>
      </c>
      <c r="O3127" s="161">
        <f t="shared" si="1507"/>
        <v>0</v>
      </c>
      <c r="P3127" s="161">
        <f t="shared" si="1507"/>
        <v>0</v>
      </c>
      <c r="Q3127" s="161">
        <f t="shared" si="1507"/>
        <v>0</v>
      </c>
      <c r="R3127" s="161">
        <f t="shared" si="1507"/>
        <v>0</v>
      </c>
      <c r="S3127" s="311">
        <f t="shared" si="1507"/>
        <v>0</v>
      </c>
      <c r="T3127" s="161">
        <f t="shared" ref="T3127:U3127" si="1508">ROUND(T3124 * T3125 * T3126,0)</f>
        <v>0</v>
      </c>
      <c r="U3127" s="161">
        <f t="shared" si="1508"/>
        <v>0</v>
      </c>
      <c r="W3127" s="1"/>
      <c r="X3127" s="1"/>
      <c r="Y3127" s="1"/>
    </row>
    <row r="3128" spans="1:25">
      <c r="I3128" s="29"/>
      <c r="J3128" s="29"/>
      <c r="K3128" s="29"/>
      <c r="L3128" s="29"/>
      <c r="M3128" s="29"/>
      <c r="N3128" s="20"/>
      <c r="O3128" s="20"/>
      <c r="P3128" s="20"/>
      <c r="Q3128" s="20"/>
      <c r="R3128" s="20"/>
      <c r="S3128" s="312"/>
      <c r="T3128" s="20"/>
      <c r="U3128" s="20"/>
      <c r="W3128" s="1"/>
      <c r="X3128" s="1"/>
      <c r="Y3128" s="1"/>
    </row>
    <row r="3129" spans="1:25" ht="18.75">
      <c r="F3129" s="9" t="s">
        <v>118</v>
      </c>
      <c r="I3129" s="2">
        <f>'Facility Detail'!$G$3260</f>
        <v>2011</v>
      </c>
      <c r="J3129" s="2">
        <f>I3129+1</f>
        <v>2012</v>
      </c>
      <c r="K3129" s="2">
        <f>J3129+1</f>
        <v>2013</v>
      </c>
      <c r="L3129" s="2">
        <f>L3123</f>
        <v>2014</v>
      </c>
      <c r="M3129" s="2">
        <f>M3123</f>
        <v>2015</v>
      </c>
      <c r="N3129" s="2">
        <f>N3123</f>
        <v>2016</v>
      </c>
      <c r="O3129" s="2">
        <f>O3123</f>
        <v>2017</v>
      </c>
      <c r="P3129" s="2">
        <f t="shared" ref="P3129:S3129" si="1509">P3123</f>
        <v>2018</v>
      </c>
      <c r="Q3129" s="2">
        <f t="shared" si="1509"/>
        <v>2019</v>
      </c>
      <c r="R3129" s="2">
        <f t="shared" si="1509"/>
        <v>2020</v>
      </c>
      <c r="S3129" s="304">
        <f t="shared" si="1509"/>
        <v>2021</v>
      </c>
      <c r="T3129" s="2">
        <f t="shared" ref="T3129:U3129" si="1510">T3123</f>
        <v>2022</v>
      </c>
      <c r="U3129" s="2">
        <f t="shared" si="1510"/>
        <v>2023</v>
      </c>
      <c r="W3129" s="1"/>
      <c r="X3129" s="1"/>
      <c r="Y3129" s="1"/>
    </row>
    <row r="3130" spans="1:25">
      <c r="G3130" s="62" t="s">
        <v>10</v>
      </c>
      <c r="H3130" s="57"/>
      <c r="I3130" s="38">
        <f>IF($J67= "Eligible", I3127 * 'Facility Detail'!$G$3257, 0 )</f>
        <v>0</v>
      </c>
      <c r="J3130" s="11">
        <f>IF($J67= "Eligible", J3127 * 'Facility Detail'!$G$3257, 0 )</f>
        <v>0</v>
      </c>
      <c r="K3130" s="11">
        <f>IF($J67= "Eligible", K3127 * 'Facility Detail'!$G$3257, 0 )</f>
        <v>0</v>
      </c>
      <c r="L3130" s="11">
        <f>IF($J67= "Eligible", L3127 * 'Facility Detail'!$G$3257, 0 )</f>
        <v>0</v>
      </c>
      <c r="M3130" s="11">
        <f>IF($J67= "Eligible", M3127 * 'Facility Detail'!$G$3257, 0 )</f>
        <v>0</v>
      </c>
      <c r="N3130" s="11">
        <f>IF($J67= "Eligible", N3127 * 'Facility Detail'!$G$3257, 0 )</f>
        <v>0</v>
      </c>
      <c r="O3130" s="11">
        <f>IF($J67= "Eligible", O3127 * 'Facility Detail'!$G$3257, 0 )</f>
        <v>0</v>
      </c>
      <c r="P3130" s="11">
        <f>IF($J67= "Eligible", P3127 * 'Facility Detail'!$G$3257, 0 )</f>
        <v>0</v>
      </c>
      <c r="Q3130" s="11">
        <f>IF($J67= "Eligible", Q3127 * 'Facility Detail'!$G$3257, 0 )</f>
        <v>0</v>
      </c>
      <c r="R3130" s="11">
        <f>IF($J67= "Eligible", R3127 * 'Facility Detail'!$G$3257, 0 )</f>
        <v>0</v>
      </c>
      <c r="S3130" s="313">
        <f>IF($J67= "Eligible", S3127 * 'Facility Detail'!$G$3257, 0 )</f>
        <v>0</v>
      </c>
      <c r="T3130" s="11">
        <f>IF($J67= "Eligible", T3127 * 'Facility Detail'!$G$3257, 0 )</f>
        <v>0</v>
      </c>
      <c r="U3130" s="223">
        <f>IF($J67= "Eligible", U3127 * 'Facility Detail'!$G$3257, 0 )</f>
        <v>0</v>
      </c>
      <c r="W3130" s="1"/>
      <c r="X3130" s="1"/>
      <c r="Y3130" s="1"/>
    </row>
    <row r="3131" spans="1:25">
      <c r="G3131" s="62" t="s">
        <v>6</v>
      </c>
      <c r="H3131" s="57"/>
      <c r="I3131" s="39">
        <f t="shared" ref="I3131:U3131" si="1511">IF($K67= "Eligible", I3127, 0 )</f>
        <v>0</v>
      </c>
      <c r="J3131" s="193">
        <f t="shared" si="1511"/>
        <v>0</v>
      </c>
      <c r="K3131" s="193">
        <f t="shared" si="1511"/>
        <v>0</v>
      </c>
      <c r="L3131" s="193">
        <f t="shared" si="1511"/>
        <v>0</v>
      </c>
      <c r="M3131" s="193">
        <f t="shared" si="1511"/>
        <v>0</v>
      </c>
      <c r="N3131" s="193">
        <f t="shared" si="1511"/>
        <v>0</v>
      </c>
      <c r="O3131" s="193">
        <f t="shared" si="1511"/>
        <v>0</v>
      </c>
      <c r="P3131" s="193">
        <f t="shared" si="1511"/>
        <v>0</v>
      </c>
      <c r="Q3131" s="193">
        <f t="shared" si="1511"/>
        <v>0</v>
      </c>
      <c r="R3131" s="193">
        <f t="shared" si="1511"/>
        <v>0</v>
      </c>
      <c r="S3131" s="314">
        <f t="shared" si="1511"/>
        <v>0</v>
      </c>
      <c r="T3131" s="193">
        <f t="shared" si="1511"/>
        <v>0</v>
      </c>
      <c r="U3131" s="224">
        <f t="shared" si="1511"/>
        <v>0</v>
      </c>
      <c r="W3131" s="1"/>
      <c r="X3131" s="1"/>
      <c r="Y3131" s="1"/>
    </row>
    <row r="3132" spans="1:25">
      <c r="G3132" s="26" t="s">
        <v>120</v>
      </c>
      <c r="H3132" s="6"/>
      <c r="I3132" s="32">
        <f t="shared" ref="I3132:N3132" si="1512">SUM(I3130:I3131)</f>
        <v>0</v>
      </c>
      <c r="J3132" s="33">
        <f t="shared" si="1512"/>
        <v>0</v>
      </c>
      <c r="K3132" s="33">
        <f t="shared" si="1512"/>
        <v>0</v>
      </c>
      <c r="L3132" s="33">
        <f t="shared" si="1512"/>
        <v>0</v>
      </c>
      <c r="M3132" s="33">
        <f t="shared" si="1512"/>
        <v>0</v>
      </c>
      <c r="N3132" s="33">
        <f t="shared" si="1512"/>
        <v>0</v>
      </c>
      <c r="O3132" s="33">
        <f t="shared" ref="O3132:S3132" si="1513">SUM(O3130:O3131)</f>
        <v>0</v>
      </c>
      <c r="P3132" s="33">
        <f t="shared" si="1513"/>
        <v>0</v>
      </c>
      <c r="Q3132" s="33">
        <f t="shared" si="1513"/>
        <v>0</v>
      </c>
      <c r="R3132" s="33">
        <f t="shared" si="1513"/>
        <v>0</v>
      </c>
      <c r="S3132" s="315">
        <f t="shared" si="1513"/>
        <v>0</v>
      </c>
      <c r="T3132" s="33">
        <f t="shared" ref="T3132:U3132" si="1514">SUM(T3130:T3131)</f>
        <v>0</v>
      </c>
      <c r="U3132" s="33">
        <f t="shared" si="1514"/>
        <v>0</v>
      </c>
      <c r="W3132" s="1"/>
      <c r="X3132" s="1"/>
      <c r="Y3132" s="1"/>
    </row>
    <row r="3133" spans="1:25">
      <c r="I3133" s="31"/>
      <c r="J3133" s="24"/>
      <c r="K3133" s="24"/>
      <c r="L3133" s="24"/>
      <c r="M3133" s="24"/>
      <c r="N3133" s="24"/>
      <c r="O3133" s="24"/>
      <c r="P3133" s="24"/>
      <c r="Q3133" s="24"/>
      <c r="R3133" s="24"/>
      <c r="S3133" s="316"/>
      <c r="T3133" s="24"/>
      <c r="U3133" s="24"/>
      <c r="W3133" s="1"/>
      <c r="X3133" s="1"/>
      <c r="Y3133" s="1"/>
    </row>
    <row r="3134" spans="1:25" ht="18.75">
      <c r="F3134" s="9" t="s">
        <v>30</v>
      </c>
      <c r="I3134" s="2">
        <f>'Facility Detail'!$G$3260</f>
        <v>2011</v>
      </c>
      <c r="J3134" s="2">
        <f>I3134+1</f>
        <v>2012</v>
      </c>
      <c r="K3134" s="2">
        <f>J3134+1</f>
        <v>2013</v>
      </c>
      <c r="L3134" s="2">
        <f>L3123</f>
        <v>2014</v>
      </c>
      <c r="M3134" s="2">
        <f>M3123</f>
        <v>2015</v>
      </c>
      <c r="N3134" s="2">
        <f>N3123</f>
        <v>2016</v>
      </c>
      <c r="O3134" s="2">
        <f>O3123</f>
        <v>2017</v>
      </c>
      <c r="P3134" s="2">
        <f t="shared" ref="P3134:S3134" si="1515">P3123</f>
        <v>2018</v>
      </c>
      <c r="Q3134" s="2">
        <f t="shared" si="1515"/>
        <v>2019</v>
      </c>
      <c r="R3134" s="2">
        <f t="shared" si="1515"/>
        <v>2020</v>
      </c>
      <c r="S3134" s="304">
        <f t="shared" si="1515"/>
        <v>2021</v>
      </c>
      <c r="T3134" s="2">
        <f t="shared" ref="T3134:U3134" si="1516">T3123</f>
        <v>2022</v>
      </c>
      <c r="U3134" s="2">
        <f t="shared" si="1516"/>
        <v>2023</v>
      </c>
      <c r="W3134" s="1"/>
      <c r="X3134" s="1"/>
      <c r="Y3134" s="1"/>
    </row>
    <row r="3135" spans="1:25">
      <c r="G3135" s="62" t="s">
        <v>47</v>
      </c>
      <c r="H3135" s="57"/>
      <c r="I3135" s="71"/>
      <c r="J3135" s="72"/>
      <c r="K3135" s="72"/>
      <c r="L3135" s="72"/>
      <c r="M3135" s="72"/>
      <c r="N3135" s="72"/>
      <c r="O3135" s="72"/>
      <c r="P3135" s="72"/>
      <c r="Q3135" s="72"/>
      <c r="R3135" s="72"/>
      <c r="S3135" s="317"/>
      <c r="T3135" s="72"/>
      <c r="U3135" s="73"/>
      <c r="W3135" s="1"/>
      <c r="X3135" s="1"/>
      <c r="Y3135" s="1"/>
    </row>
    <row r="3136" spans="1:25">
      <c r="G3136" s="63" t="s">
        <v>23</v>
      </c>
      <c r="H3136" s="135"/>
      <c r="I3136" s="74"/>
      <c r="J3136" s="75"/>
      <c r="K3136" s="75"/>
      <c r="L3136" s="75"/>
      <c r="M3136" s="75"/>
      <c r="N3136" s="75"/>
      <c r="O3136" s="75"/>
      <c r="P3136" s="75"/>
      <c r="Q3136" s="75"/>
      <c r="R3136" s="75"/>
      <c r="S3136" s="318"/>
      <c r="T3136" s="75"/>
      <c r="U3136" s="76"/>
      <c r="W3136" s="1"/>
      <c r="X3136" s="1"/>
      <c r="Y3136" s="1"/>
    </row>
    <row r="3137" spans="2:25">
      <c r="G3137" s="63" t="s">
        <v>89</v>
      </c>
      <c r="H3137" s="134"/>
      <c r="I3137" s="43"/>
      <c r="J3137" s="44"/>
      <c r="K3137" s="44"/>
      <c r="L3137" s="44"/>
      <c r="M3137" s="44"/>
      <c r="N3137" s="44"/>
      <c r="O3137" s="44"/>
      <c r="P3137" s="44"/>
      <c r="Q3137" s="44"/>
      <c r="R3137" s="44"/>
      <c r="S3137" s="319"/>
      <c r="T3137" s="44"/>
      <c r="U3137" s="45"/>
      <c r="W3137" s="1"/>
      <c r="X3137" s="1"/>
      <c r="Y3137" s="1"/>
    </row>
    <row r="3138" spans="2:25">
      <c r="G3138" s="26" t="s">
        <v>90</v>
      </c>
      <c r="I3138" s="7">
        <f t="shared" ref="I3138:S3138" si="1517">SUM(I3135:I3137)</f>
        <v>0</v>
      </c>
      <c r="J3138" s="7">
        <f t="shared" si="1517"/>
        <v>0</v>
      </c>
      <c r="K3138" s="7">
        <f t="shared" si="1517"/>
        <v>0</v>
      </c>
      <c r="L3138" s="7">
        <f t="shared" si="1517"/>
        <v>0</v>
      </c>
      <c r="M3138" s="7">
        <f t="shared" si="1517"/>
        <v>0</v>
      </c>
      <c r="N3138" s="7">
        <f t="shared" si="1517"/>
        <v>0</v>
      </c>
      <c r="O3138" s="7">
        <f t="shared" si="1517"/>
        <v>0</v>
      </c>
      <c r="P3138" s="7">
        <f t="shared" si="1517"/>
        <v>0</v>
      </c>
      <c r="Q3138" s="7">
        <f t="shared" si="1517"/>
        <v>0</v>
      </c>
      <c r="R3138" s="7">
        <f t="shared" si="1517"/>
        <v>0</v>
      </c>
      <c r="S3138" s="320">
        <f t="shared" si="1517"/>
        <v>0</v>
      </c>
      <c r="T3138" s="7">
        <f t="shared" ref="T3138:U3138" si="1518">SUM(T3135:T3137)</f>
        <v>0</v>
      </c>
      <c r="U3138" s="7">
        <f t="shared" si="1518"/>
        <v>0</v>
      </c>
      <c r="W3138" s="1"/>
      <c r="X3138" s="1"/>
      <c r="Y3138" s="1"/>
    </row>
    <row r="3139" spans="2:25">
      <c r="G3139" s="6"/>
      <c r="I3139" s="7"/>
      <c r="J3139" s="7"/>
      <c r="K3139" s="7"/>
      <c r="L3139" s="23"/>
      <c r="M3139" s="23"/>
      <c r="N3139" s="23"/>
      <c r="O3139" s="23"/>
      <c r="P3139" s="23"/>
      <c r="Q3139" s="23"/>
      <c r="R3139" s="23"/>
      <c r="S3139" s="321"/>
      <c r="T3139" s="23"/>
      <c r="U3139" s="23"/>
      <c r="W3139" s="1"/>
      <c r="X3139" s="1"/>
      <c r="Y3139" s="1"/>
    </row>
    <row r="3140" spans="2:25" ht="18.75">
      <c r="F3140" s="9" t="s">
        <v>100</v>
      </c>
      <c r="I3140" s="2">
        <f>'Facility Detail'!$G$3260</f>
        <v>2011</v>
      </c>
      <c r="J3140" s="2">
        <f t="shared" ref="J3140:R3140" si="1519">I3140+1</f>
        <v>2012</v>
      </c>
      <c r="K3140" s="2">
        <f t="shared" si="1519"/>
        <v>2013</v>
      </c>
      <c r="L3140" s="2">
        <f t="shared" si="1519"/>
        <v>2014</v>
      </c>
      <c r="M3140" s="2">
        <f t="shared" si="1519"/>
        <v>2015</v>
      </c>
      <c r="N3140" s="2">
        <f t="shared" si="1519"/>
        <v>2016</v>
      </c>
      <c r="O3140" s="2">
        <f t="shared" si="1519"/>
        <v>2017</v>
      </c>
      <c r="P3140" s="2">
        <f t="shared" si="1519"/>
        <v>2018</v>
      </c>
      <c r="Q3140" s="2">
        <f t="shared" si="1519"/>
        <v>2019</v>
      </c>
      <c r="R3140" s="2">
        <f t="shared" si="1519"/>
        <v>2020</v>
      </c>
      <c r="S3140" s="304">
        <f>R3140+1</f>
        <v>2021</v>
      </c>
      <c r="T3140" s="2">
        <f>S3140+1</f>
        <v>2022</v>
      </c>
      <c r="U3140" s="2">
        <f>T3140+1</f>
        <v>2023</v>
      </c>
      <c r="W3140" s="1"/>
      <c r="X3140" s="1"/>
      <c r="Y3140" s="1"/>
    </row>
    <row r="3141" spans="2:25">
      <c r="G3141" s="62" t="s">
        <v>68</v>
      </c>
      <c r="I3141" s="3"/>
      <c r="J3141" s="46">
        <f>I3141</f>
        <v>0</v>
      </c>
      <c r="K3141" s="106"/>
      <c r="L3141" s="106"/>
      <c r="M3141" s="106"/>
      <c r="N3141" s="106"/>
      <c r="O3141" s="106"/>
      <c r="P3141" s="106"/>
      <c r="Q3141" s="106"/>
      <c r="R3141" s="106"/>
      <c r="S3141" s="322"/>
      <c r="T3141" s="106"/>
      <c r="U3141" s="47"/>
      <c r="W3141" s="1"/>
      <c r="X3141" s="1"/>
      <c r="Y3141" s="1"/>
    </row>
    <row r="3142" spans="2:25">
      <c r="G3142" s="62" t="s">
        <v>69</v>
      </c>
      <c r="I3142" s="35">
        <f>J3142</f>
        <v>0</v>
      </c>
      <c r="J3142" s="40"/>
      <c r="K3142" s="107"/>
      <c r="L3142" s="107"/>
      <c r="M3142" s="107"/>
      <c r="N3142" s="107"/>
      <c r="O3142" s="107"/>
      <c r="P3142" s="107"/>
      <c r="Q3142" s="107"/>
      <c r="R3142" s="107"/>
      <c r="S3142" s="323"/>
      <c r="T3142" s="107"/>
      <c r="U3142" s="478"/>
      <c r="W3142" s="1"/>
      <c r="X3142" s="1"/>
      <c r="Y3142" s="1"/>
    </row>
    <row r="3143" spans="2:25">
      <c r="G3143" s="62" t="s">
        <v>70</v>
      </c>
      <c r="I3143" s="48"/>
      <c r="J3143" s="10">
        <v>17177</v>
      </c>
      <c r="K3143" s="56">
        <f>J3143</f>
        <v>17177</v>
      </c>
      <c r="L3143" s="107"/>
      <c r="M3143" s="107"/>
      <c r="N3143" s="107"/>
      <c r="O3143" s="107"/>
      <c r="P3143" s="107"/>
      <c r="Q3143" s="107"/>
      <c r="R3143" s="107"/>
      <c r="S3143" s="323"/>
      <c r="T3143" s="107"/>
      <c r="U3143" s="478"/>
      <c r="W3143" s="1"/>
      <c r="X3143" s="1"/>
      <c r="Y3143" s="1"/>
    </row>
    <row r="3144" spans="2:25">
      <c r="G3144" s="62" t="s">
        <v>71</v>
      </c>
      <c r="I3144" s="48"/>
      <c r="J3144" s="56">
        <f>K3144</f>
        <v>0</v>
      </c>
      <c r="K3144" s="113"/>
      <c r="L3144" s="107"/>
      <c r="M3144" s="107"/>
      <c r="N3144" s="107"/>
      <c r="O3144" s="107"/>
      <c r="P3144" s="107"/>
      <c r="Q3144" s="107"/>
      <c r="R3144" s="107"/>
      <c r="S3144" s="323"/>
      <c r="T3144" s="107"/>
      <c r="U3144" s="478"/>
      <c r="W3144" s="1"/>
      <c r="X3144" s="1"/>
      <c r="Y3144" s="1"/>
    </row>
    <row r="3145" spans="2:25">
      <c r="G3145" s="62" t="s">
        <v>170</v>
      </c>
      <c r="I3145" s="114"/>
      <c r="J3145" s="116"/>
      <c r="K3145" s="40">
        <v>6731</v>
      </c>
      <c r="L3145" s="117">
        <f>K3145</f>
        <v>6731</v>
      </c>
      <c r="M3145" s="107"/>
      <c r="N3145" s="107"/>
      <c r="O3145" s="107"/>
      <c r="P3145" s="107"/>
      <c r="Q3145" s="107"/>
      <c r="R3145" s="107"/>
      <c r="S3145" s="323"/>
      <c r="T3145" s="107"/>
      <c r="U3145" s="478"/>
      <c r="W3145" s="1"/>
      <c r="X3145" s="1"/>
      <c r="Y3145" s="1"/>
    </row>
    <row r="3146" spans="2:25">
      <c r="G3146" s="62" t="s">
        <v>171</v>
      </c>
      <c r="I3146" s="114"/>
      <c r="J3146" s="116"/>
      <c r="K3146" s="115">
        <f>L3146</f>
        <v>0</v>
      </c>
      <c r="L3146" s="40"/>
      <c r="M3146" s="107"/>
      <c r="N3146" s="116"/>
      <c r="O3146" s="116"/>
      <c r="P3146" s="116"/>
      <c r="Q3146" s="116"/>
      <c r="R3146" s="116"/>
      <c r="S3146" s="329"/>
      <c r="T3146" s="116"/>
      <c r="U3146" s="479"/>
      <c r="W3146" s="1"/>
      <c r="X3146" s="1"/>
      <c r="Y3146" s="1"/>
    </row>
    <row r="3147" spans="2:25">
      <c r="G3147" s="62" t="s">
        <v>172</v>
      </c>
      <c r="I3147" s="114"/>
      <c r="J3147" s="116"/>
      <c r="K3147" s="116"/>
      <c r="L3147" s="40">
        <v>0</v>
      </c>
      <c r="M3147" s="124">
        <f>L3147</f>
        <v>0</v>
      </c>
      <c r="N3147" s="116"/>
      <c r="O3147" s="116"/>
      <c r="P3147" s="116"/>
      <c r="Q3147" s="116"/>
      <c r="R3147" s="116"/>
      <c r="S3147" s="329"/>
      <c r="T3147" s="116"/>
      <c r="U3147" s="479"/>
      <c r="W3147" s="1"/>
      <c r="X3147" s="1"/>
      <c r="Y3147" s="1"/>
    </row>
    <row r="3148" spans="2:25">
      <c r="G3148" s="62" t="s">
        <v>173</v>
      </c>
      <c r="I3148" s="48"/>
      <c r="J3148" s="118"/>
      <c r="K3148" s="118"/>
      <c r="L3148" s="56">
        <f>M3148</f>
        <v>0</v>
      </c>
      <c r="M3148" s="121"/>
      <c r="N3148" s="118"/>
      <c r="O3148" s="118"/>
      <c r="P3148" s="118"/>
      <c r="Q3148" s="118"/>
      <c r="R3148" s="118"/>
      <c r="S3148" s="324"/>
      <c r="T3148" s="118"/>
      <c r="U3148" s="122"/>
      <c r="W3148" s="1"/>
      <c r="X3148" s="1"/>
      <c r="Y3148" s="1"/>
    </row>
    <row r="3149" spans="2:25">
      <c r="G3149" s="62" t="s">
        <v>174</v>
      </c>
      <c r="I3149" s="49"/>
      <c r="J3149" s="108"/>
      <c r="K3149" s="108"/>
      <c r="L3149" s="108"/>
      <c r="M3149" s="123"/>
      <c r="N3149" s="193">
        <f>M3149</f>
        <v>0</v>
      </c>
      <c r="O3149" s="108"/>
      <c r="P3149" s="108"/>
      <c r="Q3149" s="108"/>
      <c r="R3149" s="108"/>
      <c r="S3149" s="325"/>
      <c r="T3149" s="108"/>
      <c r="U3149" s="459"/>
      <c r="W3149" s="1"/>
      <c r="X3149" s="1"/>
      <c r="Y3149" s="1"/>
    </row>
    <row r="3150" spans="2:25">
      <c r="B3150" s="1" t="s">
        <v>271</v>
      </c>
      <c r="G3150" s="26" t="s">
        <v>17</v>
      </c>
      <c r="I3150" s="7">
        <f xml:space="preserve"> I3142 - I3141</f>
        <v>0</v>
      </c>
      <c r="J3150" s="7">
        <f xml:space="preserve"> J3141 + J3144 - J3143 - J3142</f>
        <v>-17177</v>
      </c>
      <c r="K3150" s="7">
        <f>K3143 - K3144 -K3145</f>
        <v>10446</v>
      </c>
      <c r="L3150" s="7">
        <f>L3145-L3146-L3147</f>
        <v>6731</v>
      </c>
      <c r="M3150" s="7">
        <f>M3147-M3148-M3149</f>
        <v>0</v>
      </c>
      <c r="N3150" s="7">
        <f>N3147</f>
        <v>0</v>
      </c>
      <c r="O3150" s="7"/>
      <c r="P3150" s="7"/>
      <c r="Q3150" s="7"/>
      <c r="R3150" s="7"/>
      <c r="S3150" s="320"/>
      <c r="T3150" s="7"/>
      <c r="U3150" s="7"/>
      <c r="W3150" s="1"/>
      <c r="X3150" s="1"/>
      <c r="Y3150" s="1"/>
    </row>
    <row r="3151" spans="2:25">
      <c r="G3151" s="6"/>
      <c r="I3151" s="7"/>
      <c r="J3151" s="7"/>
      <c r="K3151" s="7"/>
      <c r="L3151" s="7"/>
      <c r="M3151" s="7"/>
      <c r="N3151" s="7"/>
      <c r="O3151" s="7"/>
      <c r="P3151" s="7"/>
      <c r="Q3151" s="7"/>
      <c r="R3151" s="7"/>
      <c r="S3151" s="320"/>
      <c r="T3151" s="7"/>
      <c r="U3151" s="7"/>
      <c r="W3151" s="1"/>
      <c r="X3151" s="1"/>
      <c r="Y3151" s="1"/>
    </row>
    <row r="3152" spans="2:25">
      <c r="G3152" s="26" t="s">
        <v>12</v>
      </c>
      <c r="H3152" s="57"/>
      <c r="I3152" s="155"/>
      <c r="J3152" s="156"/>
      <c r="K3152" s="156"/>
      <c r="L3152" s="156"/>
      <c r="M3152" s="156"/>
      <c r="N3152" s="156"/>
      <c r="O3152" s="156"/>
      <c r="P3152" s="156"/>
      <c r="Q3152" s="156"/>
      <c r="R3152" s="156"/>
      <c r="S3152" s="326"/>
      <c r="T3152" s="156"/>
      <c r="U3152" s="267"/>
      <c r="W3152" s="1"/>
      <c r="X3152" s="1"/>
      <c r="Y3152" s="1"/>
    </row>
    <row r="3153" spans="1:25">
      <c r="G3153" s="6"/>
      <c r="I3153" s="154"/>
      <c r="J3153" s="154"/>
      <c r="K3153" s="154"/>
      <c r="L3153" s="154"/>
      <c r="M3153" s="154"/>
      <c r="N3153" s="154"/>
      <c r="O3153" s="154"/>
      <c r="P3153" s="154"/>
      <c r="Q3153" s="154"/>
      <c r="R3153" s="154"/>
      <c r="S3153" s="327"/>
      <c r="T3153" s="154"/>
      <c r="U3153" s="154"/>
      <c r="W3153" s="1"/>
      <c r="X3153" s="1"/>
      <c r="Y3153" s="1"/>
    </row>
    <row r="3154" spans="1:25" ht="18.75">
      <c r="C3154" s="1" t="s">
        <v>271</v>
      </c>
      <c r="D3154" s="1" t="s">
        <v>272</v>
      </c>
      <c r="E3154" s="1" t="s">
        <v>107</v>
      </c>
      <c r="F3154" s="9" t="s">
        <v>26</v>
      </c>
      <c r="H3154" s="57"/>
      <c r="I3154" s="157">
        <f t="shared" ref="I3154:S3154" si="1520" xml:space="preserve"> I3127 + I3132 - I3138 + I3150 + I3152</f>
        <v>0</v>
      </c>
      <c r="J3154" s="158">
        <f t="shared" si="1520"/>
        <v>12253</v>
      </c>
      <c r="K3154" s="158">
        <f t="shared" si="1520"/>
        <v>43002</v>
      </c>
      <c r="L3154" s="158">
        <f t="shared" si="1520"/>
        <v>41752</v>
      </c>
      <c r="M3154" s="158">
        <f t="shared" si="1520"/>
        <v>0</v>
      </c>
      <c r="N3154" s="158">
        <f t="shared" si="1520"/>
        <v>0</v>
      </c>
      <c r="O3154" s="158">
        <f t="shared" si="1520"/>
        <v>0</v>
      </c>
      <c r="P3154" s="158">
        <f t="shared" si="1520"/>
        <v>0</v>
      </c>
      <c r="Q3154" s="158">
        <f t="shared" si="1520"/>
        <v>0</v>
      </c>
      <c r="R3154" s="158">
        <f t="shared" si="1520"/>
        <v>0</v>
      </c>
      <c r="S3154" s="328">
        <f t="shared" si="1520"/>
        <v>0</v>
      </c>
      <c r="T3154" s="158">
        <f t="shared" ref="T3154:U3154" si="1521" xml:space="preserve"> T3127 + T3132 - T3138 + T3150 + T3152</f>
        <v>0</v>
      </c>
      <c r="U3154" s="268">
        <f t="shared" si="1521"/>
        <v>0</v>
      </c>
      <c r="W3154" s="1"/>
      <c r="X3154" s="1"/>
      <c r="Y3154" s="1"/>
    </row>
    <row r="3155" spans="1:25">
      <c r="G3155" s="6"/>
      <c r="I3155" s="7"/>
      <c r="J3155" s="7"/>
      <c r="K3155" s="7"/>
      <c r="L3155" s="23" t="s">
        <v>273</v>
      </c>
      <c r="M3155" s="23"/>
      <c r="N3155" s="23"/>
      <c r="O3155" s="23"/>
      <c r="P3155" s="23"/>
      <c r="Q3155" s="23"/>
      <c r="R3155" s="23"/>
      <c r="S3155" s="282"/>
      <c r="T3155" s="23"/>
      <c r="U3155" s="23"/>
      <c r="W3155" s="1"/>
      <c r="X3155" s="1"/>
      <c r="Y3155" s="1"/>
    </row>
    <row r="3156" spans="1:25" ht="15.75" thickBot="1">
      <c r="W3156" s="1"/>
      <c r="X3156" s="1"/>
      <c r="Y3156" s="1"/>
    </row>
    <row r="3157" spans="1:25">
      <c r="F3157" s="8"/>
      <c r="G3157" s="8"/>
      <c r="H3157" s="8"/>
      <c r="I3157" s="8"/>
      <c r="J3157" s="8"/>
      <c r="K3157" s="8"/>
      <c r="L3157" s="8"/>
      <c r="M3157" s="8"/>
      <c r="N3157" s="8"/>
      <c r="O3157" s="8"/>
      <c r="P3157" s="8"/>
      <c r="Q3157" s="8"/>
      <c r="R3157" s="8"/>
      <c r="S3157" s="290"/>
      <c r="T3157" s="8"/>
      <c r="U3157" s="8"/>
      <c r="W3157" s="1"/>
      <c r="X3157" s="1"/>
      <c r="Y3157" s="1"/>
    </row>
    <row r="3158" spans="1:25" ht="15.75" thickBot="1">
      <c r="W3158" s="1"/>
      <c r="X3158" s="1"/>
      <c r="Y3158" s="1"/>
    </row>
    <row r="3159" spans="1:25" ht="21.75" thickBot="1">
      <c r="F3159" s="13" t="s">
        <v>4</v>
      </c>
      <c r="G3159" s="13"/>
      <c r="H3159" s="196" t="str">
        <f>G68</f>
        <v>Wanapum (Upgrade)</v>
      </c>
      <c r="I3159" s="183"/>
      <c r="W3159" s="1"/>
      <c r="X3159" s="1"/>
      <c r="Y3159" s="1"/>
    </row>
    <row r="3160" spans="1:25">
      <c r="W3160" s="1"/>
      <c r="X3160" s="1"/>
      <c r="Y3160" s="1"/>
    </row>
    <row r="3161" spans="1:25" ht="18.75">
      <c r="F3161" s="9" t="s">
        <v>21</v>
      </c>
      <c r="G3161" s="9"/>
      <c r="I3161" s="2">
        <f>'Facility Detail'!$G$3260</f>
        <v>2011</v>
      </c>
      <c r="J3161" s="2">
        <f t="shared" ref="J3161:R3161" si="1522">I3161+1</f>
        <v>2012</v>
      </c>
      <c r="K3161" s="2">
        <f t="shared" si="1522"/>
        <v>2013</v>
      </c>
      <c r="L3161" s="2">
        <f t="shared" si="1522"/>
        <v>2014</v>
      </c>
      <c r="M3161" s="2">
        <f t="shared" si="1522"/>
        <v>2015</v>
      </c>
      <c r="N3161" s="2">
        <f t="shared" si="1522"/>
        <v>2016</v>
      </c>
      <c r="O3161" s="2">
        <f t="shared" si="1522"/>
        <v>2017</v>
      </c>
      <c r="P3161" s="2">
        <f t="shared" si="1522"/>
        <v>2018</v>
      </c>
      <c r="Q3161" s="2">
        <f t="shared" si="1522"/>
        <v>2019</v>
      </c>
      <c r="R3161" s="2">
        <f t="shared" si="1522"/>
        <v>2020</v>
      </c>
      <c r="S3161" s="304">
        <f>R3161+1</f>
        <v>2021</v>
      </c>
      <c r="T3161" s="2">
        <f>S3161+1</f>
        <v>2022</v>
      </c>
      <c r="U3161" s="2">
        <f>T3161+1</f>
        <v>2023</v>
      </c>
      <c r="W3161" s="1"/>
      <c r="X3161" s="1"/>
      <c r="Y3161" s="1"/>
    </row>
    <row r="3162" spans="1:25">
      <c r="G3162" s="62" t="str">
        <f>"Total MWh Produced / Purchased from " &amp; H3159</f>
        <v>Total MWh Produced / Purchased from Wanapum (Upgrade)</v>
      </c>
      <c r="H3162" s="57"/>
      <c r="I3162" s="3"/>
      <c r="J3162" s="4">
        <v>8509.334807773188</v>
      </c>
      <c r="K3162" s="4">
        <v>8015.2443995799058</v>
      </c>
      <c r="L3162" s="4"/>
      <c r="M3162" s="4"/>
      <c r="N3162" s="4"/>
      <c r="O3162" s="4"/>
      <c r="P3162" s="4"/>
      <c r="Q3162" s="4"/>
      <c r="R3162" s="4"/>
      <c r="S3162" s="308"/>
      <c r="T3162" s="4"/>
      <c r="U3162" s="5"/>
      <c r="W3162" s="1"/>
      <c r="X3162" s="1"/>
      <c r="Y3162" s="1"/>
    </row>
    <row r="3163" spans="1:25">
      <c r="G3163" s="62" t="s">
        <v>25</v>
      </c>
      <c r="H3163" s="57"/>
      <c r="I3163" s="269"/>
      <c r="J3163" s="41">
        <v>1</v>
      </c>
      <c r="K3163" s="41">
        <v>1</v>
      </c>
      <c r="L3163" s="41"/>
      <c r="M3163" s="41"/>
      <c r="N3163" s="41"/>
      <c r="O3163" s="41"/>
      <c r="P3163" s="41"/>
      <c r="Q3163" s="41"/>
      <c r="R3163" s="41"/>
      <c r="S3163" s="309"/>
      <c r="T3163" s="41"/>
      <c r="U3163" s="42"/>
      <c r="W3163" s="1"/>
      <c r="X3163" s="1"/>
      <c r="Y3163" s="1"/>
    </row>
    <row r="3164" spans="1:25">
      <c r="G3164" s="62" t="s">
        <v>20</v>
      </c>
      <c r="H3164" s="57"/>
      <c r="I3164" s="270"/>
      <c r="J3164" s="36">
        <v>7.9619999999999996E-2</v>
      </c>
      <c r="K3164" s="36">
        <v>7.8747999999999999E-2</v>
      </c>
      <c r="L3164" s="36"/>
      <c r="M3164" s="36"/>
      <c r="N3164" s="36"/>
      <c r="O3164" s="36"/>
      <c r="P3164" s="36"/>
      <c r="Q3164" s="36"/>
      <c r="R3164" s="36"/>
      <c r="S3164" s="310"/>
      <c r="T3164" s="36"/>
      <c r="U3164" s="37"/>
      <c r="W3164" s="1"/>
      <c r="X3164" s="1"/>
      <c r="Y3164" s="1"/>
    </row>
    <row r="3165" spans="1:25">
      <c r="A3165" s="1" t="s">
        <v>274</v>
      </c>
      <c r="G3165" s="26" t="s">
        <v>22</v>
      </c>
      <c r="H3165" s="6"/>
      <c r="I3165" s="30">
        <f>ROUND(I3162 * I3163 * I3164,0)</f>
        <v>0</v>
      </c>
      <c r="J3165" s="30">
        <v>678</v>
      </c>
      <c r="K3165" s="30">
        <v>631</v>
      </c>
      <c r="L3165" s="30">
        <f t="shared" ref="L3165:S3165" si="1523">ROUND(L3162 * L3163 * L3164,0)</f>
        <v>0</v>
      </c>
      <c r="M3165" s="30">
        <f t="shared" si="1523"/>
        <v>0</v>
      </c>
      <c r="N3165" s="161">
        <f t="shared" si="1523"/>
        <v>0</v>
      </c>
      <c r="O3165" s="161">
        <f t="shared" si="1523"/>
        <v>0</v>
      </c>
      <c r="P3165" s="161">
        <f t="shared" si="1523"/>
        <v>0</v>
      </c>
      <c r="Q3165" s="161">
        <f t="shared" si="1523"/>
        <v>0</v>
      </c>
      <c r="R3165" s="161">
        <f t="shared" si="1523"/>
        <v>0</v>
      </c>
      <c r="S3165" s="311">
        <f t="shared" si="1523"/>
        <v>0</v>
      </c>
      <c r="T3165" s="161">
        <f t="shared" ref="T3165:U3165" si="1524">ROUND(T3162 * T3163 * T3164,0)</f>
        <v>0</v>
      </c>
      <c r="U3165" s="161">
        <f t="shared" si="1524"/>
        <v>0</v>
      </c>
      <c r="W3165" s="1"/>
      <c r="X3165" s="1"/>
      <c r="Y3165" s="1"/>
    </row>
    <row r="3166" spans="1:25">
      <c r="I3166" s="29"/>
      <c r="J3166" s="29"/>
      <c r="K3166" s="29"/>
      <c r="L3166" s="29"/>
      <c r="M3166" s="29"/>
      <c r="N3166" s="20"/>
      <c r="O3166" s="20"/>
      <c r="P3166" s="20"/>
      <c r="Q3166" s="20"/>
      <c r="R3166" s="20"/>
      <c r="S3166" s="312"/>
      <c r="T3166" s="20"/>
      <c r="U3166" s="20"/>
      <c r="W3166" s="1"/>
      <c r="X3166" s="1"/>
      <c r="Y3166" s="1"/>
    </row>
    <row r="3167" spans="1:25" ht="18.75">
      <c r="F3167" s="9" t="s">
        <v>118</v>
      </c>
      <c r="I3167" s="2">
        <f>'Facility Detail'!$G$3260</f>
        <v>2011</v>
      </c>
      <c r="J3167" s="2">
        <f>I3167+1</f>
        <v>2012</v>
      </c>
      <c r="K3167" s="2">
        <f>J3167+1</f>
        <v>2013</v>
      </c>
      <c r="L3167" s="2">
        <f>L3161</f>
        <v>2014</v>
      </c>
      <c r="M3167" s="2">
        <f>M3161</f>
        <v>2015</v>
      </c>
      <c r="N3167" s="2">
        <f>N3161</f>
        <v>2016</v>
      </c>
      <c r="O3167" s="2">
        <f t="shared" ref="O3167:S3167" si="1525">O3161</f>
        <v>2017</v>
      </c>
      <c r="P3167" s="2">
        <f t="shared" si="1525"/>
        <v>2018</v>
      </c>
      <c r="Q3167" s="2">
        <f t="shared" si="1525"/>
        <v>2019</v>
      </c>
      <c r="R3167" s="2">
        <f t="shared" si="1525"/>
        <v>2020</v>
      </c>
      <c r="S3167" s="304">
        <f t="shared" si="1525"/>
        <v>2021</v>
      </c>
      <c r="T3167" s="2">
        <f t="shared" ref="T3167:U3167" si="1526">T3161</f>
        <v>2022</v>
      </c>
      <c r="U3167" s="2">
        <f t="shared" si="1526"/>
        <v>2023</v>
      </c>
      <c r="W3167" s="1"/>
      <c r="X3167" s="1"/>
      <c r="Y3167" s="1"/>
    </row>
    <row r="3168" spans="1:25">
      <c r="G3168" s="62" t="s">
        <v>10</v>
      </c>
      <c r="H3168" s="57"/>
      <c r="I3168" s="38">
        <f>IF($J68= "Eligible", I3165 * 'Facility Detail'!$G$3257, 0 )</f>
        <v>0</v>
      </c>
      <c r="J3168" s="11">
        <f>IF($J68= "Eligible", J3165 * 'Facility Detail'!$G$3257, 0 )</f>
        <v>0</v>
      </c>
      <c r="K3168" s="11">
        <f>IF($J68= "Eligible", K3165 * 'Facility Detail'!$G$3257, 0 )</f>
        <v>0</v>
      </c>
      <c r="L3168" s="11">
        <f>IF($J68= "Eligible", L3165 * 'Facility Detail'!$G$3257, 0 )</f>
        <v>0</v>
      </c>
      <c r="M3168" s="11">
        <f>IF($J68= "Eligible", M3165 * 'Facility Detail'!$G$3257, 0 )</f>
        <v>0</v>
      </c>
      <c r="N3168" s="11">
        <f>IF($J68= "Eligible", N3165 * 'Facility Detail'!$G$3257, 0 )</f>
        <v>0</v>
      </c>
      <c r="O3168" s="11">
        <f>IF($J68= "Eligible", O3165 * 'Facility Detail'!$G$3257, 0 )</f>
        <v>0</v>
      </c>
      <c r="P3168" s="11">
        <f>IF($J68= "Eligible", P3165 * 'Facility Detail'!$G$3257, 0 )</f>
        <v>0</v>
      </c>
      <c r="Q3168" s="11">
        <f>IF($J68= "Eligible", Q3165 * 'Facility Detail'!$G$3257, 0 )</f>
        <v>0</v>
      </c>
      <c r="R3168" s="11">
        <f>IF($J68= "Eligible", R3165 * 'Facility Detail'!$G$3257, 0 )</f>
        <v>0</v>
      </c>
      <c r="S3168" s="313">
        <f>IF($J68= "Eligible", S3165 * 'Facility Detail'!$G$3257, 0 )</f>
        <v>0</v>
      </c>
      <c r="T3168" s="11">
        <f>IF($J68= "Eligible", T3165 * 'Facility Detail'!$G$3257, 0 )</f>
        <v>0</v>
      </c>
      <c r="U3168" s="223">
        <f>IF($J68= "Eligible", U3165 * 'Facility Detail'!$G$3257, 0 )</f>
        <v>0</v>
      </c>
      <c r="W3168" s="1"/>
      <c r="X3168" s="1"/>
      <c r="Y3168" s="1"/>
    </row>
    <row r="3169" spans="6:25">
      <c r="G3169" s="62" t="s">
        <v>6</v>
      </c>
      <c r="H3169" s="57"/>
      <c r="I3169" s="39">
        <f t="shared" ref="I3169:U3169" si="1527">IF($K68= "Eligible", I3165, 0 )</f>
        <v>0</v>
      </c>
      <c r="J3169" s="193">
        <f t="shared" si="1527"/>
        <v>0</v>
      </c>
      <c r="K3169" s="193">
        <f t="shared" si="1527"/>
        <v>0</v>
      </c>
      <c r="L3169" s="193">
        <f t="shared" si="1527"/>
        <v>0</v>
      </c>
      <c r="M3169" s="193">
        <f t="shared" si="1527"/>
        <v>0</v>
      </c>
      <c r="N3169" s="193">
        <f t="shared" si="1527"/>
        <v>0</v>
      </c>
      <c r="O3169" s="193">
        <f t="shared" si="1527"/>
        <v>0</v>
      </c>
      <c r="P3169" s="193">
        <f t="shared" si="1527"/>
        <v>0</v>
      </c>
      <c r="Q3169" s="193">
        <f t="shared" si="1527"/>
        <v>0</v>
      </c>
      <c r="R3169" s="193">
        <f t="shared" si="1527"/>
        <v>0</v>
      </c>
      <c r="S3169" s="314">
        <f t="shared" si="1527"/>
        <v>0</v>
      </c>
      <c r="T3169" s="193">
        <f t="shared" si="1527"/>
        <v>0</v>
      </c>
      <c r="U3169" s="224">
        <f t="shared" si="1527"/>
        <v>0</v>
      </c>
      <c r="W3169" s="1"/>
      <c r="X3169" s="1"/>
      <c r="Y3169" s="1"/>
    </row>
    <row r="3170" spans="6:25">
      <c r="G3170" s="26" t="s">
        <v>120</v>
      </c>
      <c r="H3170" s="6"/>
      <c r="I3170" s="32">
        <f t="shared" ref="I3170:N3170" si="1528">SUM(I3168:I3169)</f>
        <v>0</v>
      </c>
      <c r="J3170" s="33">
        <f t="shared" si="1528"/>
        <v>0</v>
      </c>
      <c r="K3170" s="33">
        <f t="shared" si="1528"/>
        <v>0</v>
      </c>
      <c r="L3170" s="33">
        <f t="shared" si="1528"/>
        <v>0</v>
      </c>
      <c r="M3170" s="33">
        <f t="shared" si="1528"/>
        <v>0</v>
      </c>
      <c r="N3170" s="33">
        <f t="shared" si="1528"/>
        <v>0</v>
      </c>
      <c r="O3170" s="33">
        <f t="shared" ref="O3170:S3170" si="1529">SUM(O3168:O3169)</f>
        <v>0</v>
      </c>
      <c r="P3170" s="33">
        <f t="shared" si="1529"/>
        <v>0</v>
      </c>
      <c r="Q3170" s="33">
        <f t="shared" si="1529"/>
        <v>0</v>
      </c>
      <c r="R3170" s="33">
        <f t="shared" si="1529"/>
        <v>0</v>
      </c>
      <c r="S3170" s="315">
        <f t="shared" si="1529"/>
        <v>0</v>
      </c>
      <c r="T3170" s="33">
        <f t="shared" ref="T3170:U3170" si="1530">SUM(T3168:T3169)</f>
        <v>0</v>
      </c>
      <c r="U3170" s="33">
        <f t="shared" si="1530"/>
        <v>0</v>
      </c>
      <c r="W3170" s="1"/>
      <c r="X3170" s="1"/>
      <c r="Y3170" s="1"/>
    </row>
    <row r="3171" spans="6:25">
      <c r="I3171" s="31"/>
      <c r="J3171" s="24"/>
      <c r="K3171" s="24"/>
      <c r="L3171" s="24"/>
      <c r="M3171" s="24"/>
      <c r="N3171" s="24"/>
      <c r="O3171" s="24"/>
      <c r="P3171" s="24"/>
      <c r="Q3171" s="24"/>
      <c r="R3171" s="24"/>
      <c r="S3171" s="316"/>
      <c r="T3171" s="24"/>
      <c r="U3171" s="24"/>
      <c r="W3171" s="1"/>
      <c r="X3171" s="1"/>
      <c r="Y3171" s="1"/>
    </row>
    <row r="3172" spans="6:25" ht="18.75">
      <c r="F3172" s="9" t="s">
        <v>30</v>
      </c>
      <c r="I3172" s="2">
        <f>'Facility Detail'!$G$3260</f>
        <v>2011</v>
      </c>
      <c r="J3172" s="2">
        <f>I3172+1</f>
        <v>2012</v>
      </c>
      <c r="K3172" s="2">
        <f>J3172+1</f>
        <v>2013</v>
      </c>
      <c r="L3172" s="2">
        <f>L3161</f>
        <v>2014</v>
      </c>
      <c r="M3172" s="2">
        <f>M3161</f>
        <v>2015</v>
      </c>
      <c r="N3172" s="2">
        <f>N3161</f>
        <v>2016</v>
      </c>
      <c r="O3172" s="2">
        <f t="shared" ref="O3172:S3172" si="1531">O3161</f>
        <v>2017</v>
      </c>
      <c r="P3172" s="2">
        <f t="shared" si="1531"/>
        <v>2018</v>
      </c>
      <c r="Q3172" s="2">
        <f t="shared" si="1531"/>
        <v>2019</v>
      </c>
      <c r="R3172" s="2">
        <f t="shared" si="1531"/>
        <v>2020</v>
      </c>
      <c r="S3172" s="304">
        <f t="shared" si="1531"/>
        <v>2021</v>
      </c>
      <c r="T3172" s="2">
        <f t="shared" ref="T3172:U3172" si="1532">T3161</f>
        <v>2022</v>
      </c>
      <c r="U3172" s="2">
        <f t="shared" si="1532"/>
        <v>2023</v>
      </c>
      <c r="W3172" s="1"/>
      <c r="X3172" s="1"/>
      <c r="Y3172" s="1"/>
    </row>
    <row r="3173" spans="6:25">
      <c r="G3173" s="62" t="s">
        <v>47</v>
      </c>
      <c r="H3173" s="57"/>
      <c r="I3173" s="71"/>
      <c r="J3173" s="72"/>
      <c r="K3173" s="72"/>
      <c r="L3173" s="72"/>
      <c r="M3173" s="72"/>
      <c r="N3173" s="72"/>
      <c r="O3173" s="72"/>
      <c r="P3173" s="72"/>
      <c r="Q3173" s="72"/>
      <c r="R3173" s="72"/>
      <c r="S3173" s="317"/>
      <c r="T3173" s="72"/>
      <c r="U3173" s="73"/>
      <c r="W3173" s="1"/>
      <c r="X3173" s="1"/>
      <c r="Y3173" s="1"/>
    </row>
    <row r="3174" spans="6:25">
      <c r="G3174" s="63" t="s">
        <v>23</v>
      </c>
      <c r="H3174" s="135"/>
      <c r="I3174" s="74"/>
      <c r="J3174" s="75"/>
      <c r="K3174" s="75"/>
      <c r="L3174" s="75"/>
      <c r="M3174" s="75"/>
      <c r="N3174" s="75"/>
      <c r="O3174" s="75"/>
      <c r="P3174" s="75"/>
      <c r="Q3174" s="75"/>
      <c r="R3174" s="75"/>
      <c r="S3174" s="318"/>
      <c r="T3174" s="75"/>
      <c r="U3174" s="76"/>
      <c r="W3174" s="1"/>
      <c r="X3174" s="1"/>
      <c r="Y3174" s="1"/>
    </row>
    <row r="3175" spans="6:25">
      <c r="G3175" s="63" t="s">
        <v>89</v>
      </c>
      <c r="H3175" s="134"/>
      <c r="I3175" s="43"/>
      <c r="J3175" s="44"/>
      <c r="K3175" s="44"/>
      <c r="L3175" s="44"/>
      <c r="M3175" s="44"/>
      <c r="N3175" s="44"/>
      <c r="O3175" s="44"/>
      <c r="P3175" s="44"/>
      <c r="Q3175" s="44"/>
      <c r="R3175" s="44"/>
      <c r="S3175" s="319"/>
      <c r="T3175" s="44"/>
      <c r="U3175" s="45"/>
      <c r="W3175" s="1"/>
      <c r="X3175" s="1"/>
      <c r="Y3175" s="1"/>
    </row>
    <row r="3176" spans="6:25">
      <c r="G3176" s="26" t="s">
        <v>90</v>
      </c>
      <c r="I3176" s="7">
        <f t="shared" ref="I3176:S3176" si="1533">SUM(I3173:I3175)</f>
        <v>0</v>
      </c>
      <c r="J3176" s="7">
        <f t="shared" si="1533"/>
        <v>0</v>
      </c>
      <c r="K3176" s="7">
        <f t="shared" si="1533"/>
        <v>0</v>
      </c>
      <c r="L3176" s="7">
        <f t="shared" si="1533"/>
        <v>0</v>
      </c>
      <c r="M3176" s="7">
        <f t="shared" si="1533"/>
        <v>0</v>
      </c>
      <c r="N3176" s="7">
        <f t="shared" si="1533"/>
        <v>0</v>
      </c>
      <c r="O3176" s="7">
        <f t="shared" si="1533"/>
        <v>0</v>
      </c>
      <c r="P3176" s="7">
        <f t="shared" si="1533"/>
        <v>0</v>
      </c>
      <c r="Q3176" s="7">
        <f t="shared" si="1533"/>
        <v>0</v>
      </c>
      <c r="R3176" s="7">
        <f t="shared" si="1533"/>
        <v>0</v>
      </c>
      <c r="S3176" s="320">
        <f t="shared" si="1533"/>
        <v>0</v>
      </c>
      <c r="T3176" s="7">
        <f t="shared" ref="T3176:U3176" si="1534">SUM(T3173:T3175)</f>
        <v>0</v>
      </c>
      <c r="U3176" s="7">
        <f t="shared" si="1534"/>
        <v>0</v>
      </c>
      <c r="W3176" s="1"/>
      <c r="X3176" s="1"/>
      <c r="Y3176" s="1"/>
    </row>
    <row r="3177" spans="6:25">
      <c r="G3177" s="6"/>
      <c r="I3177" s="7"/>
      <c r="J3177" s="7"/>
      <c r="K3177" s="7"/>
      <c r="L3177" s="23"/>
      <c r="M3177" s="23"/>
      <c r="N3177" s="23"/>
      <c r="O3177" s="23"/>
      <c r="P3177" s="23"/>
      <c r="Q3177" s="23"/>
      <c r="R3177" s="23"/>
      <c r="S3177" s="321"/>
      <c r="T3177" s="23"/>
      <c r="U3177" s="23"/>
      <c r="W3177" s="1"/>
      <c r="X3177" s="1"/>
      <c r="Y3177" s="1"/>
    </row>
    <row r="3178" spans="6:25" ht="18.75">
      <c r="F3178" s="9" t="s">
        <v>100</v>
      </c>
      <c r="I3178" s="2">
        <f>'Facility Detail'!$G$3260</f>
        <v>2011</v>
      </c>
      <c r="J3178" s="2">
        <f>I3178+1</f>
        <v>2012</v>
      </c>
      <c r="K3178" s="2">
        <f>J3178+1</f>
        <v>2013</v>
      </c>
      <c r="L3178" s="2">
        <f>K3178+1</f>
        <v>2014</v>
      </c>
      <c r="M3178" s="2">
        <f>L3178+1</f>
        <v>2015</v>
      </c>
      <c r="N3178" s="2">
        <f>M3178+1</f>
        <v>2016</v>
      </c>
      <c r="O3178" s="2">
        <f t="shared" ref="O3178:R3178" si="1535">N3178+1</f>
        <v>2017</v>
      </c>
      <c r="P3178" s="2">
        <f t="shared" si="1535"/>
        <v>2018</v>
      </c>
      <c r="Q3178" s="2">
        <f t="shared" si="1535"/>
        <v>2019</v>
      </c>
      <c r="R3178" s="2">
        <f t="shared" si="1535"/>
        <v>2020</v>
      </c>
      <c r="S3178" s="304">
        <f>R3178+1</f>
        <v>2021</v>
      </c>
      <c r="T3178" s="2">
        <f>S3178+1</f>
        <v>2022</v>
      </c>
      <c r="U3178" s="2">
        <f>T3178+1</f>
        <v>2023</v>
      </c>
      <c r="W3178" s="1"/>
      <c r="X3178" s="1"/>
      <c r="Y3178" s="1"/>
    </row>
    <row r="3179" spans="6:25">
      <c r="G3179" s="62" t="s">
        <v>68</v>
      </c>
      <c r="I3179" s="3"/>
      <c r="J3179" s="46">
        <f>I3179</f>
        <v>0</v>
      </c>
      <c r="K3179" s="106"/>
      <c r="L3179" s="106"/>
      <c r="M3179" s="106"/>
      <c r="N3179" s="106"/>
      <c r="O3179" s="106"/>
      <c r="P3179" s="106"/>
      <c r="Q3179" s="106"/>
      <c r="R3179" s="106"/>
      <c r="S3179" s="322"/>
      <c r="T3179" s="106"/>
      <c r="U3179" s="47"/>
      <c r="W3179" s="1"/>
      <c r="X3179" s="1"/>
      <c r="Y3179" s="1"/>
    </row>
    <row r="3180" spans="6:25">
      <c r="G3180" s="62" t="s">
        <v>69</v>
      </c>
      <c r="I3180" s="35">
        <f>J3180</f>
        <v>0</v>
      </c>
      <c r="J3180" s="40"/>
      <c r="K3180" s="107"/>
      <c r="L3180" s="107"/>
      <c r="M3180" s="107"/>
      <c r="N3180" s="107"/>
      <c r="O3180" s="107"/>
      <c r="P3180" s="107"/>
      <c r="Q3180" s="107"/>
      <c r="R3180" s="107"/>
      <c r="S3180" s="323"/>
      <c r="T3180" s="107"/>
      <c r="U3180" s="478"/>
      <c r="W3180" s="1"/>
      <c r="X3180" s="1"/>
      <c r="Y3180" s="1"/>
    </row>
    <row r="3181" spans="6:25">
      <c r="G3181" s="62" t="s">
        <v>70</v>
      </c>
      <c r="I3181" s="48"/>
      <c r="J3181" s="10"/>
      <c r="K3181" s="56">
        <f>J3181</f>
        <v>0</v>
      </c>
      <c r="L3181" s="107"/>
      <c r="M3181" s="107"/>
      <c r="N3181" s="107"/>
      <c r="O3181" s="107"/>
      <c r="P3181" s="107"/>
      <c r="Q3181" s="107"/>
      <c r="R3181" s="107"/>
      <c r="S3181" s="323"/>
      <c r="T3181" s="107"/>
      <c r="U3181" s="478"/>
      <c r="W3181" s="1"/>
      <c r="X3181" s="1"/>
      <c r="Y3181" s="1"/>
    </row>
    <row r="3182" spans="6:25">
      <c r="G3182" s="62" t="s">
        <v>71</v>
      </c>
      <c r="I3182" s="48"/>
      <c r="J3182" s="56">
        <f>K3182</f>
        <v>0</v>
      </c>
      <c r="K3182" s="113"/>
      <c r="L3182" s="107"/>
      <c r="M3182" s="107"/>
      <c r="N3182" s="107"/>
      <c r="O3182" s="107"/>
      <c r="P3182" s="107"/>
      <c r="Q3182" s="107"/>
      <c r="R3182" s="107"/>
      <c r="S3182" s="323"/>
      <c r="T3182" s="107"/>
      <c r="U3182" s="478"/>
      <c r="W3182" s="1"/>
      <c r="X3182" s="1"/>
      <c r="Y3182" s="1"/>
    </row>
    <row r="3183" spans="6:25">
      <c r="G3183" s="62" t="s">
        <v>170</v>
      </c>
      <c r="I3183" s="114"/>
      <c r="J3183" s="116"/>
      <c r="K3183" s="40"/>
      <c r="L3183" s="117">
        <f>K3183</f>
        <v>0</v>
      </c>
      <c r="M3183" s="107"/>
      <c r="N3183" s="107"/>
      <c r="O3183" s="107"/>
      <c r="P3183" s="107"/>
      <c r="Q3183" s="107"/>
      <c r="R3183" s="107"/>
      <c r="S3183" s="323"/>
      <c r="T3183" s="107"/>
      <c r="U3183" s="478"/>
      <c r="W3183" s="1"/>
      <c r="X3183" s="1"/>
      <c r="Y3183" s="1"/>
    </row>
    <row r="3184" spans="6:25">
      <c r="G3184" s="62" t="s">
        <v>171</v>
      </c>
      <c r="I3184" s="48"/>
      <c r="J3184" s="118"/>
      <c r="K3184" s="56">
        <f>L3184</f>
        <v>0</v>
      </c>
      <c r="L3184" s="10"/>
      <c r="M3184" s="60"/>
      <c r="N3184" s="118"/>
      <c r="O3184" s="118"/>
      <c r="P3184" s="118"/>
      <c r="Q3184" s="118"/>
      <c r="R3184" s="118"/>
      <c r="S3184" s="324"/>
      <c r="T3184" s="118"/>
      <c r="U3184" s="122"/>
      <c r="W3184" s="1"/>
      <c r="X3184" s="1"/>
      <c r="Y3184" s="1"/>
    </row>
    <row r="3185" spans="2:25">
      <c r="G3185" s="62" t="s">
        <v>172</v>
      </c>
      <c r="I3185" s="48"/>
      <c r="J3185" s="118"/>
      <c r="K3185" s="118"/>
      <c r="L3185" s="10"/>
      <c r="M3185" s="119">
        <f>L3185</f>
        <v>0</v>
      </c>
      <c r="N3185" s="118"/>
      <c r="O3185" s="118"/>
      <c r="P3185" s="118"/>
      <c r="Q3185" s="118"/>
      <c r="R3185" s="118"/>
      <c r="S3185" s="324"/>
      <c r="T3185" s="118"/>
      <c r="U3185" s="122"/>
      <c r="W3185" s="1"/>
      <c r="X3185" s="1"/>
      <c r="Y3185" s="1"/>
    </row>
    <row r="3186" spans="2:25">
      <c r="G3186" s="62" t="s">
        <v>173</v>
      </c>
      <c r="I3186" s="48"/>
      <c r="J3186" s="118"/>
      <c r="K3186" s="118"/>
      <c r="L3186" s="120"/>
      <c r="M3186" s="121"/>
      <c r="N3186" s="118"/>
      <c r="O3186" s="118"/>
      <c r="P3186" s="118"/>
      <c r="Q3186" s="118"/>
      <c r="R3186" s="118"/>
      <c r="S3186" s="324"/>
      <c r="T3186" s="118"/>
      <c r="U3186" s="122"/>
      <c r="W3186" s="1"/>
      <c r="X3186" s="1"/>
      <c r="Y3186" s="1"/>
    </row>
    <row r="3187" spans="2:25">
      <c r="G3187" s="62" t="s">
        <v>174</v>
      </c>
      <c r="I3187" s="49"/>
      <c r="J3187" s="108"/>
      <c r="K3187" s="108"/>
      <c r="L3187" s="108"/>
      <c r="M3187" s="123"/>
      <c r="N3187" s="193"/>
      <c r="O3187" s="108"/>
      <c r="P3187" s="108"/>
      <c r="Q3187" s="108"/>
      <c r="R3187" s="108"/>
      <c r="S3187" s="325"/>
      <c r="T3187" s="108"/>
      <c r="U3187" s="459"/>
      <c r="W3187" s="1"/>
      <c r="X3187" s="1"/>
      <c r="Y3187" s="1"/>
    </row>
    <row r="3188" spans="2:25">
      <c r="B3188" s="1" t="s">
        <v>274</v>
      </c>
      <c r="G3188" s="26" t="s">
        <v>17</v>
      </c>
      <c r="I3188" s="7">
        <f xml:space="preserve"> I3180 - I3179</f>
        <v>0</v>
      </c>
      <c r="J3188" s="7">
        <f xml:space="preserve"> J3179 + J3182 - J3181 - J3180</f>
        <v>0</v>
      </c>
      <c r="K3188" s="7">
        <f>K3181 - K3182 -K3183</f>
        <v>0</v>
      </c>
      <c r="L3188" s="7">
        <f>L3183-L3184-L3185</f>
        <v>0</v>
      </c>
      <c r="M3188" s="7">
        <f>M3185</f>
        <v>0</v>
      </c>
      <c r="N3188" s="33">
        <f t="shared" ref="N3188:S3188" si="1536">N3185</f>
        <v>0</v>
      </c>
      <c r="O3188" s="33">
        <f t="shared" si="1536"/>
        <v>0</v>
      </c>
      <c r="P3188" s="33">
        <f t="shared" si="1536"/>
        <v>0</v>
      </c>
      <c r="Q3188" s="33">
        <f t="shared" si="1536"/>
        <v>0</v>
      </c>
      <c r="R3188" s="33">
        <f t="shared" si="1536"/>
        <v>0</v>
      </c>
      <c r="S3188" s="315">
        <f t="shared" si="1536"/>
        <v>0</v>
      </c>
      <c r="T3188" s="33">
        <f t="shared" ref="T3188:U3188" si="1537">T3185</f>
        <v>0</v>
      </c>
      <c r="U3188" s="33">
        <f t="shared" si="1537"/>
        <v>0</v>
      </c>
      <c r="W3188" s="1"/>
      <c r="X3188" s="1"/>
      <c r="Y3188" s="1"/>
    </row>
    <row r="3189" spans="2:25">
      <c r="G3189" s="6"/>
      <c r="I3189" s="7"/>
      <c r="J3189" s="7"/>
      <c r="K3189" s="7"/>
      <c r="L3189" s="7"/>
      <c r="M3189" s="7"/>
      <c r="N3189" s="7"/>
      <c r="O3189" s="7"/>
      <c r="P3189" s="7"/>
      <c r="Q3189" s="7"/>
      <c r="R3189" s="7"/>
      <c r="S3189" s="320"/>
      <c r="T3189" s="7"/>
      <c r="U3189" s="7"/>
      <c r="W3189" s="1"/>
      <c r="X3189" s="1"/>
      <c r="Y3189" s="1"/>
    </row>
    <row r="3190" spans="2:25">
      <c r="G3190" s="26" t="s">
        <v>12</v>
      </c>
      <c r="H3190" s="57"/>
      <c r="I3190" s="155"/>
      <c r="J3190" s="156"/>
      <c r="K3190" s="156"/>
      <c r="L3190" s="156"/>
      <c r="M3190" s="156"/>
      <c r="N3190" s="156"/>
      <c r="O3190" s="156"/>
      <c r="P3190" s="156"/>
      <c r="Q3190" s="156"/>
      <c r="R3190" s="156"/>
      <c r="S3190" s="326"/>
      <c r="T3190" s="156"/>
      <c r="U3190" s="267"/>
      <c r="W3190" s="1"/>
      <c r="X3190" s="1"/>
      <c r="Y3190" s="1"/>
    </row>
    <row r="3191" spans="2:25">
      <c r="G3191" s="6"/>
      <c r="I3191" s="154"/>
      <c r="J3191" s="154"/>
      <c r="K3191" s="154"/>
      <c r="L3191" s="154"/>
      <c r="M3191" s="154"/>
      <c r="N3191" s="154"/>
      <c r="O3191" s="154"/>
      <c r="P3191" s="154"/>
      <c r="Q3191" s="154"/>
      <c r="R3191" s="154"/>
      <c r="S3191" s="327"/>
      <c r="T3191" s="154"/>
      <c r="U3191" s="154"/>
      <c r="W3191" s="1"/>
      <c r="X3191" s="1"/>
      <c r="Y3191" s="1"/>
    </row>
    <row r="3192" spans="2:25" ht="18.75">
      <c r="C3192" s="1" t="s">
        <v>274</v>
      </c>
      <c r="D3192" s="1" t="s">
        <v>275</v>
      </c>
      <c r="E3192" s="1" t="s">
        <v>114</v>
      </c>
      <c r="F3192" s="9" t="s">
        <v>26</v>
      </c>
      <c r="H3192" s="57"/>
      <c r="I3192" s="157">
        <f t="shared" ref="I3192:S3192" si="1538" xml:space="preserve"> I3165 + I3170 - I3176 + I3188 + I3190</f>
        <v>0</v>
      </c>
      <c r="J3192" s="158">
        <f t="shared" si="1538"/>
        <v>678</v>
      </c>
      <c r="K3192" s="158">
        <f t="shared" si="1538"/>
        <v>631</v>
      </c>
      <c r="L3192" s="158">
        <f t="shared" si="1538"/>
        <v>0</v>
      </c>
      <c r="M3192" s="158">
        <f t="shared" si="1538"/>
        <v>0</v>
      </c>
      <c r="N3192" s="158">
        <f t="shared" si="1538"/>
        <v>0</v>
      </c>
      <c r="O3192" s="158">
        <f t="shared" si="1538"/>
        <v>0</v>
      </c>
      <c r="P3192" s="158">
        <f t="shared" si="1538"/>
        <v>0</v>
      </c>
      <c r="Q3192" s="158">
        <f t="shared" si="1538"/>
        <v>0</v>
      </c>
      <c r="R3192" s="158">
        <f t="shared" si="1538"/>
        <v>0</v>
      </c>
      <c r="S3192" s="328">
        <f t="shared" si="1538"/>
        <v>0</v>
      </c>
      <c r="T3192" s="158">
        <f t="shared" ref="T3192:U3192" si="1539" xml:space="preserve"> T3165 + T3170 - T3176 + T3188 + T3190</f>
        <v>0</v>
      </c>
      <c r="U3192" s="268">
        <f t="shared" si="1539"/>
        <v>0</v>
      </c>
      <c r="W3192" s="1"/>
      <c r="X3192" s="1"/>
      <c r="Y3192" s="1"/>
    </row>
    <row r="3193" spans="2:25">
      <c r="G3193" s="6"/>
      <c r="I3193" s="7"/>
      <c r="J3193" s="7"/>
      <c r="K3193" s="7"/>
      <c r="L3193" s="23"/>
      <c r="M3193" s="23"/>
      <c r="N3193" s="23"/>
      <c r="O3193" s="23"/>
      <c r="P3193" s="23"/>
      <c r="Q3193" s="23"/>
      <c r="R3193" s="23"/>
      <c r="S3193" s="321"/>
      <c r="T3193" s="23"/>
      <c r="U3193" s="23"/>
      <c r="W3193" s="1"/>
      <c r="X3193" s="1"/>
      <c r="Y3193" s="1"/>
    </row>
    <row r="3194" spans="2:25" ht="15.75" thickBot="1">
      <c r="W3194" s="1"/>
      <c r="X3194" s="1"/>
      <c r="Y3194" s="1"/>
    </row>
    <row r="3195" spans="2:25" ht="15.75" thickBot="1">
      <c r="F3195" s="8"/>
      <c r="G3195" s="8"/>
      <c r="H3195" s="8"/>
      <c r="I3195" s="8"/>
      <c r="J3195" s="8"/>
      <c r="K3195" s="8"/>
      <c r="L3195" s="8"/>
      <c r="M3195" s="8"/>
      <c r="N3195" s="8"/>
      <c r="O3195" s="8"/>
      <c r="P3195" s="8"/>
      <c r="Q3195" s="8"/>
      <c r="R3195" s="8"/>
      <c r="S3195" s="290"/>
      <c r="T3195" s="8"/>
      <c r="U3195" s="8"/>
      <c r="W3195" s="1"/>
      <c r="X3195" s="1"/>
      <c r="Y3195" s="1"/>
    </row>
    <row r="3196" spans="2:25" ht="21.75" thickBot="1">
      <c r="F3196" s="13" t="s">
        <v>4</v>
      </c>
      <c r="G3196" s="13"/>
      <c r="H3196" s="185" t="s">
        <v>270</v>
      </c>
      <c r="I3196" s="183"/>
      <c r="W3196" s="1"/>
      <c r="X3196" s="1"/>
      <c r="Y3196" s="1"/>
    </row>
    <row r="3197" spans="2:25">
      <c r="W3197" s="1"/>
      <c r="X3197" s="1"/>
      <c r="Y3197" s="1"/>
    </row>
    <row r="3198" spans="2:25" ht="18.75">
      <c r="F3198" s="9" t="s">
        <v>21</v>
      </c>
      <c r="G3198" s="9"/>
      <c r="I3198" s="2">
        <v>2011</v>
      </c>
      <c r="J3198" s="2">
        <f>I3198+1</f>
        <v>2012</v>
      </c>
      <c r="K3198" s="2">
        <f t="shared" ref="K3198" si="1540">J3198+1</f>
        <v>2013</v>
      </c>
      <c r="L3198" s="2">
        <f t="shared" ref="L3198" si="1541">K3198+1</f>
        <v>2014</v>
      </c>
      <c r="M3198" s="2">
        <f t="shared" ref="M3198" si="1542">L3198+1</f>
        <v>2015</v>
      </c>
      <c r="N3198" s="2">
        <f t="shared" ref="N3198" si="1543">M3198+1</f>
        <v>2016</v>
      </c>
      <c r="O3198" s="2">
        <f t="shared" ref="O3198" si="1544">N3198+1</f>
        <v>2017</v>
      </c>
      <c r="P3198" s="2">
        <f t="shared" ref="P3198" si="1545">O3198+1</f>
        <v>2018</v>
      </c>
      <c r="Q3198" s="2">
        <f t="shared" ref="Q3198" si="1546">P3198+1</f>
        <v>2019</v>
      </c>
      <c r="R3198" s="2">
        <f t="shared" ref="R3198" si="1547">Q3198+1</f>
        <v>2020</v>
      </c>
      <c r="S3198" s="2">
        <f>R3198+1</f>
        <v>2021</v>
      </c>
      <c r="T3198" s="2">
        <f>S3198+1</f>
        <v>2022</v>
      </c>
      <c r="U3198" s="2">
        <f>T3198+1</f>
        <v>2023</v>
      </c>
      <c r="W3198" s="1"/>
      <c r="X3198" s="1"/>
      <c r="Y3198" s="1"/>
    </row>
    <row r="3199" spans="2:25">
      <c r="G3199" s="62" t="str">
        <f>"Total MWh Produced / Purchased from " &amp; H3196</f>
        <v>Total MWh Produced / Purchased from Wolverine Creek</v>
      </c>
      <c r="H3199" s="57"/>
      <c r="I3199" s="3"/>
      <c r="J3199" s="4"/>
      <c r="K3199" s="4"/>
      <c r="L3199" s="4"/>
      <c r="M3199" s="4"/>
      <c r="N3199" s="4"/>
      <c r="O3199" s="4"/>
      <c r="P3199" s="4"/>
      <c r="Q3199" s="4"/>
      <c r="R3199" s="4"/>
      <c r="S3199" s="4">
        <v>168800</v>
      </c>
      <c r="T3199" s="4">
        <v>145937</v>
      </c>
      <c r="U3199" s="5">
        <v>164830</v>
      </c>
      <c r="W3199" s="1"/>
      <c r="X3199" s="1"/>
      <c r="Y3199" s="1"/>
    </row>
    <row r="3200" spans="2:25">
      <c r="G3200" s="62" t="s">
        <v>25</v>
      </c>
      <c r="H3200" s="57"/>
      <c r="I3200" s="269"/>
      <c r="J3200" s="41"/>
      <c r="K3200" s="41"/>
      <c r="L3200" s="41"/>
      <c r="M3200" s="41"/>
      <c r="N3200" s="41"/>
      <c r="O3200" s="41"/>
      <c r="P3200" s="41"/>
      <c r="Q3200" s="41"/>
      <c r="R3200" s="41"/>
      <c r="S3200" s="41">
        <v>1</v>
      </c>
      <c r="T3200" s="41">
        <v>1</v>
      </c>
      <c r="U3200" s="42">
        <v>1</v>
      </c>
      <c r="W3200" s="1"/>
      <c r="X3200" s="1"/>
      <c r="Y3200" s="1"/>
    </row>
    <row r="3201" spans="1:25">
      <c r="G3201" s="62" t="s">
        <v>20</v>
      </c>
      <c r="H3201" s="57"/>
      <c r="I3201" s="270"/>
      <c r="J3201" s="36"/>
      <c r="K3201" s="36"/>
      <c r="L3201" s="36"/>
      <c r="M3201" s="36"/>
      <c r="N3201" s="36"/>
      <c r="O3201" s="36"/>
      <c r="P3201" s="36"/>
      <c r="Q3201" s="36"/>
      <c r="R3201" s="36"/>
      <c r="S3201" s="36">
        <f>S2</f>
        <v>7.9696892166366717E-2</v>
      </c>
      <c r="T3201" s="36">
        <f>T2</f>
        <v>7.8737918965874246E-2</v>
      </c>
      <c r="U3201" s="36">
        <f>U2</f>
        <v>7.8407467372863096E-2</v>
      </c>
      <c r="W3201" s="1"/>
      <c r="X3201" s="1"/>
      <c r="Y3201" s="1"/>
    </row>
    <row r="3202" spans="1:25">
      <c r="A3202" s="1" t="s">
        <v>235</v>
      </c>
      <c r="G3202" s="26" t="s">
        <v>22</v>
      </c>
      <c r="H3202" s="6"/>
      <c r="I3202" s="30">
        <v>0</v>
      </c>
      <c r="J3202" s="30">
        <v>0</v>
      </c>
      <c r="K3202" s="30">
        <v>0</v>
      </c>
      <c r="L3202" s="30">
        <v>0</v>
      </c>
      <c r="M3202" s="30">
        <v>0</v>
      </c>
      <c r="N3202" s="161">
        <v>0</v>
      </c>
      <c r="O3202" s="161">
        <v>0</v>
      </c>
      <c r="P3202" s="161">
        <v>0</v>
      </c>
      <c r="Q3202" s="161">
        <f>Q3199*Q3201</f>
        <v>0</v>
      </c>
      <c r="R3202" s="161">
        <f>R3199*R3201</f>
        <v>0</v>
      </c>
      <c r="S3202" s="161">
        <f>ROUNDDOWN(S3199*S3201,0)</f>
        <v>13452</v>
      </c>
      <c r="T3202" s="161">
        <f>ROUNDUP(T3199*T3201,0)</f>
        <v>11491</v>
      </c>
      <c r="U3202" s="161">
        <f>U3199*U3201</f>
        <v>12923.902847069025</v>
      </c>
      <c r="W3202" s="1"/>
      <c r="X3202" s="1"/>
      <c r="Y3202" s="1"/>
    </row>
    <row r="3203" spans="1:25">
      <c r="I3203" s="29"/>
      <c r="J3203" s="29"/>
      <c r="K3203" s="29"/>
      <c r="L3203" s="29"/>
      <c r="M3203" s="29"/>
      <c r="N3203" s="20"/>
      <c r="O3203" s="20"/>
      <c r="P3203" s="20"/>
      <c r="Q3203" s="20"/>
      <c r="R3203" s="20"/>
      <c r="S3203" s="292"/>
      <c r="T3203" s="20"/>
      <c r="U3203" s="20"/>
      <c r="W3203" s="1"/>
      <c r="X3203" s="1"/>
      <c r="Y3203" s="1"/>
    </row>
    <row r="3204" spans="1:25" ht="18.75">
      <c r="F3204" s="9" t="s">
        <v>118</v>
      </c>
      <c r="I3204" s="2">
        <v>2011</v>
      </c>
      <c r="J3204" s="2">
        <f>I3204+1</f>
        <v>2012</v>
      </c>
      <c r="K3204" s="2">
        <f t="shared" ref="K3204" si="1548">J3204+1</f>
        <v>2013</v>
      </c>
      <c r="L3204" s="2">
        <f t="shared" ref="L3204" si="1549">K3204+1</f>
        <v>2014</v>
      </c>
      <c r="M3204" s="2">
        <f t="shared" ref="M3204" si="1550">L3204+1</f>
        <v>2015</v>
      </c>
      <c r="N3204" s="2">
        <f t="shared" ref="N3204" si="1551">M3204+1</f>
        <v>2016</v>
      </c>
      <c r="O3204" s="2">
        <f t="shared" ref="O3204" si="1552">N3204+1</f>
        <v>2017</v>
      </c>
      <c r="P3204" s="2">
        <f t="shared" ref="P3204" si="1553">O3204+1</f>
        <v>2018</v>
      </c>
      <c r="Q3204" s="2">
        <f t="shared" ref="Q3204" si="1554">P3204+1</f>
        <v>2019</v>
      </c>
      <c r="R3204" s="2">
        <f t="shared" ref="R3204" si="1555">Q3204+1</f>
        <v>2020</v>
      </c>
      <c r="S3204" s="2">
        <f>R3204+1</f>
        <v>2021</v>
      </c>
      <c r="T3204" s="2">
        <f>S3204+1</f>
        <v>2022</v>
      </c>
      <c r="U3204" s="2">
        <f>T3204+1</f>
        <v>2023</v>
      </c>
      <c r="W3204" s="1"/>
      <c r="X3204" s="1"/>
      <c r="Y3204" s="1"/>
    </row>
    <row r="3205" spans="1:25">
      <c r="G3205" s="62" t="s">
        <v>10</v>
      </c>
      <c r="H3205" s="57"/>
      <c r="I3205" s="38">
        <f>IF($J69= "Eligible", I3202 * 'Facility Detail'!$G$3257, 0 )</f>
        <v>0</v>
      </c>
      <c r="J3205" s="11">
        <f>IF($J69= "Eligible", J3202 * 'Facility Detail'!$G$3257, 0 )</f>
        <v>0</v>
      </c>
      <c r="K3205" s="11">
        <f>IF($J69= "Eligible", K3202 * 'Facility Detail'!$G$3257, 0 )</f>
        <v>0</v>
      </c>
      <c r="L3205" s="11">
        <f>IF($J69= "Eligible", L3202 * 'Facility Detail'!$G$3257, 0 )</f>
        <v>0</v>
      </c>
      <c r="M3205" s="11">
        <f>IF($J69= "Eligible", M3202 * 'Facility Detail'!$G$3257, 0 )</f>
        <v>0</v>
      </c>
      <c r="N3205" s="11">
        <f>IF($J69= "Eligible", N3202 * 'Facility Detail'!$G$3257, 0 )</f>
        <v>0</v>
      </c>
      <c r="O3205" s="11">
        <f>IF($J69= "Eligible", O3202 * 'Facility Detail'!$G$3257, 0 )</f>
        <v>0</v>
      </c>
      <c r="P3205" s="11">
        <f>IF($J69= "Eligible", P3202 * 'Facility Detail'!$G$3257, 0 )</f>
        <v>0</v>
      </c>
      <c r="Q3205" s="11">
        <f>IF($J69= "Eligible", Q3202 * 'Facility Detail'!$G$3257, 0 )</f>
        <v>0</v>
      </c>
      <c r="R3205" s="11">
        <f>IF($J69= "Eligible", R3202 * 'Facility Detail'!$G$3257, 0 )</f>
        <v>0</v>
      </c>
      <c r="S3205" s="11">
        <f>IF($J69= "Eligible", S3202 * 'Facility Detail'!$G$3257, 0 )</f>
        <v>0</v>
      </c>
      <c r="T3205" s="11">
        <f>IF($J69= "Eligible", T3202 * 'Facility Detail'!$G$3257, 0 )</f>
        <v>0</v>
      </c>
      <c r="U3205" s="223">
        <f>IF($J69= "Eligible", U3202 * 'Facility Detail'!$G$3257, 0 )</f>
        <v>0</v>
      </c>
      <c r="W3205" s="1"/>
      <c r="X3205" s="1"/>
      <c r="Y3205" s="1"/>
    </row>
    <row r="3206" spans="1:25">
      <c r="G3206" s="62" t="s">
        <v>6</v>
      </c>
      <c r="H3206" s="57"/>
      <c r="I3206" s="39">
        <f t="shared" ref="I3206:U3206" si="1556">IF($K69= "Eligible", I3202, 0 )</f>
        <v>0</v>
      </c>
      <c r="J3206" s="193">
        <f t="shared" si="1556"/>
        <v>0</v>
      </c>
      <c r="K3206" s="193">
        <f t="shared" si="1556"/>
        <v>0</v>
      </c>
      <c r="L3206" s="193">
        <f t="shared" si="1556"/>
        <v>0</v>
      </c>
      <c r="M3206" s="193">
        <f t="shared" si="1556"/>
        <v>0</v>
      </c>
      <c r="N3206" s="193">
        <f t="shared" si="1556"/>
        <v>0</v>
      </c>
      <c r="O3206" s="193">
        <f t="shared" si="1556"/>
        <v>0</v>
      </c>
      <c r="P3206" s="193">
        <f t="shared" si="1556"/>
        <v>0</v>
      </c>
      <c r="Q3206" s="193">
        <f t="shared" si="1556"/>
        <v>0</v>
      </c>
      <c r="R3206" s="193">
        <f t="shared" si="1556"/>
        <v>0</v>
      </c>
      <c r="S3206" s="193">
        <f t="shared" si="1556"/>
        <v>0</v>
      </c>
      <c r="T3206" s="193">
        <f t="shared" si="1556"/>
        <v>0</v>
      </c>
      <c r="U3206" s="224">
        <f t="shared" si="1556"/>
        <v>0</v>
      </c>
      <c r="W3206" s="1"/>
      <c r="X3206" s="1"/>
      <c r="Y3206" s="1"/>
    </row>
    <row r="3207" spans="1:25">
      <c r="G3207" s="26" t="s">
        <v>120</v>
      </c>
      <c r="H3207" s="6"/>
      <c r="I3207" s="32">
        <f>SUM(I3205:I3206)</f>
        <v>0</v>
      </c>
      <c r="J3207" s="33">
        <f t="shared" ref="J3207:S3207" si="1557">SUM(J3205:J3206)</f>
        <v>0</v>
      </c>
      <c r="K3207" s="33">
        <f t="shared" si="1557"/>
        <v>0</v>
      </c>
      <c r="L3207" s="33">
        <f t="shared" si="1557"/>
        <v>0</v>
      </c>
      <c r="M3207" s="33">
        <f t="shared" si="1557"/>
        <v>0</v>
      </c>
      <c r="N3207" s="33">
        <f t="shared" si="1557"/>
        <v>0</v>
      </c>
      <c r="O3207" s="33">
        <f t="shared" si="1557"/>
        <v>0</v>
      </c>
      <c r="P3207" s="33">
        <f t="shared" si="1557"/>
        <v>0</v>
      </c>
      <c r="Q3207" s="33">
        <f t="shared" si="1557"/>
        <v>0</v>
      </c>
      <c r="R3207" s="33">
        <f t="shared" si="1557"/>
        <v>0</v>
      </c>
      <c r="S3207" s="33">
        <f t="shared" si="1557"/>
        <v>0</v>
      </c>
      <c r="T3207" s="33">
        <f t="shared" ref="T3207:U3207" si="1558">SUM(T3205:T3206)</f>
        <v>0</v>
      </c>
      <c r="U3207" s="33">
        <f t="shared" si="1558"/>
        <v>0</v>
      </c>
      <c r="W3207" s="1"/>
      <c r="X3207" s="1"/>
      <c r="Y3207" s="1"/>
    </row>
    <row r="3208" spans="1:25">
      <c r="I3208" s="31"/>
      <c r="J3208" s="24"/>
      <c r="K3208" s="24"/>
      <c r="L3208" s="24"/>
      <c r="M3208" s="24"/>
      <c r="N3208" s="24"/>
      <c r="O3208" s="24"/>
      <c r="P3208" s="24"/>
      <c r="Q3208" s="24"/>
      <c r="R3208" s="24"/>
      <c r="S3208" s="24"/>
      <c r="T3208" s="24"/>
      <c r="U3208" s="24"/>
      <c r="W3208" s="1"/>
      <c r="X3208" s="1"/>
      <c r="Y3208" s="1"/>
    </row>
    <row r="3209" spans="1:25" ht="18.75">
      <c r="F3209" s="9" t="s">
        <v>30</v>
      </c>
      <c r="I3209" s="2">
        <v>2011</v>
      </c>
      <c r="J3209" s="2">
        <f>I3209+1</f>
        <v>2012</v>
      </c>
      <c r="K3209" s="2">
        <f t="shared" ref="K3209" si="1559">J3209+1</f>
        <v>2013</v>
      </c>
      <c r="L3209" s="2">
        <f t="shared" ref="L3209" si="1560">K3209+1</f>
        <v>2014</v>
      </c>
      <c r="M3209" s="2">
        <f t="shared" ref="M3209" si="1561">L3209+1</f>
        <v>2015</v>
      </c>
      <c r="N3209" s="2">
        <f t="shared" ref="N3209" si="1562">M3209+1</f>
        <v>2016</v>
      </c>
      <c r="O3209" s="2">
        <f t="shared" ref="O3209" si="1563">N3209+1</f>
        <v>2017</v>
      </c>
      <c r="P3209" s="2">
        <f t="shared" ref="P3209" si="1564">O3209+1</f>
        <v>2018</v>
      </c>
      <c r="Q3209" s="2">
        <f t="shared" ref="Q3209" si="1565">P3209+1</f>
        <v>2019</v>
      </c>
      <c r="R3209" s="2">
        <f t="shared" ref="R3209" si="1566">Q3209+1</f>
        <v>2020</v>
      </c>
      <c r="S3209" s="2">
        <f>R3209+1</f>
        <v>2021</v>
      </c>
      <c r="T3209" s="2">
        <f>S3209+1</f>
        <v>2022</v>
      </c>
      <c r="U3209" s="2">
        <f>T3209+1</f>
        <v>2023</v>
      </c>
      <c r="W3209" s="1"/>
      <c r="X3209" s="1"/>
      <c r="Y3209" s="1"/>
    </row>
    <row r="3210" spans="1:25">
      <c r="G3210" s="62" t="s">
        <v>47</v>
      </c>
      <c r="H3210" s="57"/>
      <c r="I3210" s="71"/>
      <c r="J3210" s="72"/>
      <c r="K3210" s="72"/>
      <c r="L3210" s="72"/>
      <c r="M3210" s="72"/>
      <c r="N3210" s="72"/>
      <c r="O3210" s="72"/>
      <c r="P3210" s="72"/>
      <c r="Q3210" s="72"/>
      <c r="R3210" s="72"/>
      <c r="S3210" s="72"/>
      <c r="T3210" s="72"/>
      <c r="U3210" s="73"/>
      <c r="W3210" s="1"/>
      <c r="X3210" s="1"/>
      <c r="Y3210" s="1"/>
    </row>
    <row r="3211" spans="1:25">
      <c r="G3211" s="63" t="s">
        <v>23</v>
      </c>
      <c r="H3211" s="135"/>
      <c r="I3211" s="74"/>
      <c r="J3211" s="75"/>
      <c r="K3211" s="75"/>
      <c r="L3211" s="75"/>
      <c r="M3211" s="75"/>
      <c r="N3211" s="75"/>
      <c r="O3211" s="75"/>
      <c r="P3211" s="75"/>
      <c r="Q3211" s="75"/>
      <c r="R3211" s="75"/>
      <c r="S3211" s="75"/>
      <c r="T3211" s="75"/>
      <c r="U3211" s="76"/>
      <c r="W3211" s="1"/>
      <c r="X3211" s="1"/>
      <c r="Y3211" s="1"/>
    </row>
    <row r="3212" spans="1:25">
      <c r="G3212" s="63" t="s">
        <v>89</v>
      </c>
      <c r="H3212" s="134"/>
      <c r="I3212" s="43"/>
      <c r="J3212" s="44"/>
      <c r="K3212" s="44"/>
      <c r="L3212" s="44"/>
      <c r="M3212" s="44"/>
      <c r="N3212" s="44"/>
      <c r="O3212" s="44"/>
      <c r="P3212" s="44"/>
      <c r="Q3212" s="44"/>
      <c r="R3212" s="44"/>
      <c r="S3212" s="44"/>
      <c r="T3212" s="44"/>
      <c r="U3212" s="45"/>
      <c r="W3212" s="1"/>
      <c r="X3212" s="1"/>
      <c r="Y3212" s="1"/>
    </row>
    <row r="3213" spans="1:25">
      <c r="G3213" s="26" t="s">
        <v>90</v>
      </c>
      <c r="I3213" s="7">
        <v>0</v>
      </c>
      <c r="J3213" s="7">
        <v>0</v>
      </c>
      <c r="K3213" s="7">
        <v>0</v>
      </c>
      <c r="L3213" s="7">
        <v>0</v>
      </c>
      <c r="M3213" s="7">
        <v>0</v>
      </c>
      <c r="N3213" s="7">
        <v>0</v>
      </c>
      <c r="O3213" s="7">
        <v>0</v>
      </c>
      <c r="P3213" s="7">
        <v>0</v>
      </c>
      <c r="Q3213" s="7">
        <v>0</v>
      </c>
      <c r="R3213" s="7">
        <v>0</v>
      </c>
      <c r="S3213" s="7">
        <v>0</v>
      </c>
      <c r="T3213" s="7">
        <v>0</v>
      </c>
      <c r="U3213" s="7">
        <v>0</v>
      </c>
      <c r="W3213" s="1"/>
      <c r="X3213" s="1"/>
      <c r="Y3213" s="1"/>
    </row>
    <row r="3214" spans="1:25">
      <c r="G3214" s="6"/>
      <c r="I3214" s="7"/>
      <c r="J3214" s="7"/>
      <c r="K3214" s="7"/>
      <c r="L3214" s="23"/>
      <c r="M3214" s="23"/>
      <c r="N3214" s="23"/>
      <c r="O3214" s="23"/>
      <c r="P3214" s="23"/>
      <c r="Q3214" s="23"/>
      <c r="R3214" s="23"/>
      <c r="S3214" s="282"/>
      <c r="T3214" s="23"/>
      <c r="U3214" s="23"/>
      <c r="W3214" s="1"/>
      <c r="X3214" s="1"/>
      <c r="Y3214" s="1"/>
    </row>
    <row r="3215" spans="1:25" ht="18.75">
      <c r="F3215" s="9" t="s">
        <v>100</v>
      </c>
      <c r="I3215" s="2">
        <f>'Facility Detail'!$G$3260</f>
        <v>2011</v>
      </c>
      <c r="J3215" s="2">
        <f>I3215+1</f>
        <v>2012</v>
      </c>
      <c r="K3215" s="2">
        <f t="shared" ref="K3215" si="1567">J3215+1</f>
        <v>2013</v>
      </c>
      <c r="L3215" s="2">
        <f t="shared" ref="L3215" si="1568">K3215+1</f>
        <v>2014</v>
      </c>
      <c r="M3215" s="2">
        <f t="shared" ref="M3215" si="1569">L3215+1</f>
        <v>2015</v>
      </c>
      <c r="N3215" s="2">
        <f t="shared" ref="N3215" si="1570">M3215+1</f>
        <v>2016</v>
      </c>
      <c r="O3215" s="2">
        <f t="shared" ref="O3215" si="1571">N3215+1</f>
        <v>2017</v>
      </c>
      <c r="P3215" s="2">
        <f t="shared" ref="P3215" si="1572">O3215+1</f>
        <v>2018</v>
      </c>
      <c r="Q3215" s="2">
        <f t="shared" ref="Q3215" si="1573">P3215+1</f>
        <v>2019</v>
      </c>
      <c r="R3215" s="2">
        <f t="shared" ref="R3215" si="1574">Q3215+1</f>
        <v>2020</v>
      </c>
      <c r="S3215" s="2">
        <f>R3215+1</f>
        <v>2021</v>
      </c>
      <c r="T3215" s="2">
        <f>S3215+1</f>
        <v>2022</v>
      </c>
      <c r="U3215" s="2">
        <f>T3215+1</f>
        <v>2023</v>
      </c>
      <c r="W3215" s="1"/>
      <c r="X3215" s="1"/>
      <c r="Y3215" s="1"/>
    </row>
    <row r="3216" spans="1:25">
      <c r="G3216" s="62" t="s">
        <v>68</v>
      </c>
      <c r="H3216" s="57"/>
      <c r="I3216" s="3"/>
      <c r="J3216" s="46">
        <f>I3216</f>
        <v>0</v>
      </c>
      <c r="K3216" s="106"/>
      <c r="L3216" s="106"/>
      <c r="M3216" s="106"/>
      <c r="N3216" s="106"/>
      <c r="O3216" s="106"/>
      <c r="P3216" s="106"/>
      <c r="Q3216" s="106"/>
      <c r="R3216" s="106"/>
      <c r="S3216" s="106"/>
      <c r="T3216" s="217"/>
      <c r="U3216" s="47"/>
      <c r="W3216" s="1"/>
      <c r="X3216" s="1"/>
      <c r="Y3216" s="1"/>
    </row>
    <row r="3217" spans="7:25">
      <c r="G3217" s="62" t="s">
        <v>69</v>
      </c>
      <c r="H3217" s="57"/>
      <c r="I3217" s="127">
        <f>J3217</f>
        <v>0</v>
      </c>
      <c r="J3217" s="10"/>
      <c r="K3217" s="60"/>
      <c r="L3217" s="60"/>
      <c r="M3217" s="60"/>
      <c r="N3217" s="60"/>
      <c r="O3217" s="60"/>
      <c r="P3217" s="60"/>
      <c r="Q3217" s="60"/>
      <c r="R3217" s="60"/>
      <c r="S3217" s="60"/>
      <c r="T3217" s="218"/>
      <c r="U3217" s="128"/>
      <c r="W3217" s="1"/>
      <c r="X3217" s="1"/>
      <c r="Y3217" s="1"/>
    </row>
    <row r="3218" spans="7:25">
      <c r="G3218" s="62" t="s">
        <v>70</v>
      </c>
      <c r="H3218" s="57"/>
      <c r="I3218" s="48"/>
      <c r="J3218" s="10">
        <f>J3202</f>
        <v>0</v>
      </c>
      <c r="K3218" s="56">
        <f>J3218</f>
        <v>0</v>
      </c>
      <c r="L3218" s="60"/>
      <c r="M3218" s="60"/>
      <c r="N3218" s="60"/>
      <c r="O3218" s="60"/>
      <c r="P3218" s="60"/>
      <c r="Q3218" s="60"/>
      <c r="R3218" s="60"/>
      <c r="S3218" s="60"/>
      <c r="T3218" s="218"/>
      <c r="U3218" s="128"/>
      <c r="W3218" s="1"/>
      <c r="X3218" s="1"/>
      <c r="Y3218" s="1"/>
    </row>
    <row r="3219" spans="7:25">
      <c r="G3219" s="62" t="s">
        <v>71</v>
      </c>
      <c r="H3219" s="57"/>
      <c r="I3219" s="48"/>
      <c r="J3219" s="56">
        <f>K3219</f>
        <v>0</v>
      </c>
      <c r="K3219" s="10"/>
      <c r="L3219" s="60"/>
      <c r="M3219" s="60"/>
      <c r="N3219" s="60"/>
      <c r="O3219" s="60"/>
      <c r="P3219" s="60"/>
      <c r="Q3219" s="60"/>
      <c r="R3219" s="60"/>
      <c r="S3219" s="60"/>
      <c r="T3219" s="218"/>
      <c r="U3219" s="128"/>
      <c r="W3219" s="1"/>
      <c r="X3219" s="1"/>
      <c r="Y3219" s="1"/>
    </row>
    <row r="3220" spans="7:25">
      <c r="G3220" s="62" t="s">
        <v>170</v>
      </c>
      <c r="I3220" s="48"/>
      <c r="J3220" s="118"/>
      <c r="K3220" s="10">
        <f>K3202</f>
        <v>0</v>
      </c>
      <c r="L3220" s="119">
        <f>K3220</f>
        <v>0</v>
      </c>
      <c r="M3220" s="60"/>
      <c r="N3220" s="60"/>
      <c r="O3220" s="60"/>
      <c r="P3220" s="60"/>
      <c r="Q3220" s="60"/>
      <c r="R3220" s="60"/>
      <c r="S3220" s="60"/>
      <c r="T3220" s="146"/>
      <c r="U3220" s="122"/>
      <c r="W3220" s="1"/>
      <c r="X3220" s="1"/>
      <c r="Y3220" s="1"/>
    </row>
    <row r="3221" spans="7:25">
      <c r="G3221" s="62" t="s">
        <v>171</v>
      </c>
      <c r="I3221" s="48"/>
      <c r="J3221" s="118"/>
      <c r="K3221" s="56">
        <f>L3221</f>
        <v>0</v>
      </c>
      <c r="L3221" s="10"/>
      <c r="M3221" s="60"/>
      <c r="N3221" s="60"/>
      <c r="O3221" s="60"/>
      <c r="P3221" s="60"/>
      <c r="Q3221" s="60"/>
      <c r="R3221" s="60"/>
      <c r="S3221" s="60"/>
      <c r="T3221" s="146"/>
      <c r="U3221" s="122"/>
      <c r="W3221" s="1"/>
      <c r="X3221" s="1"/>
      <c r="Y3221" s="1"/>
    </row>
    <row r="3222" spans="7:25">
      <c r="G3222" s="62" t="s">
        <v>172</v>
      </c>
      <c r="I3222" s="48"/>
      <c r="J3222" s="118"/>
      <c r="K3222" s="118"/>
      <c r="L3222" s="10">
        <f>L3202</f>
        <v>0</v>
      </c>
      <c r="M3222" s="119">
        <f>L3222</f>
        <v>0</v>
      </c>
      <c r="N3222" s="118"/>
      <c r="O3222" s="60"/>
      <c r="P3222" s="60"/>
      <c r="Q3222" s="60"/>
      <c r="R3222" s="60"/>
      <c r="S3222" s="60"/>
      <c r="T3222" s="146"/>
      <c r="U3222" s="122"/>
      <c r="W3222" s="1"/>
      <c r="X3222" s="1"/>
      <c r="Y3222" s="1"/>
    </row>
    <row r="3223" spans="7:25">
      <c r="G3223" s="62" t="s">
        <v>173</v>
      </c>
      <c r="I3223" s="48"/>
      <c r="J3223" s="118"/>
      <c r="K3223" s="118"/>
      <c r="L3223" s="56"/>
      <c r="M3223" s="10"/>
      <c r="N3223" s="118"/>
      <c r="O3223" s="60"/>
      <c r="P3223" s="60"/>
      <c r="Q3223" s="60"/>
      <c r="R3223" s="60"/>
      <c r="S3223" s="60"/>
      <c r="T3223" s="146"/>
      <c r="U3223" s="122"/>
      <c r="W3223" s="1"/>
      <c r="X3223" s="1"/>
      <c r="Y3223" s="1"/>
    </row>
    <row r="3224" spans="7:25">
      <c r="G3224" s="62" t="s">
        <v>174</v>
      </c>
      <c r="I3224" s="48"/>
      <c r="J3224" s="118"/>
      <c r="K3224" s="118"/>
      <c r="L3224" s="118"/>
      <c r="M3224" s="10">
        <v>0</v>
      </c>
      <c r="N3224" s="119">
        <f>M3224</f>
        <v>0</v>
      </c>
      <c r="O3224" s="60"/>
      <c r="P3224" s="60"/>
      <c r="Q3224" s="60"/>
      <c r="R3224" s="60"/>
      <c r="S3224" s="60"/>
      <c r="T3224" s="146"/>
      <c r="U3224" s="122"/>
      <c r="W3224" s="1"/>
      <c r="X3224" s="1"/>
      <c r="Y3224" s="1"/>
    </row>
    <row r="3225" spans="7:25">
      <c r="G3225" s="62" t="s">
        <v>175</v>
      </c>
      <c r="I3225" s="48"/>
      <c r="J3225" s="118"/>
      <c r="K3225" s="118"/>
      <c r="L3225" s="118"/>
      <c r="M3225" s="56"/>
      <c r="N3225" s="10"/>
      <c r="O3225" s="60"/>
      <c r="P3225" s="60"/>
      <c r="Q3225" s="60"/>
      <c r="R3225" s="60"/>
      <c r="S3225" s="60"/>
      <c r="T3225" s="146"/>
      <c r="U3225" s="122"/>
      <c r="W3225" s="1"/>
      <c r="X3225" s="1"/>
      <c r="Y3225" s="1"/>
    </row>
    <row r="3226" spans="7:25">
      <c r="G3226" s="62" t="s">
        <v>176</v>
      </c>
      <c r="I3226" s="48"/>
      <c r="J3226" s="118"/>
      <c r="K3226" s="118"/>
      <c r="L3226" s="118"/>
      <c r="M3226" s="118"/>
      <c r="N3226" s="149">
        <f>N3202</f>
        <v>0</v>
      </c>
      <c r="O3226" s="120">
        <f>N3226</f>
        <v>0</v>
      </c>
      <c r="P3226" s="60"/>
      <c r="Q3226" s="60"/>
      <c r="R3226" s="60"/>
      <c r="S3226" s="60"/>
      <c r="T3226" s="146"/>
      <c r="U3226" s="122"/>
      <c r="W3226" s="1"/>
      <c r="X3226" s="1"/>
      <c r="Y3226" s="1"/>
    </row>
    <row r="3227" spans="7:25">
      <c r="G3227" s="62" t="s">
        <v>167</v>
      </c>
      <c r="I3227" s="48"/>
      <c r="J3227" s="118"/>
      <c r="K3227" s="118"/>
      <c r="L3227" s="118"/>
      <c r="M3227" s="118"/>
      <c r="N3227" s="150"/>
      <c r="O3227" s="121"/>
      <c r="P3227" s="60"/>
      <c r="Q3227" s="60"/>
      <c r="R3227" s="60"/>
      <c r="S3227" s="60"/>
      <c r="T3227" s="146"/>
      <c r="U3227" s="122"/>
      <c r="W3227" s="1"/>
      <c r="X3227" s="1"/>
      <c r="Y3227" s="1"/>
    </row>
    <row r="3228" spans="7:25">
      <c r="G3228" s="62" t="s">
        <v>168</v>
      </c>
      <c r="I3228" s="48"/>
      <c r="J3228" s="118"/>
      <c r="K3228" s="118"/>
      <c r="L3228" s="118"/>
      <c r="M3228" s="118"/>
      <c r="N3228" s="118"/>
      <c r="O3228" s="121">
        <f>O3202</f>
        <v>0</v>
      </c>
      <c r="P3228" s="120">
        <f>O3228</f>
        <v>0</v>
      </c>
      <c r="Q3228" s="60"/>
      <c r="R3228" s="60"/>
      <c r="S3228" s="60"/>
      <c r="T3228" s="146"/>
      <c r="U3228" s="122"/>
      <c r="W3228" s="1"/>
      <c r="X3228" s="1"/>
      <c r="Y3228" s="1"/>
    </row>
    <row r="3229" spans="7:25">
      <c r="G3229" s="62" t="s">
        <v>185</v>
      </c>
      <c r="I3229" s="48"/>
      <c r="J3229" s="118"/>
      <c r="K3229" s="118"/>
      <c r="L3229" s="118"/>
      <c r="M3229" s="118"/>
      <c r="N3229" s="118"/>
      <c r="O3229" s="120"/>
      <c r="P3229" s="121"/>
      <c r="Q3229" s="60"/>
      <c r="R3229" s="60"/>
      <c r="S3229" s="60"/>
      <c r="T3229" s="146"/>
      <c r="U3229" s="122"/>
      <c r="W3229" s="1"/>
      <c r="X3229" s="1"/>
      <c r="Y3229" s="1"/>
    </row>
    <row r="3230" spans="7:25">
      <c r="G3230" s="62" t="s">
        <v>186</v>
      </c>
      <c r="I3230" s="48"/>
      <c r="J3230" s="118"/>
      <c r="K3230" s="118"/>
      <c r="L3230" s="118"/>
      <c r="M3230" s="118"/>
      <c r="N3230" s="118"/>
      <c r="O3230" s="118"/>
      <c r="P3230" s="121"/>
      <c r="Q3230" s="56">
        <f>P3230</f>
        <v>0</v>
      </c>
      <c r="R3230" s="60"/>
      <c r="S3230" s="60"/>
      <c r="T3230" s="146"/>
      <c r="U3230" s="122"/>
      <c r="W3230" s="1"/>
      <c r="X3230" s="1"/>
      <c r="Y3230" s="1"/>
    </row>
    <row r="3231" spans="7:25">
      <c r="G3231" s="62" t="s">
        <v>187</v>
      </c>
      <c r="I3231" s="48"/>
      <c r="J3231" s="118"/>
      <c r="K3231" s="118"/>
      <c r="L3231" s="118"/>
      <c r="M3231" s="118"/>
      <c r="N3231" s="118"/>
      <c r="O3231" s="118"/>
      <c r="P3231" s="120"/>
      <c r="Q3231" s="306"/>
      <c r="R3231" s="60"/>
      <c r="S3231" s="60"/>
      <c r="T3231" s="146"/>
      <c r="U3231" s="122"/>
      <c r="W3231" s="1"/>
      <c r="X3231" s="1"/>
      <c r="Y3231" s="1"/>
    </row>
    <row r="3232" spans="7:25">
      <c r="G3232" s="62" t="s">
        <v>188</v>
      </c>
      <c r="I3232" s="48"/>
      <c r="J3232" s="118"/>
      <c r="K3232" s="118"/>
      <c r="L3232" s="118"/>
      <c r="M3232" s="118"/>
      <c r="N3232" s="118"/>
      <c r="O3232" s="118"/>
      <c r="P3232" s="118"/>
      <c r="Q3232" s="121"/>
      <c r="R3232" s="151">
        <f>Q3232</f>
        <v>0</v>
      </c>
      <c r="S3232" s="60"/>
      <c r="T3232" s="146"/>
      <c r="U3232" s="122"/>
      <c r="W3232" s="1"/>
      <c r="X3232" s="1"/>
      <c r="Y3232" s="1"/>
    </row>
    <row r="3233" spans="2:25">
      <c r="G3233" s="62" t="s">
        <v>189</v>
      </c>
      <c r="I3233" s="48"/>
      <c r="J3233" s="118"/>
      <c r="K3233" s="118"/>
      <c r="L3233" s="118"/>
      <c r="M3233" s="118"/>
      <c r="N3233" s="118"/>
      <c r="O3233" s="118"/>
      <c r="P3233" s="118"/>
      <c r="Q3233" s="151">
        <f>R3202</f>
        <v>0</v>
      </c>
      <c r="R3233" s="173">
        <f>Q3233</f>
        <v>0</v>
      </c>
      <c r="S3233" s="60"/>
      <c r="T3233" s="146"/>
      <c r="U3233" s="122"/>
      <c r="W3233" s="1"/>
      <c r="X3233" s="1"/>
      <c r="Y3233" s="1"/>
    </row>
    <row r="3234" spans="2:25">
      <c r="G3234" s="62" t="s">
        <v>190</v>
      </c>
      <c r="I3234" s="48"/>
      <c r="J3234" s="118"/>
      <c r="K3234" s="118"/>
      <c r="L3234" s="118"/>
      <c r="M3234" s="118"/>
      <c r="N3234" s="118"/>
      <c r="O3234" s="118"/>
      <c r="P3234" s="118"/>
      <c r="Q3234" s="118"/>
      <c r="R3234" s="173"/>
      <c r="S3234" s="151">
        <f>R3234</f>
        <v>0</v>
      </c>
      <c r="T3234" s="146"/>
      <c r="U3234" s="122"/>
      <c r="W3234" s="1"/>
      <c r="X3234" s="1"/>
      <c r="Y3234" s="1"/>
    </row>
    <row r="3235" spans="2:25">
      <c r="G3235" s="62" t="s">
        <v>199</v>
      </c>
      <c r="I3235" s="48"/>
      <c r="J3235" s="118"/>
      <c r="K3235" s="118"/>
      <c r="L3235" s="118"/>
      <c r="M3235" s="118"/>
      <c r="N3235" s="118"/>
      <c r="O3235" s="118"/>
      <c r="P3235" s="118"/>
      <c r="Q3235" s="118"/>
      <c r="R3235" s="120"/>
      <c r="S3235" s="173">
        <v>0</v>
      </c>
      <c r="T3235" s="146"/>
      <c r="U3235" s="122"/>
      <c r="W3235" s="1"/>
      <c r="X3235" s="1"/>
      <c r="Y3235" s="1"/>
    </row>
    <row r="3236" spans="2:25">
      <c r="G3236" s="62" t="s">
        <v>200</v>
      </c>
      <c r="I3236" s="48"/>
      <c r="J3236" s="118"/>
      <c r="K3236" s="118"/>
      <c r="L3236" s="118"/>
      <c r="M3236" s="118"/>
      <c r="N3236" s="118"/>
      <c r="O3236" s="118"/>
      <c r="P3236" s="118"/>
      <c r="Q3236" s="118"/>
      <c r="R3236" s="118"/>
      <c r="S3236" s="173">
        <v>0</v>
      </c>
      <c r="T3236" s="151">
        <f>S3236</f>
        <v>0</v>
      </c>
      <c r="U3236" s="122"/>
      <c r="W3236" s="1"/>
      <c r="X3236" s="1"/>
      <c r="Y3236" s="1"/>
    </row>
    <row r="3237" spans="2:25">
      <c r="G3237" s="62" t="s">
        <v>308</v>
      </c>
      <c r="I3237" s="48"/>
      <c r="J3237" s="118"/>
      <c r="K3237" s="118"/>
      <c r="L3237" s="118"/>
      <c r="M3237" s="118"/>
      <c r="N3237" s="118"/>
      <c r="O3237" s="118"/>
      <c r="P3237" s="118"/>
      <c r="Q3237" s="118"/>
      <c r="R3237" s="118"/>
      <c r="S3237" s="120">
        <f>T3237</f>
        <v>0</v>
      </c>
      <c r="T3237" s="173">
        <v>0</v>
      </c>
      <c r="U3237" s="122"/>
      <c r="W3237" s="1"/>
      <c r="X3237" s="1"/>
      <c r="Y3237" s="1"/>
    </row>
    <row r="3238" spans="2:25">
      <c r="G3238" s="62" t="s">
        <v>307</v>
      </c>
      <c r="I3238" s="114"/>
      <c r="J3238" s="107"/>
      <c r="K3238" s="107"/>
      <c r="L3238" s="107"/>
      <c r="M3238" s="107"/>
      <c r="N3238" s="107"/>
      <c r="O3238" s="107"/>
      <c r="P3238" s="107"/>
      <c r="Q3238" s="107"/>
      <c r="R3238" s="107"/>
      <c r="S3238" s="107"/>
      <c r="T3238" s="173">
        <v>0</v>
      </c>
      <c r="U3238" s="456">
        <f>T3238</f>
        <v>0</v>
      </c>
      <c r="W3238" s="1"/>
      <c r="X3238" s="1"/>
      <c r="Y3238" s="1"/>
    </row>
    <row r="3239" spans="2:25">
      <c r="G3239" s="62" t="s">
        <v>318</v>
      </c>
      <c r="I3239" s="114"/>
      <c r="J3239" s="107"/>
      <c r="K3239" s="107"/>
      <c r="L3239" s="107"/>
      <c r="M3239" s="107"/>
      <c r="N3239" s="107"/>
      <c r="O3239" s="107"/>
      <c r="P3239" s="107"/>
      <c r="Q3239" s="107"/>
      <c r="R3239" s="107"/>
      <c r="S3239" s="107"/>
      <c r="T3239" s="120">
        <f>U3239</f>
        <v>0</v>
      </c>
      <c r="U3239" s="457">
        <v>0</v>
      </c>
      <c r="W3239" s="1"/>
      <c r="X3239" s="1"/>
      <c r="Y3239" s="1"/>
    </row>
    <row r="3240" spans="2:25">
      <c r="G3240" s="62" t="s">
        <v>319</v>
      </c>
      <c r="I3240" s="49"/>
      <c r="J3240" s="194"/>
      <c r="K3240" s="194"/>
      <c r="L3240" s="194"/>
      <c r="M3240" s="194"/>
      <c r="N3240" s="194"/>
      <c r="O3240" s="194"/>
      <c r="P3240" s="194"/>
      <c r="Q3240" s="194"/>
      <c r="R3240" s="194"/>
      <c r="S3240" s="194"/>
      <c r="T3240" s="194"/>
      <c r="U3240" s="458">
        <v>0</v>
      </c>
      <c r="W3240" s="1"/>
      <c r="X3240" s="1"/>
      <c r="Y3240" s="1"/>
    </row>
    <row r="3241" spans="2:25">
      <c r="B3241" s="1" t="s">
        <v>235</v>
      </c>
      <c r="G3241" s="26" t="s">
        <v>17</v>
      </c>
      <c r="I3241" s="7">
        <f xml:space="preserve"> I3222 - I3221</f>
        <v>0</v>
      </c>
      <c r="J3241" s="7">
        <f xml:space="preserve"> J3221 + J3224 - J3223 - J3222</f>
        <v>0</v>
      </c>
      <c r="K3241" s="7">
        <f>K3223 - K3224</f>
        <v>0</v>
      </c>
      <c r="L3241" s="7">
        <f>L3223 - L3224</f>
        <v>0</v>
      </c>
      <c r="M3241" s="7">
        <f>M3222-M3223-M3224</f>
        <v>0</v>
      </c>
      <c r="N3241" s="7">
        <f>N3224-N3225-N3226</f>
        <v>0</v>
      </c>
      <c r="O3241" s="7">
        <f>O3226-O3227-O3228</f>
        <v>0</v>
      </c>
      <c r="P3241" s="154">
        <f>P3228-P3229-P3230</f>
        <v>0</v>
      </c>
      <c r="Q3241" s="154">
        <f>Q3230+Q3233-Q3232-Q3231</f>
        <v>0</v>
      </c>
      <c r="R3241" s="154">
        <f>R3232-R3233+R3235</f>
        <v>0</v>
      </c>
      <c r="S3241" s="7">
        <f>S3234-S3235+S3236-S3237</f>
        <v>0</v>
      </c>
      <c r="T3241" s="7">
        <f>T3236-T3237-T3238+T3239</f>
        <v>0</v>
      </c>
      <c r="U3241" s="7">
        <f>U3238-U3239-U3240</f>
        <v>0</v>
      </c>
      <c r="W3241" s="1"/>
      <c r="X3241" s="1"/>
      <c r="Y3241" s="1"/>
    </row>
    <row r="3242" spans="2:25">
      <c r="G3242" s="6"/>
      <c r="I3242" s="154"/>
      <c r="J3242" s="154"/>
      <c r="K3242" s="154"/>
      <c r="L3242" s="154"/>
      <c r="M3242" s="154"/>
      <c r="N3242" s="154"/>
      <c r="O3242" s="154"/>
      <c r="P3242" s="154"/>
      <c r="Q3242" s="154"/>
      <c r="R3242" s="154"/>
      <c r="S3242" s="297"/>
      <c r="T3242" s="154"/>
      <c r="U3242" s="154"/>
      <c r="W3242" s="1"/>
      <c r="X3242" s="1"/>
      <c r="Y3242" s="1"/>
    </row>
    <row r="3243" spans="2:25">
      <c r="G3243" s="26" t="s">
        <v>12</v>
      </c>
      <c r="H3243" s="57"/>
      <c r="I3243" s="155"/>
      <c r="J3243" s="156"/>
      <c r="K3243" s="156"/>
      <c r="L3243" s="156"/>
      <c r="M3243" s="156"/>
      <c r="N3243" s="156"/>
      <c r="O3243" s="156"/>
      <c r="P3243" s="156"/>
      <c r="Q3243" s="156"/>
      <c r="R3243" s="156"/>
      <c r="S3243" s="156"/>
      <c r="T3243" s="156"/>
      <c r="U3243" s="267"/>
      <c r="W3243" s="1"/>
      <c r="X3243" s="1"/>
      <c r="Y3243" s="1"/>
    </row>
    <row r="3244" spans="2:25">
      <c r="G3244" s="6"/>
      <c r="I3244" s="154"/>
      <c r="J3244" s="154"/>
      <c r="K3244" s="154"/>
      <c r="L3244" s="154"/>
      <c r="M3244" s="154"/>
      <c r="N3244" s="154"/>
      <c r="O3244" s="154"/>
      <c r="P3244" s="154"/>
      <c r="Q3244" s="154"/>
      <c r="R3244" s="154"/>
      <c r="S3244" s="154"/>
      <c r="T3244" s="154"/>
      <c r="U3244" s="154"/>
      <c r="W3244" s="1"/>
      <c r="X3244" s="1"/>
      <c r="Y3244" s="1"/>
    </row>
    <row r="3245" spans="2:25" ht="18.75">
      <c r="C3245" s="1" t="s">
        <v>235</v>
      </c>
      <c r="D3245" s="1" t="s">
        <v>254</v>
      </c>
      <c r="E3245" s="1" t="s">
        <v>107</v>
      </c>
      <c r="F3245" s="9" t="s">
        <v>26</v>
      </c>
      <c r="H3245" s="57"/>
      <c r="I3245" s="157">
        <f t="shared" ref="I3245:S3245" si="1575" xml:space="preserve"> I3202 + I3207 - I3213 + I3241 + I3243</f>
        <v>0</v>
      </c>
      <c r="J3245" s="158">
        <f t="shared" si="1575"/>
        <v>0</v>
      </c>
      <c r="K3245" s="158">
        <f t="shared" si="1575"/>
        <v>0</v>
      </c>
      <c r="L3245" s="158">
        <f t="shared" si="1575"/>
        <v>0</v>
      </c>
      <c r="M3245" s="158">
        <f t="shared" si="1575"/>
        <v>0</v>
      </c>
      <c r="N3245" s="158">
        <f t="shared" si="1575"/>
        <v>0</v>
      </c>
      <c r="O3245" s="158">
        <f t="shared" si="1575"/>
        <v>0</v>
      </c>
      <c r="P3245" s="158">
        <f t="shared" si="1575"/>
        <v>0</v>
      </c>
      <c r="Q3245" s="158">
        <f t="shared" si="1575"/>
        <v>0</v>
      </c>
      <c r="R3245" s="158">
        <f t="shared" si="1575"/>
        <v>0</v>
      </c>
      <c r="S3245" s="158">
        <f t="shared" si="1575"/>
        <v>13452</v>
      </c>
      <c r="T3245" s="158">
        <f t="shared" ref="T3245:U3245" si="1576" xml:space="preserve"> T3202 + T3207 - T3213 + T3241 + T3243</f>
        <v>11491</v>
      </c>
      <c r="U3245" s="268">
        <f t="shared" si="1576"/>
        <v>12923.902847069025</v>
      </c>
      <c r="W3245" s="1"/>
      <c r="X3245" s="1"/>
      <c r="Y3245" s="1"/>
    </row>
    <row r="3246" spans="2:25">
      <c r="W3246" s="1"/>
      <c r="X3246" s="1"/>
      <c r="Y3246" s="1"/>
    </row>
    <row r="3247" spans="2:25">
      <c r="G3247" s="6"/>
      <c r="I3247" s="7"/>
      <c r="J3247" s="7"/>
      <c r="K3247" s="7"/>
      <c r="L3247" s="23"/>
      <c r="M3247" s="23"/>
      <c r="N3247" s="23"/>
      <c r="O3247" s="23"/>
      <c r="P3247" s="23"/>
      <c r="Q3247" s="23"/>
      <c r="W3247" s="1"/>
      <c r="X3247" s="1"/>
      <c r="Y3247" s="1"/>
    </row>
    <row r="3248" spans="2:25">
      <c r="G3248" s="6"/>
      <c r="I3248" s="7"/>
      <c r="J3248" s="7"/>
      <c r="K3248" s="7"/>
      <c r="L3248" s="23"/>
      <c r="M3248" s="23"/>
      <c r="N3248" s="23"/>
      <c r="O3248" s="23"/>
      <c r="P3248" s="23"/>
      <c r="Q3248" s="23"/>
    </row>
    <row r="3249" spans="7:17">
      <c r="G3249" s="6"/>
      <c r="I3249" s="7"/>
      <c r="J3249" s="7"/>
      <c r="K3249" s="7"/>
      <c r="L3249" s="23"/>
      <c r="M3249" s="23"/>
      <c r="N3249" s="23"/>
      <c r="O3249" s="23"/>
      <c r="P3249" s="23"/>
      <c r="Q3249" s="23"/>
    </row>
    <row r="3250" spans="7:17" outlineLevel="1"/>
    <row r="3251" spans="7:17" outlineLevel="1">
      <c r="G3251" s="6" t="s">
        <v>29</v>
      </c>
    </row>
    <row r="3252" spans="7:17" outlineLevel="1">
      <c r="G3252" s="15" t="s">
        <v>0</v>
      </c>
    </row>
    <row r="3253" spans="7:17" outlineLevel="1">
      <c r="G3253" s="17" t="s">
        <v>1</v>
      </c>
    </row>
    <row r="3254" spans="7:17" outlineLevel="1">
      <c r="G3254" s="18" t="s">
        <v>2</v>
      </c>
    </row>
    <row r="3255" spans="7:17" outlineLevel="1"/>
    <row r="3256" spans="7:17" outlineLevel="1">
      <c r="G3256" s="6" t="s">
        <v>28</v>
      </c>
    </row>
    <row r="3257" spans="7:17" outlineLevel="1">
      <c r="G3257" s="16">
        <v>0.2</v>
      </c>
    </row>
    <row r="3258" spans="7:17" outlineLevel="1"/>
    <row r="3259" spans="7:17" outlineLevel="1">
      <c r="G3259" s="6" t="s">
        <v>8</v>
      </c>
    </row>
    <row r="3260" spans="7:17" outlineLevel="1">
      <c r="G3260" s="16">
        <v>2011</v>
      </c>
    </row>
    <row r="3261" spans="7:17" outlineLevel="1"/>
    <row r="3262" spans="7:17" outlineLevel="1">
      <c r="G3262" s="6" t="s">
        <v>106</v>
      </c>
    </row>
    <row r="3263" spans="7:17" outlineLevel="1">
      <c r="G3263" s="15"/>
    </row>
    <row r="3264" spans="7:17" outlineLevel="1">
      <c r="G3264" s="17" t="s">
        <v>107</v>
      </c>
    </row>
    <row r="3265" spans="7:7" outlineLevel="1">
      <c r="G3265" s="17" t="s">
        <v>108</v>
      </c>
    </row>
    <row r="3266" spans="7:7" outlineLevel="1">
      <c r="G3266" s="17" t="s">
        <v>114</v>
      </c>
    </row>
    <row r="3267" spans="7:7" outlineLevel="1">
      <c r="G3267" s="17" t="s">
        <v>112</v>
      </c>
    </row>
    <row r="3268" spans="7:7" outlineLevel="1">
      <c r="G3268" s="17" t="s">
        <v>109</v>
      </c>
    </row>
    <row r="3269" spans="7:7" outlineLevel="1">
      <c r="G3269" s="17" t="s">
        <v>110</v>
      </c>
    </row>
    <row r="3270" spans="7:7" outlineLevel="1">
      <c r="G3270" s="17" t="s">
        <v>113</v>
      </c>
    </row>
    <row r="3271" spans="7:7" outlineLevel="1">
      <c r="G3271" s="17" t="s">
        <v>111</v>
      </c>
    </row>
    <row r="3272" spans="7:7" outlineLevel="1">
      <c r="G3272" s="82" t="s">
        <v>119</v>
      </c>
    </row>
    <row r="3273" spans="7:7" outlineLevel="1"/>
  </sheetData>
  <mergeCells count="2">
    <mergeCell ref="G71:L71"/>
    <mergeCell ref="G72:L72"/>
  </mergeCells>
  <phoneticPr fontId="5" type="noConversion"/>
  <dataValidations disablePrompts="1" count="2">
    <dataValidation type="list" allowBlank="1" showInputMessage="1" showErrorMessage="1" sqref="J6:K70" xr:uid="{00000000-0002-0000-0300-000000000000}">
      <formula1>LaborBonus</formula1>
    </dataValidation>
    <dataValidation type="list" allowBlank="1" showInputMessage="1" showErrorMessage="1" sqref="I6:I70" xr:uid="{00000000-0002-0000-0300-000001000000}">
      <formula1>Facility</formula1>
    </dataValidation>
  </dataValidations>
  <printOptions horizontalCentered="1"/>
  <pageMargins left="0.25" right="0.25" top="0.25" bottom="0.5" header="0" footer="0"/>
  <pageSetup scale="42" fitToHeight="0" orientation="landscape" r:id="rId1"/>
  <headerFooter alignWithMargins="0">
    <oddFooter>&amp;CCONFIDENTIAL PER WAC 480-07-160</oddFooter>
  </headerFooter>
  <rowBreaks count="64" manualBreakCount="64">
    <brk id="72" min="5" max="25" man="1"/>
    <brk id="125" min="5" max="25" man="1"/>
    <brk id="178" min="5" max="25" man="1"/>
    <brk id="222" min="5" max="25" man="1"/>
    <brk id="275" min="5" max="25" man="1"/>
    <brk id="328" min="5" max="25" man="1"/>
    <brk id="381" min="5" max="25" man="1"/>
    <brk id="433" min="5" max="25" man="1"/>
    <brk id="487" min="5" max="25" man="1"/>
    <brk id="539" min="5" max="25" man="1"/>
    <brk id="591" min="5" max="25" man="1"/>
    <brk id="643" min="5" max="25" man="1"/>
    <brk id="685" min="5" max="25" man="1"/>
    <brk id="727" min="5" max="25" man="1"/>
    <brk id="781" min="5" max="25" man="1"/>
    <brk id="835" min="5" max="25" man="1"/>
    <brk id="887" min="5" max="25" man="1"/>
    <brk id="929" min="5" max="25" man="1"/>
    <brk id="981" min="5" max="25" man="1"/>
    <brk id="1023" min="5" max="25" man="1"/>
    <brk id="1075" min="5" max="25" man="1"/>
    <brk id="1129" min="5" max="25" man="1"/>
    <brk id="1181" min="5" max="25" man="1"/>
    <brk id="1235" min="5" max="25" man="1"/>
    <brk id="1281" min="5" max="25" man="1"/>
    <brk id="1327" min="5" max="25" man="1"/>
    <brk id="1369" min="5" max="25" man="1"/>
    <brk id="1421" min="5" max="25" man="1"/>
    <brk id="1466" min="5" max="25" man="1"/>
    <brk id="1520" min="5" max="25" man="1"/>
    <brk id="1562" min="5" max="25" man="1"/>
    <brk id="1614" min="5" max="25" man="1"/>
    <brk id="1668" min="5" max="25" man="1"/>
    <brk id="1722" min="5" max="25" man="1"/>
    <brk id="1774" min="5" max="25" man="1"/>
    <brk id="1816" min="5" max="25" man="1"/>
    <brk id="1870" min="5" max="25" man="1"/>
    <brk id="1924" min="5" max="25" man="1"/>
    <brk id="1976" min="5" max="25" man="1"/>
    <brk id="2018" min="5" max="25" man="1"/>
    <brk id="2060" min="5" max="25" man="1"/>
    <brk id="2112" min="5" max="25" man="1"/>
    <brk id="2164" min="5" max="25" man="1"/>
    <brk id="2206" min="5" max="25" man="1"/>
    <brk id="2247" min="5" max="25" man="1"/>
    <brk id="2299" min="5" max="25" man="1"/>
    <brk id="2351" min="5" max="25" man="1"/>
    <brk id="2403" min="5" max="25" man="1"/>
    <brk id="2457" min="5" max="25" man="1"/>
    <brk id="2509" min="5" max="25" man="1"/>
    <brk id="2563" min="5" max="25" man="1"/>
    <brk id="2615" min="5" max="25" man="1"/>
    <brk id="2667" min="5" max="25" man="1"/>
    <brk id="2719" min="5" max="25" man="1"/>
    <brk id="2773" min="5" max="25" man="1"/>
    <brk id="2827" min="5" max="25" man="1"/>
    <brk id="2867" min="5" max="25" man="1"/>
    <brk id="2908" min="5" max="25" man="1"/>
    <brk id="2960" min="5" max="25" man="1"/>
    <brk id="3014" min="5" max="25" man="1"/>
    <brk id="3066" min="5" max="25" man="1"/>
    <brk id="3118" min="5" max="25" man="1"/>
    <brk id="3156" min="5" max="25" man="1"/>
    <brk id="3194" min="5"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E85"/>
  <sheetViews>
    <sheetView showGridLines="0" view="pageBreakPreview" zoomScaleNormal="100" zoomScaleSheetLayoutView="100" workbookViewId="0">
      <selection activeCell="K33" sqref="K33"/>
    </sheetView>
  </sheetViews>
  <sheetFormatPr defaultColWidth="9.140625" defaultRowHeight="12.75" outlineLevelRow="1"/>
  <cols>
    <col min="1" max="1" width="27" style="83" customWidth="1"/>
    <col min="2" max="2" width="12.42578125" style="83" customWidth="1"/>
    <col min="3" max="3" width="5.5703125" style="83" bestFit="1" customWidth="1"/>
    <col min="4" max="13" width="10.28515625" style="83" bestFit="1" customWidth="1"/>
    <col min="14" max="15" width="13" style="83" customWidth="1"/>
    <col min="16" max="16" width="9.140625" style="83"/>
    <col min="17" max="17" width="18.42578125" style="83" customWidth="1"/>
    <col min="18" max="18" width="9.140625" style="83"/>
    <col min="19" max="29" width="10.28515625" style="83" bestFit="1" customWidth="1"/>
    <col min="30" max="30" width="12" style="83" customWidth="1"/>
    <col min="31" max="31" width="11.28515625" style="83" customWidth="1"/>
    <col min="32" max="16384" width="9.140625" style="83"/>
  </cols>
  <sheetData>
    <row r="2" spans="1:31" ht="21">
      <c r="A2" s="90" t="s">
        <v>313</v>
      </c>
      <c r="B2" s="90"/>
      <c r="Q2" s="90" t="s">
        <v>314</v>
      </c>
      <c r="R2" s="90"/>
    </row>
    <row r="4" spans="1:31" ht="15">
      <c r="C4" s="85">
        <v>2011</v>
      </c>
      <c r="D4" s="85">
        <v>2012</v>
      </c>
      <c r="E4" s="85">
        <v>2013</v>
      </c>
      <c r="F4" s="85">
        <v>2014</v>
      </c>
      <c r="G4" s="85">
        <v>2015</v>
      </c>
      <c r="H4" s="85">
        <v>2016</v>
      </c>
      <c r="I4" s="85">
        <v>2017</v>
      </c>
      <c r="J4" s="85">
        <v>2018</v>
      </c>
      <c r="K4" s="85">
        <v>2019</v>
      </c>
      <c r="L4" s="85">
        <v>2020</v>
      </c>
      <c r="M4" s="85">
        <v>2021</v>
      </c>
      <c r="N4" s="85">
        <v>2022</v>
      </c>
      <c r="O4" s="85">
        <v>2023</v>
      </c>
      <c r="S4" s="85">
        <v>2011</v>
      </c>
      <c r="T4" s="85">
        <v>2012</v>
      </c>
      <c r="U4" s="85">
        <v>2013</v>
      </c>
      <c r="V4" s="85">
        <v>2014</v>
      </c>
      <c r="W4" s="85">
        <v>2015</v>
      </c>
      <c r="X4" s="85">
        <v>2016</v>
      </c>
      <c r="Y4" s="85">
        <v>2017</v>
      </c>
      <c r="Z4" s="85">
        <v>2018</v>
      </c>
      <c r="AA4" s="85">
        <v>2019</v>
      </c>
      <c r="AB4" s="85">
        <v>2020</v>
      </c>
      <c r="AC4" s="85">
        <v>2021</v>
      </c>
      <c r="AD4" s="85">
        <v>2022</v>
      </c>
      <c r="AE4" s="85">
        <v>2023</v>
      </c>
    </row>
    <row r="5" spans="1:31" ht="15">
      <c r="A5" s="84" t="s">
        <v>107</v>
      </c>
      <c r="B5" s="84"/>
      <c r="C5" s="87">
        <f t="shared" ref="C5:O13" si="0" xml:space="preserve"> SUMIF( $B$21:$B$84, $A5, C$21:C$84 )</f>
        <v>0</v>
      </c>
      <c r="D5" s="87">
        <f t="shared" si="0"/>
        <v>117079</v>
      </c>
      <c r="E5" s="87">
        <f t="shared" si="0"/>
        <v>118504</v>
      </c>
      <c r="F5" s="87">
        <f t="shared" si="0"/>
        <v>120300</v>
      </c>
      <c r="G5" s="87">
        <f t="shared" si="0"/>
        <v>81660</v>
      </c>
      <c r="H5" s="87">
        <f t="shared" si="0"/>
        <v>354847</v>
      </c>
      <c r="I5" s="87">
        <f t="shared" si="0"/>
        <v>313597</v>
      </c>
      <c r="J5" s="87">
        <f t="shared" si="0"/>
        <v>276317</v>
      </c>
      <c r="K5" s="87">
        <f t="shared" si="0"/>
        <v>146818.93641063778</v>
      </c>
      <c r="L5" s="87">
        <f t="shared" si="0"/>
        <v>419816.4298498712</v>
      </c>
      <c r="M5" s="87">
        <f t="shared" si="0"/>
        <v>503892.43684753851</v>
      </c>
      <c r="N5" s="87">
        <f t="shared" si="0"/>
        <v>697657.10945292655</v>
      </c>
      <c r="O5" s="87">
        <f t="shared" si="0"/>
        <v>693034.5414388089</v>
      </c>
      <c r="Q5" s="84" t="s">
        <v>107</v>
      </c>
      <c r="R5" s="84"/>
      <c r="S5" s="87">
        <f t="shared" ref="S5:AE13" si="1" xml:space="preserve"> SUMIF( $R$21:$R$84, $Q5, S$21:S$84 )</f>
        <v>104826</v>
      </c>
      <c r="T5" s="87">
        <f t="shared" si="1"/>
        <v>104932</v>
      </c>
      <c r="U5" s="87">
        <f t="shared" si="1"/>
        <v>104946</v>
      </c>
      <c r="V5" s="87">
        <f t="shared" si="1"/>
        <v>113183</v>
      </c>
      <c r="W5" s="87">
        <f xml:space="preserve"> SUMIF( $R$21:$R$84, $Q5, W$21:W$84 )</f>
        <v>216066</v>
      </c>
      <c r="X5" s="87">
        <f t="shared" si="1"/>
        <v>324013</v>
      </c>
      <c r="Y5" s="87">
        <f xml:space="preserve"> SUMIF( $R$21:$R$84, $Q5, Y$21:Y$84 )</f>
        <v>206234</v>
      </c>
      <c r="Z5" s="87">
        <f t="shared" si="1"/>
        <v>213243</v>
      </c>
      <c r="AA5" s="87">
        <f t="shared" si="1"/>
        <v>105448.93641063778</v>
      </c>
      <c r="AB5" s="87">
        <f t="shared" si="1"/>
        <v>309629.4298498712</v>
      </c>
      <c r="AC5" s="87">
        <f xml:space="preserve"> SUMIF( $R$21:$R$84, $Q5, AC$21:AC$84 )</f>
        <v>665361.43684753845</v>
      </c>
      <c r="AD5" s="87">
        <f t="shared" si="1"/>
        <v>682606.10945292655</v>
      </c>
      <c r="AE5" s="87">
        <f t="shared" si="1"/>
        <v>693034.5414388089</v>
      </c>
    </row>
    <row r="6" spans="1:31" ht="15">
      <c r="A6" s="84" t="s">
        <v>108</v>
      </c>
      <c r="B6" s="84"/>
      <c r="C6" s="87">
        <f t="shared" si="0"/>
        <v>0</v>
      </c>
      <c r="D6" s="87">
        <f t="shared" si="0"/>
        <v>0</v>
      </c>
      <c r="E6" s="87">
        <f t="shared" si="0"/>
        <v>0</v>
      </c>
      <c r="F6" s="87">
        <f t="shared" si="0"/>
        <v>0</v>
      </c>
      <c r="G6" s="87">
        <f t="shared" si="0"/>
        <v>0</v>
      </c>
      <c r="H6" s="87">
        <f t="shared" si="0"/>
        <v>316</v>
      </c>
      <c r="I6" s="87">
        <f t="shared" si="0"/>
        <v>44237.406696699145</v>
      </c>
      <c r="J6" s="87">
        <f t="shared" si="0"/>
        <v>91254</v>
      </c>
      <c r="K6" s="87">
        <f t="shared" si="0"/>
        <v>219388.66488643436</v>
      </c>
      <c r="L6" s="87">
        <f t="shared" si="0"/>
        <v>186034.39216344824</v>
      </c>
      <c r="M6" s="87">
        <f t="shared" si="0"/>
        <v>93804</v>
      </c>
      <c r="N6" s="87">
        <f t="shared" si="0"/>
        <v>91108.805844740185</v>
      </c>
      <c r="O6" s="87">
        <f t="shared" si="0"/>
        <v>86689.007199999993</v>
      </c>
      <c r="Q6" s="84" t="s">
        <v>108</v>
      </c>
      <c r="R6" s="84"/>
      <c r="S6" s="87">
        <f t="shared" si="1"/>
        <v>0</v>
      </c>
      <c r="T6" s="87">
        <f t="shared" si="1"/>
        <v>0</v>
      </c>
      <c r="U6" s="87">
        <f t="shared" si="1"/>
        <v>0</v>
      </c>
      <c r="V6" s="87">
        <f t="shared" si="1"/>
        <v>0</v>
      </c>
      <c r="W6" s="87">
        <f t="shared" si="1"/>
        <v>316</v>
      </c>
      <c r="X6" s="87">
        <f t="shared" si="1"/>
        <v>44237.406696699145</v>
      </c>
      <c r="Y6" s="87">
        <f t="shared" si="1"/>
        <v>77005</v>
      </c>
      <c r="Z6" s="87">
        <f t="shared" si="1"/>
        <v>78408</v>
      </c>
      <c r="AA6" s="87">
        <f t="shared" si="1"/>
        <v>91887.664886434359</v>
      </c>
      <c r="AB6" s="87">
        <f t="shared" si="1"/>
        <v>249376.39216344824</v>
      </c>
      <c r="AC6" s="87">
        <f t="shared" si="1"/>
        <v>93804</v>
      </c>
      <c r="AD6" s="87">
        <f t="shared" si="1"/>
        <v>91108.805844740185</v>
      </c>
      <c r="AE6" s="87">
        <f t="shared" si="1"/>
        <v>86689.007199999993</v>
      </c>
    </row>
    <row r="7" spans="1:31" ht="15">
      <c r="A7" s="84" t="s">
        <v>114</v>
      </c>
      <c r="B7" s="84"/>
      <c r="C7" s="87">
        <f t="shared" si="0"/>
        <v>0</v>
      </c>
      <c r="D7" s="87">
        <f t="shared" si="0"/>
        <v>2779</v>
      </c>
      <c r="E7" s="87">
        <f t="shared" si="0"/>
        <v>2212</v>
      </c>
      <c r="F7" s="87">
        <f t="shared" si="0"/>
        <v>1719</v>
      </c>
      <c r="G7" s="87">
        <f t="shared" si="0"/>
        <v>1495</v>
      </c>
      <c r="H7" s="87">
        <f t="shared" si="0"/>
        <v>1772</v>
      </c>
      <c r="I7" s="87">
        <f t="shared" si="0"/>
        <v>2253</v>
      </c>
      <c r="J7" s="87">
        <f t="shared" si="0"/>
        <v>1562</v>
      </c>
      <c r="K7" s="87">
        <f t="shared" si="0"/>
        <v>1460.2135635589598</v>
      </c>
      <c r="L7" s="87">
        <f t="shared" si="0"/>
        <v>1176.2339837673287</v>
      </c>
      <c r="M7" s="87">
        <f xml:space="preserve"> SUMIF( $B$21:$B$84, $A7, M$21:M$84 )</f>
        <v>1201</v>
      </c>
      <c r="N7" s="87">
        <f t="shared" si="0"/>
        <v>1364.1870345902839</v>
      </c>
      <c r="O7" s="87">
        <f t="shared" si="0"/>
        <v>1319.3706066586572</v>
      </c>
      <c r="Q7" s="84" t="s">
        <v>114</v>
      </c>
      <c r="R7" s="84"/>
      <c r="S7" s="87">
        <f t="shared" si="1"/>
        <v>0</v>
      </c>
      <c r="T7" s="87">
        <f t="shared" si="1"/>
        <v>2779</v>
      </c>
      <c r="U7" s="87">
        <f t="shared" si="1"/>
        <v>2212</v>
      </c>
      <c r="V7" s="87">
        <f t="shared" si="1"/>
        <v>1719</v>
      </c>
      <c r="W7" s="87">
        <f t="shared" si="1"/>
        <v>1495</v>
      </c>
      <c r="X7" s="87">
        <f t="shared" si="1"/>
        <v>1772</v>
      </c>
      <c r="Y7" s="87">
        <f t="shared" si="1"/>
        <v>2253</v>
      </c>
      <c r="Z7" s="87">
        <f t="shared" si="1"/>
        <v>1562</v>
      </c>
      <c r="AA7" s="87">
        <f t="shared" si="1"/>
        <v>1460.2135635589598</v>
      </c>
      <c r="AB7" s="87">
        <f t="shared" si="1"/>
        <v>1176.2339837673287</v>
      </c>
      <c r="AC7" s="87">
        <f t="shared" si="1"/>
        <v>1201</v>
      </c>
      <c r="AD7" s="87">
        <f t="shared" si="1"/>
        <v>1364.1870345902839</v>
      </c>
      <c r="AE7" s="87">
        <f t="shared" si="1"/>
        <v>1319.3706066586572</v>
      </c>
    </row>
    <row r="8" spans="1:31" ht="15">
      <c r="A8" s="84" t="s">
        <v>112</v>
      </c>
      <c r="B8" s="84"/>
      <c r="C8" s="87">
        <f t="shared" si="0"/>
        <v>0</v>
      </c>
      <c r="D8" s="87">
        <f t="shared" si="0"/>
        <v>0</v>
      </c>
      <c r="E8" s="87">
        <f t="shared" si="0"/>
        <v>0</v>
      </c>
      <c r="F8" s="87">
        <f t="shared" si="0"/>
        <v>0</v>
      </c>
      <c r="G8" s="87">
        <f t="shared" si="0"/>
        <v>40000</v>
      </c>
      <c r="H8" s="87">
        <f t="shared" si="0"/>
        <v>0</v>
      </c>
      <c r="I8" s="87">
        <f t="shared" si="0"/>
        <v>0</v>
      </c>
      <c r="J8" s="87">
        <f t="shared" si="0"/>
        <v>0</v>
      </c>
      <c r="K8" s="87">
        <f t="shared" si="0"/>
        <v>0</v>
      </c>
      <c r="L8" s="87">
        <f t="shared" si="0"/>
        <v>0</v>
      </c>
      <c r="M8" s="87">
        <f t="shared" si="0"/>
        <v>0</v>
      </c>
      <c r="N8" s="87">
        <f t="shared" si="0"/>
        <v>0</v>
      </c>
      <c r="O8" s="87">
        <f t="shared" si="0"/>
        <v>0</v>
      </c>
      <c r="Q8" s="84" t="s">
        <v>112</v>
      </c>
      <c r="R8" s="84"/>
      <c r="S8" s="87">
        <f t="shared" si="1"/>
        <v>0</v>
      </c>
      <c r="T8" s="87">
        <f t="shared" si="1"/>
        <v>0</v>
      </c>
      <c r="U8" s="87">
        <f t="shared" si="1"/>
        <v>0</v>
      </c>
      <c r="V8" s="87">
        <f t="shared" si="1"/>
        <v>0</v>
      </c>
      <c r="W8" s="87">
        <f t="shared" si="1"/>
        <v>40000</v>
      </c>
      <c r="X8" s="87">
        <f t="shared" si="1"/>
        <v>0</v>
      </c>
      <c r="Y8" s="87">
        <f t="shared" si="1"/>
        <v>0</v>
      </c>
      <c r="Z8" s="87">
        <f t="shared" si="1"/>
        <v>0</v>
      </c>
      <c r="AA8" s="87">
        <f t="shared" si="1"/>
        <v>0</v>
      </c>
      <c r="AB8" s="87">
        <f t="shared" si="1"/>
        <v>0</v>
      </c>
      <c r="AC8" s="87">
        <f t="shared" si="1"/>
        <v>0</v>
      </c>
      <c r="AD8" s="87">
        <f t="shared" si="1"/>
        <v>0</v>
      </c>
      <c r="AE8" s="87">
        <f t="shared" si="1"/>
        <v>0</v>
      </c>
    </row>
    <row r="9" spans="1:31" ht="15">
      <c r="A9" s="84" t="s">
        <v>109</v>
      </c>
      <c r="B9" s="84"/>
      <c r="C9" s="87">
        <f t="shared" si="0"/>
        <v>0</v>
      </c>
      <c r="D9" s="87">
        <f t="shared" si="0"/>
        <v>0</v>
      </c>
      <c r="E9" s="87">
        <f t="shared" si="0"/>
        <v>0</v>
      </c>
      <c r="F9" s="87">
        <f t="shared" si="0"/>
        <v>0</v>
      </c>
      <c r="G9" s="87">
        <f t="shared" si="0"/>
        <v>0</v>
      </c>
      <c r="H9" s="87">
        <f t="shared" si="0"/>
        <v>0</v>
      </c>
      <c r="I9" s="87">
        <f t="shared" si="0"/>
        <v>0</v>
      </c>
      <c r="J9" s="87">
        <f t="shared" si="0"/>
        <v>0</v>
      </c>
      <c r="K9" s="87">
        <f t="shared" si="0"/>
        <v>0</v>
      </c>
      <c r="L9" s="87">
        <f t="shared" si="0"/>
        <v>0</v>
      </c>
      <c r="M9" s="87">
        <f t="shared" si="0"/>
        <v>16834</v>
      </c>
      <c r="N9" s="87">
        <f t="shared" si="0"/>
        <v>20639</v>
      </c>
      <c r="O9" s="87">
        <f t="shared" si="0"/>
        <v>22315</v>
      </c>
      <c r="Q9" s="84" t="s">
        <v>109</v>
      </c>
      <c r="R9" s="84"/>
      <c r="S9" s="87">
        <f t="shared" si="1"/>
        <v>0</v>
      </c>
      <c r="T9" s="87">
        <f t="shared" si="1"/>
        <v>0</v>
      </c>
      <c r="U9" s="87">
        <f t="shared" si="1"/>
        <v>0</v>
      </c>
      <c r="V9" s="87">
        <f t="shared" si="1"/>
        <v>0</v>
      </c>
      <c r="W9" s="87">
        <f t="shared" si="1"/>
        <v>0</v>
      </c>
      <c r="X9" s="87">
        <f t="shared" si="1"/>
        <v>0</v>
      </c>
      <c r="Y9" s="87">
        <f t="shared" si="1"/>
        <v>0</v>
      </c>
      <c r="Z9" s="87">
        <f t="shared" si="1"/>
        <v>0</v>
      </c>
      <c r="AA9" s="87">
        <f t="shared" si="1"/>
        <v>0</v>
      </c>
      <c r="AB9" s="87">
        <f t="shared" si="1"/>
        <v>0</v>
      </c>
      <c r="AC9" s="87">
        <f xml:space="preserve"> SUMIF( $R$21:$R$84, $Q9, AC$21:AC$84 )</f>
        <v>16834</v>
      </c>
      <c r="AD9" s="87">
        <f t="shared" si="1"/>
        <v>20639</v>
      </c>
      <c r="AE9" s="87">
        <f t="shared" si="1"/>
        <v>22315</v>
      </c>
    </row>
    <row r="10" spans="1:31" ht="15">
      <c r="A10" s="84" t="s">
        <v>110</v>
      </c>
      <c r="B10" s="84"/>
      <c r="C10" s="87">
        <f t="shared" si="0"/>
        <v>0</v>
      </c>
      <c r="D10" s="87">
        <f t="shared" si="0"/>
        <v>0</v>
      </c>
      <c r="E10" s="87">
        <f t="shared" si="0"/>
        <v>0</v>
      </c>
      <c r="F10" s="87">
        <f t="shared" si="0"/>
        <v>0</v>
      </c>
      <c r="G10" s="87">
        <f t="shared" si="0"/>
        <v>0</v>
      </c>
      <c r="H10" s="87">
        <f t="shared" si="0"/>
        <v>13231</v>
      </c>
      <c r="I10" s="87">
        <f t="shared" si="0"/>
        <v>3960</v>
      </c>
      <c r="J10" s="87">
        <f t="shared" si="0"/>
        <v>0</v>
      </c>
      <c r="K10" s="87">
        <f t="shared" si="0"/>
        <v>0</v>
      </c>
      <c r="L10" s="87">
        <f t="shared" si="0"/>
        <v>0</v>
      </c>
      <c r="M10" s="87">
        <f t="shared" si="0"/>
        <v>0</v>
      </c>
      <c r="N10" s="87">
        <f t="shared" si="0"/>
        <v>0</v>
      </c>
      <c r="O10" s="87">
        <f t="shared" si="0"/>
        <v>0</v>
      </c>
      <c r="Q10" s="84" t="s">
        <v>110</v>
      </c>
      <c r="R10" s="84"/>
      <c r="S10" s="87">
        <f t="shared" si="1"/>
        <v>0</v>
      </c>
      <c r="T10" s="87">
        <f t="shared" si="1"/>
        <v>0</v>
      </c>
      <c r="U10" s="87">
        <f t="shared" si="1"/>
        <v>0</v>
      </c>
      <c r="V10" s="87">
        <f t="shared" si="1"/>
        <v>0</v>
      </c>
      <c r="W10" s="87">
        <f t="shared" si="1"/>
        <v>13231</v>
      </c>
      <c r="X10" s="87">
        <f t="shared" si="1"/>
        <v>3960</v>
      </c>
      <c r="Y10" s="87">
        <f t="shared" si="1"/>
        <v>0</v>
      </c>
      <c r="Z10" s="87">
        <f t="shared" si="1"/>
        <v>0</v>
      </c>
      <c r="AA10" s="87">
        <f t="shared" si="1"/>
        <v>0</v>
      </c>
      <c r="AB10" s="87">
        <f t="shared" si="1"/>
        <v>0</v>
      </c>
      <c r="AC10" s="87">
        <f t="shared" si="1"/>
        <v>0</v>
      </c>
      <c r="AD10" s="87">
        <f t="shared" si="1"/>
        <v>0</v>
      </c>
      <c r="AE10" s="87">
        <f t="shared" si="1"/>
        <v>0</v>
      </c>
    </row>
    <row r="11" spans="1:31" ht="15">
      <c r="A11" s="84" t="s">
        <v>113</v>
      </c>
      <c r="B11" s="84"/>
      <c r="C11" s="87">
        <f t="shared" si="0"/>
        <v>0</v>
      </c>
      <c r="D11" s="87">
        <f t="shared" si="0"/>
        <v>0</v>
      </c>
      <c r="E11" s="87">
        <f t="shared" si="0"/>
        <v>0</v>
      </c>
      <c r="F11" s="87">
        <f t="shared" si="0"/>
        <v>0</v>
      </c>
      <c r="G11" s="87">
        <f t="shared" si="0"/>
        <v>0</v>
      </c>
      <c r="H11" s="87">
        <f t="shared" si="0"/>
        <v>0</v>
      </c>
      <c r="I11" s="87">
        <f t="shared" si="0"/>
        <v>0</v>
      </c>
      <c r="J11" s="87">
        <f t="shared" si="0"/>
        <v>0</v>
      </c>
      <c r="K11" s="87">
        <f t="shared" si="0"/>
        <v>0</v>
      </c>
      <c r="L11" s="87">
        <f t="shared" si="0"/>
        <v>0</v>
      </c>
      <c r="M11" s="87">
        <f t="shared" si="0"/>
        <v>0</v>
      </c>
      <c r="N11" s="87">
        <f t="shared" si="0"/>
        <v>0</v>
      </c>
      <c r="O11" s="87">
        <f t="shared" si="0"/>
        <v>0</v>
      </c>
      <c r="Q11" s="84" t="s">
        <v>113</v>
      </c>
      <c r="R11" s="84"/>
      <c r="S11" s="87">
        <f t="shared" si="1"/>
        <v>0</v>
      </c>
      <c r="T11" s="87">
        <f t="shared" si="1"/>
        <v>0</v>
      </c>
      <c r="U11" s="87">
        <f t="shared" si="1"/>
        <v>0</v>
      </c>
      <c r="V11" s="87">
        <f t="shared" si="1"/>
        <v>0</v>
      </c>
      <c r="W11" s="87">
        <f t="shared" si="1"/>
        <v>0</v>
      </c>
      <c r="X11" s="87">
        <f t="shared" si="1"/>
        <v>0</v>
      </c>
      <c r="Y11" s="87">
        <f t="shared" si="1"/>
        <v>0</v>
      </c>
      <c r="Z11" s="87">
        <f t="shared" si="1"/>
        <v>0</v>
      </c>
      <c r="AA11" s="87">
        <f t="shared" si="1"/>
        <v>0</v>
      </c>
      <c r="AB11" s="87">
        <f t="shared" si="1"/>
        <v>0</v>
      </c>
      <c r="AC11" s="87">
        <f t="shared" si="1"/>
        <v>0</v>
      </c>
      <c r="AD11" s="87">
        <f t="shared" si="1"/>
        <v>0</v>
      </c>
      <c r="AE11" s="87">
        <f t="shared" si="1"/>
        <v>0</v>
      </c>
    </row>
    <row r="12" spans="1:31" ht="15">
      <c r="A12" s="84" t="s">
        <v>111</v>
      </c>
      <c r="B12" s="84"/>
      <c r="C12" s="87">
        <f t="shared" si="0"/>
        <v>0</v>
      </c>
      <c r="D12" s="87">
        <f t="shared" si="0"/>
        <v>0</v>
      </c>
      <c r="E12" s="87">
        <f t="shared" si="0"/>
        <v>0</v>
      </c>
      <c r="F12" s="87">
        <f t="shared" si="0"/>
        <v>0</v>
      </c>
      <c r="G12" s="87">
        <f t="shared" si="0"/>
        <v>0</v>
      </c>
      <c r="H12" s="87">
        <f t="shared" si="0"/>
        <v>0</v>
      </c>
      <c r="I12" s="87">
        <f t="shared" si="0"/>
        <v>0</v>
      </c>
      <c r="J12" s="87">
        <f t="shared" si="0"/>
        <v>0</v>
      </c>
      <c r="K12" s="87">
        <f t="shared" si="0"/>
        <v>0</v>
      </c>
      <c r="L12" s="87">
        <f t="shared" si="0"/>
        <v>0</v>
      </c>
      <c r="M12" s="87">
        <f t="shared" si="0"/>
        <v>0</v>
      </c>
      <c r="N12" s="87">
        <f t="shared" si="0"/>
        <v>0</v>
      </c>
      <c r="O12" s="87">
        <f t="shared" si="0"/>
        <v>0</v>
      </c>
      <c r="Q12" s="84" t="s">
        <v>111</v>
      </c>
      <c r="R12" s="84"/>
      <c r="S12" s="87">
        <f t="shared" si="1"/>
        <v>0</v>
      </c>
      <c r="T12" s="87">
        <f t="shared" si="1"/>
        <v>0</v>
      </c>
      <c r="U12" s="87">
        <f t="shared" si="1"/>
        <v>0</v>
      </c>
      <c r="V12" s="87">
        <f t="shared" si="1"/>
        <v>0</v>
      </c>
      <c r="W12" s="87">
        <f t="shared" si="1"/>
        <v>0</v>
      </c>
      <c r="X12" s="87">
        <f t="shared" si="1"/>
        <v>0</v>
      </c>
      <c r="Y12" s="87">
        <f t="shared" si="1"/>
        <v>0</v>
      </c>
      <c r="Z12" s="87">
        <f t="shared" si="1"/>
        <v>0</v>
      </c>
      <c r="AA12" s="87">
        <f t="shared" si="1"/>
        <v>0</v>
      </c>
      <c r="AB12" s="87">
        <f t="shared" si="1"/>
        <v>0</v>
      </c>
      <c r="AC12" s="87">
        <f t="shared" si="1"/>
        <v>0</v>
      </c>
      <c r="AD12" s="87">
        <f t="shared" si="1"/>
        <v>0</v>
      </c>
      <c r="AE12" s="87">
        <f t="shared" si="1"/>
        <v>0</v>
      </c>
    </row>
    <row r="13" spans="1:31" ht="15">
      <c r="A13" s="84" t="s">
        <v>119</v>
      </c>
      <c r="B13" s="84"/>
      <c r="C13" s="87">
        <f t="shared" si="0"/>
        <v>0</v>
      </c>
      <c r="D13" s="87">
        <f t="shared" si="0"/>
        <v>0</v>
      </c>
      <c r="E13" s="87">
        <f t="shared" si="0"/>
        <v>0</v>
      </c>
      <c r="F13" s="87">
        <f t="shared" si="0"/>
        <v>0</v>
      </c>
      <c r="G13" s="87">
        <f t="shared" si="0"/>
        <v>0</v>
      </c>
      <c r="H13" s="87">
        <f t="shared" si="0"/>
        <v>0</v>
      </c>
      <c r="I13" s="87">
        <f t="shared" si="0"/>
        <v>0</v>
      </c>
      <c r="J13" s="87">
        <f t="shared" si="0"/>
        <v>0</v>
      </c>
      <c r="K13" s="87">
        <f t="shared" si="0"/>
        <v>0</v>
      </c>
      <c r="L13" s="87">
        <f t="shared" si="0"/>
        <v>0</v>
      </c>
      <c r="M13" s="87">
        <f t="shared" si="0"/>
        <v>0</v>
      </c>
      <c r="N13" s="87">
        <f t="shared" si="0"/>
        <v>0</v>
      </c>
      <c r="O13" s="87">
        <f t="shared" si="0"/>
        <v>0</v>
      </c>
      <c r="Q13" s="84" t="s">
        <v>119</v>
      </c>
      <c r="R13" s="84"/>
      <c r="S13" s="87">
        <f t="shared" si="1"/>
        <v>0</v>
      </c>
      <c r="T13" s="87">
        <f t="shared" si="1"/>
        <v>0</v>
      </c>
      <c r="U13" s="87">
        <f t="shared" si="1"/>
        <v>0</v>
      </c>
      <c r="V13" s="87">
        <f t="shared" si="1"/>
        <v>0</v>
      </c>
      <c r="W13" s="87">
        <f t="shared" si="1"/>
        <v>0</v>
      </c>
      <c r="X13" s="87">
        <f t="shared" si="1"/>
        <v>0</v>
      </c>
      <c r="Y13" s="87">
        <f t="shared" si="1"/>
        <v>0</v>
      </c>
      <c r="Z13" s="87">
        <f t="shared" si="1"/>
        <v>0</v>
      </c>
      <c r="AA13" s="87">
        <f t="shared" si="1"/>
        <v>0</v>
      </c>
      <c r="AB13" s="87">
        <f t="shared" si="1"/>
        <v>0</v>
      </c>
      <c r="AC13" s="87">
        <f t="shared" si="1"/>
        <v>0</v>
      </c>
      <c r="AD13" s="87">
        <f t="shared" si="1"/>
        <v>0</v>
      </c>
      <c r="AE13" s="87">
        <f t="shared" si="1"/>
        <v>0</v>
      </c>
    </row>
    <row r="14" spans="1:31" ht="15.75">
      <c r="A14" s="91" t="s">
        <v>311</v>
      </c>
      <c r="B14" s="92"/>
      <c r="C14" s="92">
        <f>SUM(C5:C13)</f>
        <v>0</v>
      </c>
      <c r="D14" s="92">
        <f t="shared" ref="D14:M14" si="2">SUM(D5:D13)</f>
        <v>119858</v>
      </c>
      <c r="E14" s="92">
        <f t="shared" si="2"/>
        <v>120716</v>
      </c>
      <c r="F14" s="92">
        <f t="shared" si="2"/>
        <v>122019</v>
      </c>
      <c r="G14" s="92">
        <f t="shared" si="2"/>
        <v>123155</v>
      </c>
      <c r="H14" s="92">
        <f t="shared" si="2"/>
        <v>370166</v>
      </c>
      <c r="I14" s="92">
        <f t="shared" si="2"/>
        <v>364047.40669669915</v>
      </c>
      <c r="J14" s="92">
        <f t="shared" si="2"/>
        <v>369133</v>
      </c>
      <c r="K14" s="92">
        <f t="shared" si="2"/>
        <v>367667.81486063107</v>
      </c>
      <c r="L14" s="92">
        <f t="shared" si="2"/>
        <v>607027.05599708681</v>
      </c>
      <c r="M14" s="92">
        <f t="shared" si="2"/>
        <v>615731.43684753845</v>
      </c>
      <c r="N14" s="92">
        <f>(SUM(N5:N13))</f>
        <v>810769.10233225708</v>
      </c>
      <c r="O14" s="92">
        <f>SUM(O5:O13)+1</f>
        <v>803358.91924546752</v>
      </c>
      <c r="Q14" s="91" t="s">
        <v>311</v>
      </c>
      <c r="R14" s="92"/>
      <c r="S14" s="92">
        <f t="shared" ref="S14" si="3">SUM(S5:S13)</f>
        <v>104826</v>
      </c>
      <c r="T14" s="92">
        <f t="shared" ref="T14" si="4">SUM(T5:T13)</f>
        <v>107711</v>
      </c>
      <c r="U14" s="92">
        <f t="shared" ref="U14" si="5">SUM(U5:U13)</f>
        <v>107158</v>
      </c>
      <c r="V14" s="92">
        <f t="shared" ref="V14" si="6">SUM(V5:V13)</f>
        <v>114902</v>
      </c>
      <c r="W14" s="92">
        <f t="shared" ref="W14" si="7">SUM(W5:W13)</f>
        <v>271108</v>
      </c>
      <c r="X14" s="92">
        <f t="shared" ref="X14" si="8">SUM(X5:X13)</f>
        <v>373982.40669669915</v>
      </c>
      <c r="Y14" s="92">
        <f t="shared" ref="Y14" si="9">SUM(Y5:Y13)</f>
        <v>285492</v>
      </c>
      <c r="Z14" s="92">
        <f t="shared" ref="Z14" si="10">SUM(Z5:Z13)</f>
        <v>293213</v>
      </c>
      <c r="AA14" s="92">
        <f t="shared" ref="AA14" si="11">SUM(AA5:AA13)</f>
        <v>198796.8148606311</v>
      </c>
      <c r="AB14" s="92">
        <f t="shared" ref="AB14" si="12">SUM(AB5:AB13)</f>
        <v>560182.05599708681</v>
      </c>
      <c r="AC14" s="92">
        <f t="shared" ref="AC14" si="13">SUM(AC5:AC13)</f>
        <v>777200.43684753845</v>
      </c>
      <c r="AD14" s="92">
        <f>ROUNDDOWN(SUM(AD5:AD13),0)</f>
        <v>795718</v>
      </c>
      <c r="AE14" s="92">
        <f>SUM(AE5:AE13)+1</f>
        <v>803358.91924546752</v>
      </c>
    </row>
    <row r="18" spans="1:31">
      <c r="B18" s="226" t="s">
        <v>312</v>
      </c>
      <c r="C18" s="227">
        <f>SUM(C21:C84)</f>
        <v>0</v>
      </c>
      <c r="D18" s="227">
        <f t="shared" ref="D18:M18" si="14">SUM(D21:D84)</f>
        <v>119858</v>
      </c>
      <c r="E18" s="227">
        <f t="shared" si="14"/>
        <v>120716</v>
      </c>
      <c r="F18" s="227">
        <f t="shared" si="14"/>
        <v>122019</v>
      </c>
      <c r="G18" s="227">
        <f t="shared" si="14"/>
        <v>123155</v>
      </c>
      <c r="H18" s="227">
        <f t="shared" si="14"/>
        <v>370166</v>
      </c>
      <c r="I18" s="227">
        <f t="shared" si="14"/>
        <v>364047.40669669915</v>
      </c>
      <c r="J18" s="227">
        <f t="shared" si="14"/>
        <v>369133</v>
      </c>
      <c r="K18" s="227">
        <f t="shared" si="14"/>
        <v>367667.81486063101</v>
      </c>
      <c r="L18" s="227">
        <f t="shared" si="14"/>
        <v>607027.05599708681</v>
      </c>
      <c r="M18" s="227">
        <f t="shared" si="14"/>
        <v>615731.43684753845</v>
      </c>
      <c r="N18" s="227">
        <f>SUM(N21:N84)</f>
        <v>810769.10233225708</v>
      </c>
      <c r="O18" s="227">
        <f>SUM(O21:O84)+1</f>
        <v>803358.91924546752</v>
      </c>
      <c r="P18" s="228"/>
      <c r="R18" s="226" t="s">
        <v>312</v>
      </c>
      <c r="S18" s="227">
        <f t="shared" ref="S18:AC18" si="15">SUM(S21:S84)</f>
        <v>104826</v>
      </c>
      <c r="T18" s="227">
        <f t="shared" si="15"/>
        <v>107711</v>
      </c>
      <c r="U18" s="227">
        <f t="shared" si="15"/>
        <v>107158</v>
      </c>
      <c r="V18" s="227">
        <f t="shared" si="15"/>
        <v>114902</v>
      </c>
      <c r="W18" s="227">
        <f t="shared" si="15"/>
        <v>271108</v>
      </c>
      <c r="X18" s="227">
        <f t="shared" si="15"/>
        <v>373982.40669669915</v>
      </c>
      <c r="Y18" s="227">
        <f t="shared" si="15"/>
        <v>285492</v>
      </c>
      <c r="Z18" s="227">
        <f t="shared" si="15"/>
        <v>293213</v>
      </c>
      <c r="AA18" s="227">
        <f t="shared" si="15"/>
        <v>198796.8148606311</v>
      </c>
      <c r="AB18" s="227">
        <f t="shared" si="15"/>
        <v>560182.05599708681</v>
      </c>
      <c r="AC18" s="227">
        <f t="shared" si="15"/>
        <v>777200.43684753845</v>
      </c>
    </row>
    <row r="19" spans="1:31" outlineLevel="1"/>
    <row r="20" spans="1:31" ht="15" outlineLevel="1">
      <c r="A20" s="89" t="s">
        <v>48</v>
      </c>
      <c r="B20" s="88" t="s">
        <v>115</v>
      </c>
      <c r="C20" s="88">
        <v>2011</v>
      </c>
      <c r="D20" s="88">
        <v>2012</v>
      </c>
      <c r="E20" s="88">
        <v>2013</v>
      </c>
      <c r="F20" s="88">
        <v>2014</v>
      </c>
      <c r="G20" s="88">
        <v>2015</v>
      </c>
      <c r="H20" s="88">
        <v>2016</v>
      </c>
      <c r="I20" s="88">
        <v>2017</v>
      </c>
      <c r="J20" s="88">
        <v>2018</v>
      </c>
      <c r="K20" s="88">
        <v>2019</v>
      </c>
      <c r="L20" s="88">
        <v>2020</v>
      </c>
      <c r="M20" s="88">
        <v>2021</v>
      </c>
      <c r="N20" s="88">
        <v>2022</v>
      </c>
      <c r="O20" s="88">
        <v>2023</v>
      </c>
      <c r="Q20" s="89" t="s">
        <v>48</v>
      </c>
      <c r="R20" s="88" t="s">
        <v>115</v>
      </c>
      <c r="S20" s="88">
        <v>2011</v>
      </c>
      <c r="T20" s="88">
        <v>2012</v>
      </c>
      <c r="U20" s="88">
        <v>2013</v>
      </c>
      <c r="V20" s="88">
        <v>2014</v>
      </c>
      <c r="W20" s="88">
        <v>2015</v>
      </c>
      <c r="X20" s="88">
        <v>2016</v>
      </c>
      <c r="Y20" s="88">
        <v>2017</v>
      </c>
      <c r="Z20" s="88">
        <v>2018</v>
      </c>
      <c r="AA20" s="88">
        <v>2019</v>
      </c>
      <c r="AB20" s="88">
        <v>2020</v>
      </c>
      <c r="AC20" s="88">
        <v>2021</v>
      </c>
      <c r="AD20" s="88">
        <v>2022</v>
      </c>
      <c r="AE20" s="88">
        <v>2023</v>
      </c>
    </row>
    <row r="21" spans="1:31" ht="15" outlineLevel="1">
      <c r="A21" s="86" t="str">
        <f>'Facility Detail'!G6</f>
        <v>Adams Solar</v>
      </c>
      <c r="B21" s="86" t="str">
        <f xml:space="preserve"> IF( 'Facility Detail'!I6 = "", "", 'Facility Detail'!I6 )</f>
        <v>Solar</v>
      </c>
      <c r="C21" s="87">
        <f>VLOOKUP($A21,'Facility Detail'!$C:$T,7,FALSE)</f>
        <v>0</v>
      </c>
      <c r="D21" s="87">
        <f>VLOOKUP($A21,'Facility Detail'!$C:$T,8,FALSE)</f>
        <v>0</v>
      </c>
      <c r="E21" s="87">
        <f>VLOOKUP($A21,'Facility Detail'!$C:$T,9,FALSE)</f>
        <v>0</v>
      </c>
      <c r="F21" s="87">
        <f>VLOOKUP($A21,'Facility Detail'!$C:$T,10,FALSE)</f>
        <v>0</v>
      </c>
      <c r="G21" s="87">
        <f>VLOOKUP($A21,'Facility Detail'!$C:$T,11,FALSE)</f>
        <v>0</v>
      </c>
      <c r="H21" s="87">
        <f>VLOOKUP($A21,'Facility Detail'!$C:$T,12,FALSE)</f>
        <v>0</v>
      </c>
      <c r="I21" s="87">
        <f>VLOOKUP($A21,'Facility Detail'!$C:$T,13,FALSE)</f>
        <v>0</v>
      </c>
      <c r="J21" s="87">
        <f>VLOOKUP($A21,'Facility Detail'!$C:$T,14,FALSE)</f>
        <v>0</v>
      </c>
      <c r="K21" s="87">
        <f>VLOOKUP($A21,'Facility Detail'!$C:$T,15,FALSE)</f>
        <v>8592.2091216254576</v>
      </c>
      <c r="L21" s="87">
        <f>VLOOKUP($A21,'Facility Detail'!$C:$T,16,FALSE)</f>
        <v>1711.3916214541732</v>
      </c>
      <c r="M21" s="87">
        <f>VLOOKUP($A21,'Facility Detail'!$C:$T,17,FALSE)</f>
        <v>4891</v>
      </c>
      <c r="N21" s="483">
        <f>VLOOKUP($A21,'Facility Detail'!$C:$T,18,FALSE)</f>
        <v>4815.8058447401772</v>
      </c>
      <c r="O21" s="87">
        <f>VLOOKUP($A21,'Facility Detail'!$C:$U,19,FALSE)</f>
        <v>4354</v>
      </c>
      <c r="Q21" s="86" t="str">
        <f>A21</f>
        <v>Adams Solar</v>
      </c>
      <c r="R21" s="86" t="str">
        <f>B21</f>
        <v>Solar</v>
      </c>
      <c r="S21" s="87">
        <f>VLOOKUP($A21,'Facility Detail'!$A:$T,9,FALSE)</f>
        <v>0</v>
      </c>
      <c r="T21" s="87">
        <f>VLOOKUP($A21,'Facility Detail'!$A:$T,10,FALSE)</f>
        <v>0</v>
      </c>
      <c r="U21" s="87">
        <f>VLOOKUP($A21,'Facility Detail'!$A:$T,11,FALSE)</f>
        <v>0</v>
      </c>
      <c r="V21" s="87">
        <f>VLOOKUP($A21,'Facility Detail'!$A:$T,12,FALSE)</f>
        <v>0</v>
      </c>
      <c r="W21" s="87">
        <f>VLOOKUP($A21,'Facility Detail'!$A:$T,13,FALSE)</f>
        <v>0</v>
      </c>
      <c r="X21" s="87">
        <f>VLOOKUP($A21,'Facility Detail'!$A:$T,14,FALSE)</f>
        <v>0</v>
      </c>
      <c r="Y21" s="87">
        <f>VLOOKUP($A21,'Facility Detail'!$A:$T,15,FALSE)</f>
        <v>0</v>
      </c>
      <c r="Z21" s="87">
        <f>VLOOKUP($A21,'Facility Detail'!$A:$T,16,FALSE)</f>
        <v>588</v>
      </c>
      <c r="AA21" s="87">
        <f>VLOOKUP($A21,'Facility Detail'!$A:$T,17,FALSE)</f>
        <v>4617.2091216254576</v>
      </c>
      <c r="AB21" s="87">
        <f>VLOOKUP($A21,'Facility Detail'!$A:$T,18,FALSE)</f>
        <v>5098.3916214541732</v>
      </c>
      <c r="AC21" s="87">
        <f>VLOOKUP($A21,'Facility Detail'!$A:$T,19,FALSE)</f>
        <v>4891</v>
      </c>
      <c r="AD21" s="87">
        <f>VLOOKUP($A21,'Facility Detail'!$A:$T,20,FALSE)</f>
        <v>4815.8058447401772</v>
      </c>
      <c r="AE21" s="87">
        <f>VLOOKUP($A21,'Facility Detail'!$A:$U,21,FALSE)</f>
        <v>4354</v>
      </c>
    </row>
    <row r="22" spans="1:31" ht="15" outlineLevel="1">
      <c r="A22" s="86" t="str">
        <f>'Facility Detail'!G7</f>
        <v>Bear Creek Solar</v>
      </c>
      <c r="B22" s="86" t="str">
        <f xml:space="preserve"> IF( 'Facility Detail'!I7 = "", "", 'Facility Detail'!I7 )</f>
        <v>Solar</v>
      </c>
      <c r="C22" s="87">
        <f>VLOOKUP($A22,'Facility Detail'!$C:$T,7,FALSE)</f>
        <v>0</v>
      </c>
      <c r="D22" s="87">
        <f>VLOOKUP($A22,'Facility Detail'!$C:$T,8,FALSE)</f>
        <v>0</v>
      </c>
      <c r="E22" s="87">
        <f>VLOOKUP($A22,'Facility Detail'!$C:$T,9,FALSE)</f>
        <v>0</v>
      </c>
      <c r="F22" s="87">
        <f>VLOOKUP($A22,'Facility Detail'!$C:$T,10,FALSE)</f>
        <v>0</v>
      </c>
      <c r="G22" s="87">
        <f>VLOOKUP($A22,'Facility Detail'!$C:$T,11,FALSE)</f>
        <v>0</v>
      </c>
      <c r="H22" s="87">
        <f>VLOOKUP($A22,'Facility Detail'!$C:$T,12,FALSE)</f>
        <v>0</v>
      </c>
      <c r="I22" s="87">
        <f>VLOOKUP($A22,'Facility Detail'!$C:$T,13,FALSE)</f>
        <v>0</v>
      </c>
      <c r="J22" s="87">
        <f>VLOOKUP($A22,'Facility Detail'!$C:$T,14,FALSE)</f>
        <v>0</v>
      </c>
      <c r="K22" s="87">
        <f>VLOOKUP($A22,'Facility Detail'!$C:$T,15,FALSE)</f>
        <v>9233.3730515304796</v>
      </c>
      <c r="L22" s="87">
        <f>VLOOKUP($A22,'Facility Detail'!$C:$T,16,FALSE)</f>
        <v>1861.5510081531293</v>
      </c>
      <c r="M22" s="87">
        <f>VLOOKUP($A22,'Facility Detail'!$C:$T,17,FALSE)</f>
        <v>5342</v>
      </c>
      <c r="N22" s="483">
        <f>VLOOKUP($A22,'Facility Detail'!$C:$T,18,FALSE)</f>
        <v>5024</v>
      </c>
      <c r="O22" s="87">
        <f>VLOOKUP($A22,'Facility Detail'!$C:$U,19,FALSE)</f>
        <v>4344</v>
      </c>
      <c r="Q22" s="86" t="str">
        <f t="shared" ref="Q22:Q84" si="16">A22</f>
        <v>Bear Creek Solar</v>
      </c>
      <c r="R22" s="86" t="str">
        <f t="shared" ref="R22:R85" si="17">B22</f>
        <v>Solar</v>
      </c>
      <c r="S22" s="87">
        <f>VLOOKUP($A22,'Facility Detail'!$A:$T,9,FALSE)</f>
        <v>0</v>
      </c>
      <c r="T22" s="87">
        <f>VLOOKUP($A22,'Facility Detail'!$A:$T,10,FALSE)</f>
        <v>0</v>
      </c>
      <c r="U22" s="87">
        <f>VLOOKUP($A22,'Facility Detail'!$A:$T,11,FALSE)</f>
        <v>0</v>
      </c>
      <c r="V22" s="87">
        <f>VLOOKUP($A22,'Facility Detail'!$A:$T,12,FALSE)</f>
        <v>0</v>
      </c>
      <c r="W22" s="87">
        <f>VLOOKUP($A22,'Facility Detail'!$A:$T,13,FALSE)</f>
        <v>0</v>
      </c>
      <c r="X22" s="87">
        <f>VLOOKUP($A22,'Facility Detail'!$A:$T,14,FALSE)</f>
        <v>0</v>
      </c>
      <c r="Y22" s="87">
        <f>VLOOKUP($A22,'Facility Detail'!$A:$T,15,FALSE)</f>
        <v>0</v>
      </c>
      <c r="Z22" s="87">
        <f>VLOOKUP($A22,'Facility Detail'!$A:$T,16,FALSE)</f>
        <v>677</v>
      </c>
      <c r="AA22" s="87">
        <f>VLOOKUP($A22,'Facility Detail'!$A:$T,17,FALSE)</f>
        <v>5042.3730515304796</v>
      </c>
      <c r="AB22" s="87">
        <f>VLOOKUP($A22,'Facility Detail'!$A:$T,18,FALSE)</f>
        <v>5375.5510081531293</v>
      </c>
      <c r="AC22" s="87">
        <f>VLOOKUP($A22,'Facility Detail'!$A:$T,19,FALSE)</f>
        <v>5342</v>
      </c>
      <c r="AD22" s="87">
        <f>VLOOKUP($A22,'Facility Detail'!$A:$T,20,FALSE)</f>
        <v>5024</v>
      </c>
      <c r="AE22" s="87">
        <f>VLOOKUP($A22,'Facility Detail'!$A:$U,21,FALSE)</f>
        <v>4344</v>
      </c>
    </row>
    <row r="23" spans="1:31" ht="15">
      <c r="A23" s="86" t="str">
        <f>'Facility Detail'!G8</f>
        <v>Bennett Creek Windfarm - REC Only</v>
      </c>
      <c r="B23" s="86" t="str">
        <f xml:space="preserve"> IF( 'Facility Detail'!I8 = "", "", 'Facility Detail'!I8 )</f>
        <v>Wind</v>
      </c>
      <c r="C23" s="87">
        <f>VLOOKUP($A23,'Facility Detail'!$C:$T,7,FALSE)</f>
        <v>0</v>
      </c>
      <c r="D23" s="87">
        <f>VLOOKUP($A23,'Facility Detail'!$C:$T,8,FALSE)</f>
        <v>12259</v>
      </c>
      <c r="E23" s="87">
        <f>VLOOKUP($A23,'Facility Detail'!$C:$T,9,FALSE)</f>
        <v>0</v>
      </c>
      <c r="F23" s="87">
        <f>VLOOKUP($A23,'Facility Detail'!$C:$T,10,FALSE)</f>
        <v>0</v>
      </c>
      <c r="G23" s="87">
        <f>VLOOKUP($A23,'Facility Detail'!$C:$T,11,FALSE)</f>
        <v>0</v>
      </c>
      <c r="H23" s="87">
        <f>VLOOKUP($A23,'Facility Detail'!$C:$T,12,FALSE)</f>
        <v>8656</v>
      </c>
      <c r="I23" s="87">
        <f>VLOOKUP($A23,'Facility Detail'!$C:$T,13,FALSE)</f>
        <v>11174</v>
      </c>
      <c r="J23" s="87">
        <f>VLOOKUP($A23,'Facility Detail'!$C:$T,14,FALSE)</f>
        <v>9667</v>
      </c>
      <c r="K23" s="87">
        <f>VLOOKUP($A23,'Facility Detail'!$C:$T,15,FALSE)</f>
        <v>3216</v>
      </c>
      <c r="L23" s="87">
        <f>VLOOKUP($A23,'Facility Detail'!$C:$T,16,FALSE)</f>
        <v>0</v>
      </c>
      <c r="M23" s="87">
        <f>VLOOKUP($A23,'Facility Detail'!$C:$T,17,FALSE)</f>
        <v>0</v>
      </c>
      <c r="N23" s="483">
        <f>VLOOKUP($A23,'Facility Detail'!$C:$T,18,FALSE)</f>
        <v>0</v>
      </c>
      <c r="O23" s="87">
        <f>VLOOKUP($A23,'Facility Detail'!$C:$U,19,FALSE)</f>
        <v>0</v>
      </c>
      <c r="Q23" s="86" t="str">
        <f t="shared" si="16"/>
        <v>Bennett Creek Windfarm - REC Only</v>
      </c>
      <c r="R23" s="86" t="str">
        <f t="shared" si="17"/>
        <v>Wind</v>
      </c>
      <c r="S23" s="87">
        <f>VLOOKUP($A23,'Facility Detail'!$A:$T,9,FALSE)</f>
        <v>12259</v>
      </c>
      <c r="T23" s="87">
        <f>VLOOKUP($A23,'Facility Detail'!$A:$T,10,FALSE)</f>
        <v>0</v>
      </c>
      <c r="U23" s="87">
        <f>VLOOKUP($A23,'Facility Detail'!$A:$T,11,FALSE)</f>
        <v>0</v>
      </c>
      <c r="V23" s="87">
        <f>VLOOKUP($A23,'Facility Detail'!$A:$T,12,FALSE)</f>
        <v>0</v>
      </c>
      <c r="W23" s="87">
        <f>VLOOKUP($A23,'Facility Detail'!$A:$T,13,FALSE)</f>
        <v>8656</v>
      </c>
      <c r="X23" s="87">
        <f>VLOOKUP($A23,'Facility Detail'!$A:$T,14,FALSE)</f>
        <v>11174</v>
      </c>
      <c r="Y23" s="87">
        <f>VLOOKUP($A23,'Facility Detail'!$A:$T,15,FALSE)</f>
        <v>9667</v>
      </c>
      <c r="Z23" s="87">
        <f>VLOOKUP($A23,'Facility Detail'!$A:$T,16,FALSE)</f>
        <v>3216</v>
      </c>
      <c r="AA23" s="87">
        <f>VLOOKUP($A23,'Facility Detail'!$A:$T,17,FALSE)</f>
        <v>0</v>
      </c>
      <c r="AB23" s="87">
        <f>VLOOKUP($A23,'Facility Detail'!$A:$T,18,FALSE)</f>
        <v>0</v>
      </c>
      <c r="AC23" s="87">
        <f>VLOOKUP($A23,'Facility Detail'!$A:$T,19,FALSE)</f>
        <v>0</v>
      </c>
      <c r="AD23" s="87">
        <f>VLOOKUP($A23,'Facility Detail'!$A:$T,20,FALSE)</f>
        <v>0</v>
      </c>
      <c r="AE23" s="87">
        <f>VLOOKUP($A23,'Facility Detail'!$A:$U,21,FALSE)</f>
        <v>0</v>
      </c>
    </row>
    <row r="24" spans="1:31" ht="15" outlineLevel="1">
      <c r="A24" s="86" t="str">
        <f>'Facility Detail'!G9</f>
        <v>Bigfork</v>
      </c>
      <c r="B24" s="86" t="str">
        <f xml:space="preserve"> IF( 'Facility Detail'!I9 = "", "", 'Facility Detail'!I9 )</f>
        <v>Water (Incremental Hydro)</v>
      </c>
      <c r="C24" s="87">
        <f>VLOOKUP($A24,'Facility Detail'!$C:$T,7,FALSE)</f>
        <v>0</v>
      </c>
      <c r="D24" s="87">
        <f>VLOOKUP($A24,'Facility Detail'!$C:$T,8,FALSE)</f>
        <v>0</v>
      </c>
      <c r="E24" s="87">
        <f>VLOOKUP($A24,'Facility Detail'!$C:$T,9,FALSE)</f>
        <v>0</v>
      </c>
      <c r="F24" s="87">
        <f>VLOOKUP($A24,'Facility Detail'!$C:$T,10,FALSE)</f>
        <v>0</v>
      </c>
      <c r="G24" s="87">
        <f>VLOOKUP($A24,'Facility Detail'!$C:$T,11,FALSE)</f>
        <v>0</v>
      </c>
      <c r="H24" s="87">
        <f>VLOOKUP($A24,'Facility Detail'!$C:$T,12,FALSE)</f>
        <v>0</v>
      </c>
      <c r="I24" s="87">
        <f>VLOOKUP($A24,'Facility Detail'!$C:$T,13,FALSE)</f>
        <v>0</v>
      </c>
      <c r="J24" s="87">
        <f>VLOOKUP($A24,'Facility Detail'!$C:$T,14,FALSE)</f>
        <v>0</v>
      </c>
      <c r="K24" s="87">
        <f>VLOOKUP($A24,'Facility Detail'!$C:$T,15,FALSE)</f>
        <v>0</v>
      </c>
      <c r="L24" s="87">
        <f>VLOOKUP($A24,'Facility Detail'!$C:$T,16,FALSE)</f>
        <v>0</v>
      </c>
      <c r="M24" s="87">
        <f>VLOOKUP($A24,'Facility Detail'!$C:$T,17,FALSE)</f>
        <v>95</v>
      </c>
      <c r="N24" s="483">
        <f>VLOOKUP($A24,'Facility Detail'!$C:$T,18,FALSE)</f>
        <v>87</v>
      </c>
      <c r="O24" s="87">
        <f>VLOOKUP($A24,'Facility Detail'!$C:$U,19,FALSE)</f>
        <v>67</v>
      </c>
      <c r="Q24" s="86" t="str">
        <f t="shared" si="16"/>
        <v>Bigfork</v>
      </c>
      <c r="R24" s="86" t="str">
        <f t="shared" si="17"/>
        <v>Water (Incremental Hydro)</v>
      </c>
      <c r="S24" s="87">
        <f>VLOOKUP($A24,'Facility Detail'!$A:$T,9,FALSE)</f>
        <v>0</v>
      </c>
      <c r="T24" s="87">
        <f>VLOOKUP($A24,'Facility Detail'!$A:$T,10,FALSE)</f>
        <v>0</v>
      </c>
      <c r="U24" s="87">
        <f>VLOOKUP($A24,'Facility Detail'!$A:$T,11,FALSE)</f>
        <v>0</v>
      </c>
      <c r="V24" s="87">
        <f>VLOOKUP($A24,'Facility Detail'!$A:$T,12,FALSE)</f>
        <v>0</v>
      </c>
      <c r="W24" s="87">
        <f>VLOOKUP($A24,'Facility Detail'!$A:$T,13,FALSE)</f>
        <v>0</v>
      </c>
      <c r="X24" s="87">
        <f>VLOOKUP($A24,'Facility Detail'!$A:$T,14,FALSE)</f>
        <v>0</v>
      </c>
      <c r="Y24" s="87">
        <f>VLOOKUP($A24,'Facility Detail'!$A:$T,15,FALSE)</f>
        <v>0</v>
      </c>
      <c r="Z24" s="87">
        <f>VLOOKUP($A24,'Facility Detail'!$A:$T,16,FALSE)</f>
        <v>0</v>
      </c>
      <c r="AA24" s="87">
        <f>VLOOKUP($A24,'Facility Detail'!$A:$T,17,FALSE)</f>
        <v>0</v>
      </c>
      <c r="AB24" s="87">
        <f>VLOOKUP($A24,'Facility Detail'!$A:$T,18,FALSE)</f>
        <v>0</v>
      </c>
      <c r="AC24" s="87">
        <f>VLOOKUP($A24,'Facility Detail'!$A:$T,19,FALSE)</f>
        <v>95</v>
      </c>
      <c r="AD24" s="87">
        <f>VLOOKUP($A24,'Facility Detail'!$A:$T,20,FALSE)</f>
        <v>87</v>
      </c>
      <c r="AE24" s="87">
        <f>VLOOKUP($A24,'Facility Detail'!$A:$U,21,FALSE)</f>
        <v>67</v>
      </c>
    </row>
    <row r="25" spans="1:31" ht="15" outlineLevel="1">
      <c r="A25" s="86" t="str">
        <f>'Facility Detail'!G10</f>
        <v>Blundell</v>
      </c>
      <c r="B25" s="86" t="str">
        <f xml:space="preserve"> IF( 'Facility Detail'!I10 = "", "", 'Facility Detail'!I10 )</f>
        <v>Geothermal</v>
      </c>
      <c r="C25" s="87">
        <f>VLOOKUP($A25,'Facility Detail'!$C:$T,7,FALSE)</f>
        <v>0</v>
      </c>
      <c r="D25" s="87">
        <f>VLOOKUP($A25,'Facility Detail'!$C:$T,8,FALSE)</f>
        <v>0</v>
      </c>
      <c r="E25" s="87">
        <f>VLOOKUP($A25,'Facility Detail'!$C:$T,9,FALSE)</f>
        <v>0</v>
      </c>
      <c r="F25" s="87">
        <f>VLOOKUP($A25,'Facility Detail'!$C:$T,10,FALSE)</f>
        <v>0</v>
      </c>
      <c r="G25" s="87">
        <f>VLOOKUP($A25,'Facility Detail'!$C:$T,11,FALSE)</f>
        <v>0</v>
      </c>
      <c r="H25" s="87">
        <f>VLOOKUP($A25,'Facility Detail'!$C:$T,12,FALSE)</f>
        <v>0</v>
      </c>
      <c r="I25" s="87">
        <f>VLOOKUP($A25,'Facility Detail'!$C:$T,13,FALSE)</f>
        <v>0</v>
      </c>
      <c r="J25" s="87">
        <f>VLOOKUP($A25,'Facility Detail'!$C:$T,14,FALSE)</f>
        <v>0</v>
      </c>
      <c r="K25" s="87">
        <f>VLOOKUP($A25,'Facility Detail'!$C:$T,15,FALSE)</f>
        <v>0</v>
      </c>
      <c r="L25" s="87">
        <f>VLOOKUP($A25,'Facility Detail'!$C:$T,16,FALSE)</f>
        <v>0</v>
      </c>
      <c r="M25" s="87">
        <f>VLOOKUP($A25,'Facility Detail'!$C:$T,17,FALSE)</f>
        <v>11582</v>
      </c>
      <c r="N25" s="483">
        <f>VLOOKUP($A25,'Facility Detail'!$C:$T,18,FALSE)</f>
        <v>14117</v>
      </c>
      <c r="O25" s="87">
        <f>VLOOKUP($A25,'Facility Detail'!$C:$U,19,FALSE)</f>
        <v>15646</v>
      </c>
      <c r="Q25" s="86" t="str">
        <f t="shared" si="16"/>
        <v>Blundell</v>
      </c>
      <c r="R25" s="86" t="str">
        <f t="shared" si="17"/>
        <v>Geothermal</v>
      </c>
      <c r="S25" s="87">
        <f>VLOOKUP($A25,'Facility Detail'!$A:$T,9,FALSE)</f>
        <v>0</v>
      </c>
      <c r="T25" s="87">
        <f>VLOOKUP($A25,'Facility Detail'!$A:$T,10,FALSE)</f>
        <v>0</v>
      </c>
      <c r="U25" s="87">
        <f>VLOOKUP($A25,'Facility Detail'!$A:$T,11,FALSE)</f>
        <v>0</v>
      </c>
      <c r="V25" s="87">
        <f>VLOOKUP($A25,'Facility Detail'!$A:$T,12,FALSE)</f>
        <v>0</v>
      </c>
      <c r="W25" s="87">
        <f>VLOOKUP($A25,'Facility Detail'!$A:$T,13,FALSE)</f>
        <v>0</v>
      </c>
      <c r="X25" s="87">
        <f>VLOOKUP($A25,'Facility Detail'!$A:$T,14,FALSE)</f>
        <v>0</v>
      </c>
      <c r="Y25" s="87">
        <f>VLOOKUP($A25,'Facility Detail'!$A:$T,15,FALSE)</f>
        <v>0</v>
      </c>
      <c r="Z25" s="87">
        <f>VLOOKUP($A25,'Facility Detail'!$A:$T,16,FALSE)</f>
        <v>0</v>
      </c>
      <c r="AA25" s="87">
        <f>VLOOKUP($A25,'Facility Detail'!$A:$T,17,FALSE)</f>
        <v>0</v>
      </c>
      <c r="AB25" s="87">
        <f>VLOOKUP($A25,'Facility Detail'!$A:$T,18,FALSE)</f>
        <v>0</v>
      </c>
      <c r="AC25" s="87">
        <f>VLOOKUP($A25,'Facility Detail'!$A:$T,19,FALSE)</f>
        <v>11582</v>
      </c>
      <c r="AD25" s="87">
        <f>VLOOKUP($A25,'Facility Detail'!$A:$T,20,FALSE)</f>
        <v>14117</v>
      </c>
      <c r="AE25" s="87">
        <f>VLOOKUP($A25,'Facility Detail'!$A:$U,21,FALSE)</f>
        <v>15646</v>
      </c>
    </row>
    <row r="26" spans="1:31" ht="15" outlineLevel="1">
      <c r="A26" s="86" t="str">
        <f>'Facility Detail'!G11</f>
        <v>Blundell II</v>
      </c>
      <c r="B26" s="86" t="str">
        <f xml:space="preserve"> IF( 'Facility Detail'!I11 = "", "", 'Facility Detail'!I11 )</f>
        <v>Geothermal</v>
      </c>
      <c r="C26" s="87">
        <f>VLOOKUP($A26,'Facility Detail'!$C:$T,7,FALSE)</f>
        <v>0</v>
      </c>
      <c r="D26" s="87">
        <f>VLOOKUP($A26,'Facility Detail'!$C:$T,8,FALSE)</f>
        <v>0</v>
      </c>
      <c r="E26" s="87">
        <f>VLOOKUP($A26,'Facility Detail'!$C:$T,9,FALSE)</f>
        <v>0</v>
      </c>
      <c r="F26" s="87">
        <f>VLOOKUP($A26,'Facility Detail'!$C:$T,10,FALSE)</f>
        <v>0</v>
      </c>
      <c r="G26" s="87">
        <f>VLOOKUP($A26,'Facility Detail'!$C:$T,11,FALSE)</f>
        <v>0</v>
      </c>
      <c r="H26" s="87">
        <f>VLOOKUP($A26,'Facility Detail'!$C:$T,12,FALSE)</f>
        <v>0</v>
      </c>
      <c r="I26" s="87">
        <f>VLOOKUP($A26,'Facility Detail'!$C:$T,13,FALSE)</f>
        <v>0</v>
      </c>
      <c r="J26" s="87">
        <f>VLOOKUP($A26,'Facility Detail'!$C:$T,14,FALSE)</f>
        <v>0</v>
      </c>
      <c r="K26" s="87">
        <f>VLOOKUP($A26,'Facility Detail'!$C:$T,15,FALSE)</f>
        <v>0</v>
      </c>
      <c r="L26" s="87">
        <f>VLOOKUP($A26,'Facility Detail'!$C:$T,16,FALSE)</f>
        <v>0</v>
      </c>
      <c r="M26" s="87">
        <f>VLOOKUP($A26,'Facility Detail'!$C:$T,17,FALSE)</f>
        <v>5252</v>
      </c>
      <c r="N26" s="483">
        <f>VLOOKUP($A26,'Facility Detail'!$C:$T,18,FALSE)</f>
        <v>6522</v>
      </c>
      <c r="O26" s="87">
        <f>VLOOKUP($A26,'Facility Detail'!$C:$U,19,FALSE)</f>
        <v>6669</v>
      </c>
      <c r="Q26" s="86" t="str">
        <f t="shared" si="16"/>
        <v>Blundell II</v>
      </c>
      <c r="R26" s="86" t="str">
        <f t="shared" si="17"/>
        <v>Geothermal</v>
      </c>
      <c r="S26" s="87">
        <f>VLOOKUP($A26,'Facility Detail'!$A:$T,9,FALSE)</f>
        <v>0</v>
      </c>
      <c r="T26" s="87">
        <f>VLOOKUP($A26,'Facility Detail'!$A:$T,10,FALSE)</f>
        <v>0</v>
      </c>
      <c r="U26" s="87">
        <f>VLOOKUP($A26,'Facility Detail'!$A:$T,11,FALSE)</f>
        <v>0</v>
      </c>
      <c r="V26" s="87">
        <f>VLOOKUP($A26,'Facility Detail'!$A:$T,12,FALSE)</f>
        <v>0</v>
      </c>
      <c r="W26" s="87">
        <f>VLOOKUP($A26,'Facility Detail'!$A:$T,13,FALSE)</f>
        <v>0</v>
      </c>
      <c r="X26" s="87">
        <f>VLOOKUP($A26,'Facility Detail'!$A:$T,14,FALSE)</f>
        <v>0</v>
      </c>
      <c r="Y26" s="87">
        <f>VLOOKUP($A26,'Facility Detail'!$A:$T,15,FALSE)</f>
        <v>0</v>
      </c>
      <c r="Z26" s="87">
        <f>VLOOKUP($A26,'Facility Detail'!$A:$T,16,FALSE)</f>
        <v>0</v>
      </c>
      <c r="AA26" s="87">
        <f>VLOOKUP($A26,'Facility Detail'!$A:$T,17,FALSE)</f>
        <v>0</v>
      </c>
      <c r="AB26" s="87">
        <f>VLOOKUP($A26,'Facility Detail'!$A:$T,18,FALSE)</f>
        <v>0</v>
      </c>
      <c r="AC26" s="87">
        <f>VLOOKUP($A26,'Facility Detail'!$A:$T,19,FALSE)</f>
        <v>5252</v>
      </c>
      <c r="AD26" s="87">
        <f>VLOOKUP($A26,'Facility Detail'!$A:$T,20,FALSE)</f>
        <v>6522</v>
      </c>
      <c r="AE26" s="87">
        <f>VLOOKUP($A26,'Facility Detail'!$A:$U,21,FALSE)</f>
        <v>6669</v>
      </c>
    </row>
    <row r="27" spans="1:31" ht="15" outlineLevel="1">
      <c r="A27" s="86" t="str">
        <f>'Facility Detail'!G12</f>
        <v>Bly Solar</v>
      </c>
      <c r="B27" s="86" t="str">
        <f xml:space="preserve"> IF( 'Facility Detail'!I12 = "", "", 'Facility Detail'!I12 )</f>
        <v>Solar</v>
      </c>
      <c r="C27" s="87">
        <f>VLOOKUP($A27,'Facility Detail'!$C:$T,7,FALSE)</f>
        <v>0</v>
      </c>
      <c r="D27" s="87">
        <f>VLOOKUP($A27,'Facility Detail'!$C:$T,8,FALSE)</f>
        <v>0</v>
      </c>
      <c r="E27" s="87">
        <f>VLOOKUP($A27,'Facility Detail'!$C:$T,9,FALSE)</f>
        <v>0</v>
      </c>
      <c r="F27" s="87">
        <f>VLOOKUP($A27,'Facility Detail'!$C:$T,10,FALSE)</f>
        <v>0</v>
      </c>
      <c r="G27" s="87">
        <f>VLOOKUP($A27,'Facility Detail'!$C:$T,11,FALSE)</f>
        <v>0</v>
      </c>
      <c r="H27" s="87">
        <f>VLOOKUP($A27,'Facility Detail'!$C:$T,12,FALSE)</f>
        <v>0</v>
      </c>
      <c r="I27" s="87">
        <f>VLOOKUP($A27,'Facility Detail'!$C:$T,13,FALSE)</f>
        <v>0</v>
      </c>
      <c r="J27" s="87">
        <f>VLOOKUP($A27,'Facility Detail'!$C:$T,14,FALSE)</f>
        <v>0</v>
      </c>
      <c r="K27" s="87">
        <f>VLOOKUP($A27,'Facility Detail'!$C:$T,15,FALSE)</f>
        <v>7063.7063072262026</v>
      </c>
      <c r="L27" s="87">
        <f>VLOOKUP($A27,'Facility Detail'!$C:$T,16,FALSE)</f>
        <v>1670.6933189007532</v>
      </c>
      <c r="M27" s="87">
        <f>VLOOKUP($A27,'Facility Detail'!$C:$T,17,FALSE)</f>
        <v>4569</v>
      </c>
      <c r="N27" s="483">
        <f>VLOOKUP($A27,'Facility Detail'!$C:$T,18,FALSE)</f>
        <v>4421</v>
      </c>
      <c r="O27" s="87">
        <f>VLOOKUP($A27,'Facility Detail'!$C:$U,19,FALSE)</f>
        <v>4145</v>
      </c>
      <c r="Q27" s="86" t="str">
        <f t="shared" si="16"/>
        <v>Bly Solar</v>
      </c>
      <c r="R27" s="86" t="str">
        <f t="shared" si="17"/>
        <v>Solar</v>
      </c>
      <c r="S27" s="87">
        <f>VLOOKUP($A27,'Facility Detail'!$A:$T,9,FALSE)</f>
        <v>0</v>
      </c>
      <c r="T27" s="87">
        <f>VLOOKUP($A27,'Facility Detail'!$A:$T,10,FALSE)</f>
        <v>0</v>
      </c>
      <c r="U27" s="87">
        <f>VLOOKUP($A27,'Facility Detail'!$A:$T,11,FALSE)</f>
        <v>0</v>
      </c>
      <c r="V27" s="87">
        <f>VLOOKUP($A27,'Facility Detail'!$A:$T,12,FALSE)</f>
        <v>0</v>
      </c>
      <c r="W27" s="87">
        <f>VLOOKUP($A27,'Facility Detail'!$A:$T,13,FALSE)</f>
        <v>0</v>
      </c>
      <c r="X27" s="87">
        <f>VLOOKUP($A27,'Facility Detail'!$A:$T,14,FALSE)</f>
        <v>0</v>
      </c>
      <c r="Y27" s="87">
        <f>VLOOKUP($A27,'Facility Detail'!$A:$T,15,FALSE)</f>
        <v>0</v>
      </c>
      <c r="Z27" s="87">
        <f>VLOOKUP($A27,'Facility Detail'!$A:$T,16,FALSE)</f>
        <v>129</v>
      </c>
      <c r="AA27" s="87">
        <f>VLOOKUP($A27,'Facility Detail'!$A:$T,17,FALSE)</f>
        <v>4011.7063072262031</v>
      </c>
      <c r="AB27" s="87">
        <f>VLOOKUP($A27,'Facility Detail'!$A:$T,18,FALSE)</f>
        <v>4593.6933189007532</v>
      </c>
      <c r="AC27" s="87">
        <f>VLOOKUP($A27,'Facility Detail'!$A:$T,19,FALSE)</f>
        <v>4569</v>
      </c>
      <c r="AD27" s="87">
        <f>VLOOKUP($A27,'Facility Detail'!$A:$T,20,FALSE)</f>
        <v>4421</v>
      </c>
      <c r="AE27" s="87">
        <f>VLOOKUP($A27,'Facility Detail'!$A:$U,21,FALSE)</f>
        <v>4145</v>
      </c>
    </row>
    <row r="28" spans="1:31" ht="15" outlineLevel="1">
      <c r="A28" s="86" t="str">
        <f>'Facility Detail'!G13</f>
        <v>Campbell Hill</v>
      </c>
      <c r="B28" s="86" t="str">
        <f xml:space="preserve"> IF( 'Facility Detail'!I13 = "", "", 'Facility Detail'!I13 )</f>
        <v>Wind</v>
      </c>
      <c r="C28" s="87">
        <f>VLOOKUP($A28,'Facility Detail'!$C:$T,7,FALSE)</f>
        <v>0</v>
      </c>
      <c r="D28" s="87">
        <f>VLOOKUP($A28,'Facility Detail'!$C:$T,8,FALSE)</f>
        <v>0</v>
      </c>
      <c r="E28" s="87">
        <f>VLOOKUP($A28,'Facility Detail'!$C:$T,9,FALSE)</f>
        <v>0</v>
      </c>
      <c r="F28" s="87">
        <f>VLOOKUP($A28,'Facility Detail'!$C:$T,10,FALSE)</f>
        <v>0</v>
      </c>
      <c r="G28" s="87">
        <f>VLOOKUP($A28,'Facility Detail'!$C:$T,11,FALSE)</f>
        <v>0</v>
      </c>
      <c r="H28" s="87">
        <f>VLOOKUP($A28,'Facility Detail'!$C:$T,12,FALSE)</f>
        <v>50956</v>
      </c>
      <c r="I28" s="87">
        <f>VLOOKUP($A28,'Facility Detail'!$C:$T,13,FALSE)</f>
        <v>0</v>
      </c>
      <c r="J28" s="87">
        <f>VLOOKUP($A28,'Facility Detail'!$C:$T,14,FALSE)</f>
        <v>49754</v>
      </c>
      <c r="K28" s="87">
        <f>VLOOKUP($A28,'Facility Detail'!$C:$T,15,FALSE)</f>
        <v>11268.704699476382</v>
      </c>
      <c r="L28" s="87">
        <f>VLOOKUP($A28,'Facility Detail'!$C:$T,16,FALSE)</f>
        <v>47865.574571658581</v>
      </c>
      <c r="M28" s="87">
        <f>VLOOKUP($A28,'Facility Detail'!$C:$T,17,FALSE)</f>
        <v>4026</v>
      </c>
      <c r="N28" s="483">
        <f>VLOOKUP($A28,'Facility Detail'!$C:$T,18,FALSE)</f>
        <v>25017</v>
      </c>
      <c r="O28" s="87">
        <f>VLOOKUP($A28,'Facility Detail'!$C:$U,19,FALSE)</f>
        <v>26155</v>
      </c>
      <c r="Q28" s="86" t="str">
        <f t="shared" si="16"/>
        <v>Campbell Hill</v>
      </c>
      <c r="R28" s="86" t="str">
        <f t="shared" si="17"/>
        <v>Wind</v>
      </c>
      <c r="S28" s="87">
        <f>VLOOKUP($A28,'Facility Detail'!$A:$T,9,FALSE)</f>
        <v>0</v>
      </c>
      <c r="T28" s="87">
        <f>VLOOKUP($A28,'Facility Detail'!$A:$T,10,FALSE)</f>
        <v>0</v>
      </c>
      <c r="U28" s="87">
        <f>VLOOKUP($A28,'Facility Detail'!$A:$T,11,FALSE)</f>
        <v>0</v>
      </c>
      <c r="V28" s="87">
        <f>VLOOKUP($A28,'Facility Detail'!$A:$T,12,FALSE)</f>
        <v>0</v>
      </c>
      <c r="W28" s="87">
        <f>VLOOKUP($A28,'Facility Detail'!$A:$T,13,FALSE)</f>
        <v>23680</v>
      </c>
      <c r="X28" s="87">
        <f>VLOOKUP($A28,'Facility Detail'!$A:$T,14,FALSE)</f>
        <v>27276</v>
      </c>
      <c r="Y28" s="87">
        <f>VLOOKUP($A28,'Facility Detail'!$A:$T,15,FALSE)</f>
        <v>25187</v>
      </c>
      <c r="Z28" s="87">
        <f>VLOOKUP($A28,'Facility Detail'!$A:$T,16,FALSE)</f>
        <v>24567</v>
      </c>
      <c r="AA28" s="87">
        <f>VLOOKUP($A28,'Facility Detail'!$A:$T,17,FALSE)</f>
        <v>11268.704699476382</v>
      </c>
      <c r="AB28" s="87">
        <f>VLOOKUP($A28,'Facility Detail'!$A:$T,18,FALSE)</f>
        <v>27865.574571658584</v>
      </c>
      <c r="AC28" s="87">
        <f>VLOOKUP($A28,'Facility Detail'!$A:$T,19,FALSE)</f>
        <v>24026</v>
      </c>
      <c r="AD28" s="87">
        <f>VLOOKUP($A28,'Facility Detail'!$A:$T,20,FALSE)</f>
        <v>25017</v>
      </c>
      <c r="AE28" s="87">
        <f>VLOOKUP($A28,'Facility Detail'!$A:$U,21,FALSE)</f>
        <v>26155</v>
      </c>
    </row>
    <row r="29" spans="1:31" ht="15" outlineLevel="1">
      <c r="A29" s="86" t="str">
        <f>'Facility Detail'!G14</f>
        <v>Cedar Springs Wind I</v>
      </c>
      <c r="B29" s="86" t="str">
        <f xml:space="preserve"> IF( 'Facility Detail'!I14 = "", "", 'Facility Detail'!I14 )</f>
        <v>Wind</v>
      </c>
      <c r="C29" s="87">
        <f>VLOOKUP($A29,'Facility Detail'!$C:$T,7,FALSE)</f>
        <v>0</v>
      </c>
      <c r="D29" s="87">
        <f>VLOOKUP($A29,'Facility Detail'!$C:$T,8,FALSE)</f>
        <v>0</v>
      </c>
      <c r="E29" s="87">
        <f>VLOOKUP($A29,'Facility Detail'!$C:$T,9,FALSE)</f>
        <v>0</v>
      </c>
      <c r="F29" s="87">
        <f>VLOOKUP($A29,'Facility Detail'!$C:$T,10,FALSE)</f>
        <v>0</v>
      </c>
      <c r="G29" s="87">
        <f>VLOOKUP($A29,'Facility Detail'!$C:$T,11,FALSE)</f>
        <v>0</v>
      </c>
      <c r="H29" s="87">
        <f>VLOOKUP($A29,'Facility Detail'!$C:$T,12,FALSE)</f>
        <v>0</v>
      </c>
      <c r="I29" s="87">
        <f>VLOOKUP($A29,'Facility Detail'!$C:$T,13,FALSE)</f>
        <v>0</v>
      </c>
      <c r="J29" s="87">
        <f>VLOOKUP($A29,'Facility Detail'!$C:$T,14,FALSE)</f>
        <v>0</v>
      </c>
      <c r="K29" s="87">
        <f>VLOOKUP($A29,'Facility Detail'!$C:$T,15,FALSE)</f>
        <v>0</v>
      </c>
      <c r="L29" s="87">
        <f>VLOOKUP($A29,'Facility Detail'!$C:$T,16,FALSE)</f>
        <v>20000</v>
      </c>
      <c r="M29" s="87">
        <f>VLOOKUP($A29,'Facility Detail'!$C:$T,17,FALSE)</f>
        <v>40735</v>
      </c>
      <c r="N29" s="483">
        <f>VLOOKUP($A29,'Facility Detail'!$C:$T,18,FALSE)</f>
        <v>64651</v>
      </c>
      <c r="O29" s="87">
        <f>VLOOKUP($A29,'Facility Detail'!$C:$U,19,FALSE)</f>
        <v>60471</v>
      </c>
      <c r="Q29" s="86" t="str">
        <f t="shared" si="16"/>
        <v>Cedar Springs Wind I</v>
      </c>
      <c r="R29" s="86" t="str">
        <f t="shared" si="17"/>
        <v>Wind</v>
      </c>
      <c r="S29" s="87">
        <f>VLOOKUP($A29,'Facility Detail'!$A:$T,9,FALSE)</f>
        <v>0</v>
      </c>
      <c r="T29" s="87">
        <f>VLOOKUP($A29,'Facility Detail'!$A:$T,10,FALSE)</f>
        <v>0</v>
      </c>
      <c r="U29" s="87">
        <f>VLOOKUP($A29,'Facility Detail'!$A:$T,11,FALSE)</f>
        <v>0</v>
      </c>
      <c r="V29" s="87">
        <f>VLOOKUP($A29,'Facility Detail'!$A:$T,12,FALSE)</f>
        <v>0</v>
      </c>
      <c r="W29" s="87">
        <f>VLOOKUP($A29,'Facility Detail'!$A:$T,13,FALSE)</f>
        <v>0</v>
      </c>
      <c r="X29" s="87">
        <f>VLOOKUP($A29,'Facility Detail'!$A:$T,14,FALSE)</f>
        <v>0</v>
      </c>
      <c r="Y29" s="87">
        <f>VLOOKUP($A29,'Facility Detail'!$A:$T,15,FALSE)</f>
        <v>0</v>
      </c>
      <c r="Z29" s="87">
        <f>VLOOKUP($A29,'Facility Detail'!$A:$T,16,FALSE)</f>
        <v>0</v>
      </c>
      <c r="AA29" s="87">
        <f>VLOOKUP($A29,'Facility Detail'!$A:$T,17,FALSE)</f>
        <v>0</v>
      </c>
      <c r="AB29" s="87">
        <f>VLOOKUP($A29,'Facility Detail'!$A:$T,18,FALSE)</f>
        <v>0</v>
      </c>
      <c r="AC29" s="87">
        <f>VLOOKUP($A29,'Facility Detail'!$A:$T,19,FALSE)</f>
        <v>60735</v>
      </c>
      <c r="AD29" s="87">
        <f>VLOOKUP($A29,'Facility Detail'!$A:$T,20,FALSE)</f>
        <v>64651</v>
      </c>
      <c r="AE29" s="87">
        <f>VLOOKUP($A29,'Facility Detail'!$A:$U,21,FALSE)</f>
        <v>60471</v>
      </c>
    </row>
    <row r="30" spans="1:31" ht="15" outlineLevel="1">
      <c r="A30" s="86" t="str">
        <f>'Facility Detail'!G15</f>
        <v>Cedar Springs Wind II</v>
      </c>
      <c r="B30" s="86" t="str">
        <f xml:space="preserve"> IF( 'Facility Detail'!I15 = "", "", 'Facility Detail'!I15 )</f>
        <v>Wind</v>
      </c>
      <c r="C30" s="87">
        <f>VLOOKUP($A30,'Facility Detail'!$C:$T,7,FALSE)</f>
        <v>0</v>
      </c>
      <c r="D30" s="87">
        <f>VLOOKUP($A30,'Facility Detail'!$C:$T,8,FALSE)</f>
        <v>0</v>
      </c>
      <c r="E30" s="87">
        <f>VLOOKUP($A30,'Facility Detail'!$C:$T,9,FALSE)</f>
        <v>0</v>
      </c>
      <c r="F30" s="87">
        <f>VLOOKUP($A30,'Facility Detail'!$C:$T,10,FALSE)</f>
        <v>0</v>
      </c>
      <c r="G30" s="87">
        <f>VLOOKUP($A30,'Facility Detail'!$C:$T,11,FALSE)</f>
        <v>0</v>
      </c>
      <c r="H30" s="87">
        <f>VLOOKUP($A30,'Facility Detail'!$C:$T,12,FALSE)</f>
        <v>0</v>
      </c>
      <c r="I30" s="87">
        <f>VLOOKUP($A30,'Facility Detail'!$C:$T,13,FALSE)</f>
        <v>0</v>
      </c>
      <c r="J30" s="87">
        <f>VLOOKUP($A30,'Facility Detail'!$C:$T,14,FALSE)</f>
        <v>0</v>
      </c>
      <c r="K30" s="87">
        <f>VLOOKUP($A30,'Facility Detail'!$C:$T,15,FALSE)</f>
        <v>0</v>
      </c>
      <c r="L30" s="87">
        <f>VLOOKUP($A30,'Facility Detail'!$C:$T,16,FALSE)</f>
        <v>20000</v>
      </c>
      <c r="M30" s="87">
        <f>VLOOKUP($A30,'Facility Detail'!$C:$T,17,FALSE)</f>
        <v>33403</v>
      </c>
      <c r="N30" s="483">
        <f>VLOOKUP($A30,'Facility Detail'!$C:$T,18,FALSE)</f>
        <v>47520</v>
      </c>
      <c r="O30" s="87">
        <f>VLOOKUP($A30,'Facility Detail'!$C:$U,19,FALSE)</f>
        <v>57755</v>
      </c>
      <c r="Q30" s="86" t="str">
        <f t="shared" si="16"/>
        <v>Cedar Springs Wind II</v>
      </c>
      <c r="R30" s="86" t="str">
        <f t="shared" si="17"/>
        <v>Wind</v>
      </c>
      <c r="S30" s="87">
        <f>VLOOKUP($A30,'Facility Detail'!$A:$T,9,FALSE)</f>
        <v>0</v>
      </c>
      <c r="T30" s="87">
        <f>VLOOKUP($A30,'Facility Detail'!$A:$T,10,FALSE)</f>
        <v>0</v>
      </c>
      <c r="U30" s="87">
        <f>VLOOKUP($A30,'Facility Detail'!$A:$T,11,FALSE)</f>
        <v>0</v>
      </c>
      <c r="V30" s="87">
        <f>VLOOKUP($A30,'Facility Detail'!$A:$T,12,FALSE)</f>
        <v>0</v>
      </c>
      <c r="W30" s="87">
        <f>VLOOKUP($A30,'Facility Detail'!$A:$T,13,FALSE)</f>
        <v>0</v>
      </c>
      <c r="X30" s="87">
        <f>VLOOKUP($A30,'Facility Detail'!$A:$T,14,FALSE)</f>
        <v>0</v>
      </c>
      <c r="Y30" s="87">
        <f>VLOOKUP($A30,'Facility Detail'!$A:$T,15,FALSE)</f>
        <v>0</v>
      </c>
      <c r="Z30" s="87">
        <f>VLOOKUP($A30,'Facility Detail'!$A:$T,16,FALSE)</f>
        <v>0</v>
      </c>
      <c r="AA30" s="87">
        <f>VLOOKUP($A30,'Facility Detail'!$A:$T,17,FALSE)</f>
        <v>0</v>
      </c>
      <c r="AB30" s="87">
        <f>VLOOKUP($A30,'Facility Detail'!$A:$T,18,FALSE)</f>
        <v>0</v>
      </c>
      <c r="AC30" s="87">
        <f>VLOOKUP($A30,'Facility Detail'!$A:$T,19,FALSE)</f>
        <v>53403</v>
      </c>
      <c r="AD30" s="87">
        <f>VLOOKUP($A30,'Facility Detail'!$A:$T,20,FALSE)</f>
        <v>47520</v>
      </c>
      <c r="AE30" s="87">
        <f>VLOOKUP($A30,'Facility Detail'!$A:$U,21,FALSE)</f>
        <v>57755</v>
      </c>
    </row>
    <row r="31" spans="1:31" ht="15" outlineLevel="1">
      <c r="A31" s="86" t="str">
        <f>'Facility Detail'!G16</f>
        <v>Cedar Springs Wind III</v>
      </c>
      <c r="B31" s="86" t="str">
        <f xml:space="preserve"> IF( 'Facility Detail'!I16 = "", "", 'Facility Detail'!I16 )</f>
        <v>Wind</v>
      </c>
      <c r="C31" s="87">
        <f>VLOOKUP($A31,'Facility Detail'!$C:$T,7,FALSE)</f>
        <v>0</v>
      </c>
      <c r="D31" s="87">
        <f>VLOOKUP($A31,'Facility Detail'!$C:$T,8,FALSE)</f>
        <v>0</v>
      </c>
      <c r="E31" s="87">
        <f>VLOOKUP($A31,'Facility Detail'!$C:$T,9,FALSE)</f>
        <v>0</v>
      </c>
      <c r="F31" s="87">
        <f>VLOOKUP($A31,'Facility Detail'!$C:$T,10,FALSE)</f>
        <v>0</v>
      </c>
      <c r="G31" s="87">
        <f>VLOOKUP($A31,'Facility Detail'!$C:$T,11,FALSE)</f>
        <v>0</v>
      </c>
      <c r="H31" s="87">
        <f>VLOOKUP($A31,'Facility Detail'!$C:$T,12,FALSE)</f>
        <v>0</v>
      </c>
      <c r="I31" s="87">
        <f>VLOOKUP($A31,'Facility Detail'!$C:$T,13,FALSE)</f>
        <v>0</v>
      </c>
      <c r="J31" s="87">
        <f>VLOOKUP($A31,'Facility Detail'!$C:$T,14,FALSE)</f>
        <v>0</v>
      </c>
      <c r="K31" s="87">
        <f>VLOOKUP($A31,'Facility Detail'!$C:$T,15,FALSE)</f>
        <v>0</v>
      </c>
      <c r="L31" s="87">
        <f>VLOOKUP($A31,'Facility Detail'!$C:$T,16,FALSE)</f>
        <v>0</v>
      </c>
      <c r="M31" s="87">
        <f>VLOOKUP($A31,'Facility Detail'!$C:$T,17,FALSE)</f>
        <v>42081</v>
      </c>
      <c r="N31" s="483">
        <f>VLOOKUP($A31,'Facility Detail'!$C:$T,18,FALSE)</f>
        <v>44738</v>
      </c>
      <c r="O31" s="87">
        <f>VLOOKUP($A31,'Facility Detail'!$C:$U,19,FALSE)</f>
        <v>40122</v>
      </c>
      <c r="Q31" s="86" t="str">
        <f t="shared" si="16"/>
        <v>Cedar Springs Wind III</v>
      </c>
      <c r="R31" s="86" t="str">
        <f t="shared" si="17"/>
        <v>Wind</v>
      </c>
      <c r="S31" s="87">
        <f>VLOOKUP($A31,'Facility Detail'!$A:$T,9,FALSE)</f>
        <v>0</v>
      </c>
      <c r="T31" s="87">
        <f>VLOOKUP($A31,'Facility Detail'!$A:$T,10,FALSE)</f>
        <v>0</v>
      </c>
      <c r="U31" s="87">
        <f>VLOOKUP($A31,'Facility Detail'!$A:$T,11,FALSE)</f>
        <v>0</v>
      </c>
      <c r="V31" s="87">
        <f>VLOOKUP($A31,'Facility Detail'!$A:$T,12,FALSE)</f>
        <v>0</v>
      </c>
      <c r="W31" s="87">
        <f>VLOOKUP($A31,'Facility Detail'!$A:$T,13,FALSE)</f>
        <v>0</v>
      </c>
      <c r="X31" s="87">
        <f>VLOOKUP($A31,'Facility Detail'!$A:$T,14,FALSE)</f>
        <v>0</v>
      </c>
      <c r="Y31" s="87">
        <f>VLOOKUP($A31,'Facility Detail'!$A:$T,15,FALSE)</f>
        <v>0</v>
      </c>
      <c r="Z31" s="87">
        <f>VLOOKUP($A31,'Facility Detail'!$A:$T,16,FALSE)</f>
        <v>0</v>
      </c>
      <c r="AA31" s="87">
        <f>VLOOKUP($A31,'Facility Detail'!$A:$T,17,FALSE)</f>
        <v>0</v>
      </c>
      <c r="AB31" s="87">
        <f>VLOOKUP($A31,'Facility Detail'!$A:$T,18,FALSE)</f>
        <v>0</v>
      </c>
      <c r="AC31" s="87">
        <f>VLOOKUP($A31,'Facility Detail'!$A:$T,19,FALSE)</f>
        <v>42081</v>
      </c>
      <c r="AD31" s="87">
        <f>VLOOKUP($A31,'Facility Detail'!$A:$T,20,FALSE)</f>
        <v>44738</v>
      </c>
      <c r="AE31" s="87">
        <f>VLOOKUP($A31,'Facility Detail'!$A:$U,21,FALSE)</f>
        <v>40122</v>
      </c>
    </row>
    <row r="32" spans="1:31" ht="15" outlineLevel="1">
      <c r="A32" s="86" t="str">
        <f>'Facility Detail'!G17</f>
        <v>Condon Wind Power Project - Condon Wind Power Project - REC Only</v>
      </c>
      <c r="B32" s="86" t="str">
        <f xml:space="preserve"> IF( 'Facility Detail'!I17 = "", "", 'Facility Detail'!I17 )</f>
        <v>Wind</v>
      </c>
      <c r="C32" s="87">
        <f>VLOOKUP($A32,'Facility Detail'!$C:$T,7,FALSE)</f>
        <v>0</v>
      </c>
      <c r="D32" s="87">
        <f>VLOOKUP($A32,'Facility Detail'!$C:$T,8,FALSE)</f>
        <v>0</v>
      </c>
      <c r="E32" s="87">
        <f>VLOOKUP($A32,'Facility Detail'!$C:$T,9,FALSE)</f>
        <v>0</v>
      </c>
      <c r="F32" s="87">
        <f>VLOOKUP($A32,'Facility Detail'!$C:$T,10,FALSE)</f>
        <v>0</v>
      </c>
      <c r="G32" s="87">
        <f>VLOOKUP($A32,'Facility Detail'!$C:$T,11,FALSE)</f>
        <v>0</v>
      </c>
      <c r="H32" s="87">
        <f>VLOOKUP($A32,'Facility Detail'!$C:$T,12,FALSE)</f>
        <v>0</v>
      </c>
      <c r="I32" s="87">
        <f>VLOOKUP($A32,'Facility Detail'!$C:$T,13,FALSE)</f>
        <v>8286</v>
      </c>
      <c r="J32" s="87">
        <f>VLOOKUP($A32,'Facility Detail'!$C:$T,14,FALSE)</f>
        <v>0</v>
      </c>
      <c r="K32" s="87">
        <f>VLOOKUP($A32,'Facility Detail'!$C:$T,15,FALSE)</f>
        <v>0</v>
      </c>
      <c r="L32" s="87">
        <f>VLOOKUP($A32,'Facility Detail'!$C:$T,16,FALSE)</f>
        <v>0</v>
      </c>
      <c r="M32" s="87">
        <f>VLOOKUP($A32,'Facility Detail'!$C:$T,17,FALSE)</f>
        <v>0</v>
      </c>
      <c r="N32" s="483">
        <f>VLOOKUP($A32,'Facility Detail'!$C:$T,18,FALSE)</f>
        <v>0</v>
      </c>
      <c r="O32" s="87">
        <f>VLOOKUP($A32,'Facility Detail'!$C:$U,19,FALSE)</f>
        <v>0</v>
      </c>
      <c r="Q32" s="86" t="str">
        <f t="shared" si="16"/>
        <v>Condon Wind Power Project - Condon Wind Power Project - REC Only</v>
      </c>
      <c r="R32" s="86" t="str">
        <f t="shared" si="17"/>
        <v>Wind</v>
      </c>
      <c r="S32" s="87">
        <f>VLOOKUP($A32,'Facility Detail'!$A:$T,9,FALSE)</f>
        <v>0</v>
      </c>
      <c r="T32" s="87">
        <f>VLOOKUP($A32,'Facility Detail'!$A:$T,10,FALSE)</f>
        <v>0</v>
      </c>
      <c r="U32" s="87">
        <f>VLOOKUP($A32,'Facility Detail'!$A:$T,11,FALSE)</f>
        <v>0</v>
      </c>
      <c r="V32" s="87">
        <f>VLOOKUP($A32,'Facility Detail'!$A:$T,12,FALSE)</f>
        <v>0</v>
      </c>
      <c r="W32" s="87">
        <f>VLOOKUP($A32,'Facility Detail'!$A:$T,13,FALSE)</f>
        <v>0</v>
      </c>
      <c r="X32" s="87">
        <f>VLOOKUP($A32,'Facility Detail'!$A:$T,14,FALSE)</f>
        <v>8286</v>
      </c>
      <c r="Y32" s="87">
        <f>VLOOKUP($A32,'Facility Detail'!$A:$T,15,FALSE)</f>
        <v>0</v>
      </c>
      <c r="Z32" s="87">
        <f>VLOOKUP($A32,'Facility Detail'!$A:$T,16,FALSE)</f>
        <v>0</v>
      </c>
      <c r="AA32" s="87">
        <f>VLOOKUP($A32,'Facility Detail'!$A:$T,17,FALSE)</f>
        <v>0</v>
      </c>
      <c r="AB32" s="87">
        <f>VLOOKUP($A32,'Facility Detail'!$A:$T,18,FALSE)</f>
        <v>0</v>
      </c>
      <c r="AC32" s="87">
        <f>VLOOKUP($A32,'Facility Detail'!$A:$T,19,FALSE)</f>
        <v>0</v>
      </c>
      <c r="AD32" s="87">
        <f>VLOOKUP($A32,'Facility Detail'!$A:$T,20,FALSE)</f>
        <v>0</v>
      </c>
      <c r="AE32" s="87">
        <f>VLOOKUP($A32,'Facility Detail'!$A:$U,21,FALSE)</f>
        <v>0</v>
      </c>
    </row>
    <row r="33" spans="1:31" ht="15" outlineLevel="1">
      <c r="A33" s="86" t="str">
        <f>'Facility Detail'!G18</f>
        <v>Condon Wind Power Project - Condon Phase II - REC Only</v>
      </c>
      <c r="B33" s="86" t="str">
        <f xml:space="preserve"> IF( 'Facility Detail'!I18 = "", "", 'Facility Detail'!I18 )</f>
        <v>Wind</v>
      </c>
      <c r="C33" s="87">
        <f>VLOOKUP($A33,'Facility Detail'!$C:$T,7,FALSE)</f>
        <v>0</v>
      </c>
      <c r="D33" s="87">
        <f>VLOOKUP($A33,'Facility Detail'!$C:$T,8,FALSE)</f>
        <v>0</v>
      </c>
      <c r="E33" s="87">
        <f>VLOOKUP($A33,'Facility Detail'!$C:$T,9,FALSE)</f>
        <v>0</v>
      </c>
      <c r="F33" s="87">
        <f>VLOOKUP($A33,'Facility Detail'!$C:$T,10,FALSE)</f>
        <v>0</v>
      </c>
      <c r="G33" s="87">
        <f>VLOOKUP($A33,'Facility Detail'!$C:$T,11,FALSE)</f>
        <v>0</v>
      </c>
      <c r="H33" s="87">
        <f>VLOOKUP($A33,'Facility Detail'!$C:$T,12,FALSE)</f>
        <v>0</v>
      </c>
      <c r="I33" s="87">
        <f>VLOOKUP($A33,'Facility Detail'!$C:$T,13,FALSE)</f>
        <v>7725</v>
      </c>
      <c r="J33" s="87">
        <f>VLOOKUP($A33,'Facility Detail'!$C:$T,14,FALSE)</f>
        <v>0</v>
      </c>
      <c r="K33" s="87">
        <f>VLOOKUP($A33,'Facility Detail'!$C:$T,15,FALSE)</f>
        <v>0</v>
      </c>
      <c r="L33" s="87">
        <f>VLOOKUP($A33,'Facility Detail'!$C:$T,16,FALSE)</f>
        <v>0</v>
      </c>
      <c r="M33" s="87">
        <f>VLOOKUP($A33,'Facility Detail'!$C:$T,17,FALSE)</f>
        <v>0</v>
      </c>
      <c r="N33" s="483">
        <f>VLOOKUP($A33,'Facility Detail'!$C:$T,18,FALSE)</f>
        <v>0</v>
      </c>
      <c r="O33" s="87">
        <f>VLOOKUP($A33,'Facility Detail'!$C:$U,19,FALSE)</f>
        <v>0</v>
      </c>
      <c r="Q33" s="86" t="str">
        <f t="shared" si="16"/>
        <v>Condon Wind Power Project - Condon Phase II - REC Only</v>
      </c>
      <c r="R33" s="86" t="str">
        <f t="shared" si="17"/>
        <v>Wind</v>
      </c>
      <c r="S33" s="87">
        <f>VLOOKUP($A33,'Facility Detail'!$A:$T,9,FALSE)</f>
        <v>0</v>
      </c>
      <c r="T33" s="87">
        <f>VLOOKUP($A33,'Facility Detail'!$A:$T,10,FALSE)</f>
        <v>0</v>
      </c>
      <c r="U33" s="87">
        <f>VLOOKUP($A33,'Facility Detail'!$A:$T,11,FALSE)</f>
        <v>0</v>
      </c>
      <c r="V33" s="87">
        <f>VLOOKUP($A33,'Facility Detail'!$A:$T,12,FALSE)</f>
        <v>0</v>
      </c>
      <c r="W33" s="87">
        <f>VLOOKUP($A33,'Facility Detail'!$A:$T,13,FALSE)</f>
        <v>0</v>
      </c>
      <c r="X33" s="87">
        <f>VLOOKUP($A33,'Facility Detail'!$A:$T,14,FALSE)</f>
        <v>7725</v>
      </c>
      <c r="Y33" s="87">
        <f>VLOOKUP($A33,'Facility Detail'!$A:$T,15,FALSE)</f>
        <v>0</v>
      </c>
      <c r="Z33" s="87">
        <f>VLOOKUP($A33,'Facility Detail'!$A:$T,16,FALSE)</f>
        <v>0</v>
      </c>
      <c r="AA33" s="87">
        <f>VLOOKUP($A33,'Facility Detail'!$A:$T,17,FALSE)</f>
        <v>0</v>
      </c>
      <c r="AB33" s="87">
        <f>VLOOKUP($A33,'Facility Detail'!$A:$T,18,FALSE)</f>
        <v>0</v>
      </c>
      <c r="AC33" s="87">
        <f>VLOOKUP($A33,'Facility Detail'!$A:$T,19,FALSE)</f>
        <v>0</v>
      </c>
      <c r="AD33" s="87">
        <f>VLOOKUP($A33,'Facility Detail'!$A:$T,20,FALSE)</f>
        <v>0</v>
      </c>
      <c r="AE33" s="87">
        <f>VLOOKUP($A33,'Facility Detail'!$A:$U,21,FALSE)</f>
        <v>0</v>
      </c>
    </row>
    <row r="34" spans="1:31" ht="15" outlineLevel="1">
      <c r="A34" s="86" t="str">
        <f>'Facility Detail'!G19</f>
        <v>Dunlap I</v>
      </c>
      <c r="B34" s="86" t="str">
        <f xml:space="preserve"> IF( 'Facility Detail'!I19 = "", "", 'Facility Detail'!I19 )</f>
        <v>Wind</v>
      </c>
      <c r="C34" s="87">
        <f>VLOOKUP($A34,'Facility Detail'!$C:$T,7,FALSE)</f>
        <v>0</v>
      </c>
      <c r="D34" s="87">
        <f>VLOOKUP($A34,'Facility Detail'!$C:$T,8,FALSE)</f>
        <v>0</v>
      </c>
      <c r="E34" s="87">
        <f>VLOOKUP($A34,'Facility Detail'!$C:$T,9,FALSE)</f>
        <v>0</v>
      </c>
      <c r="F34" s="87">
        <f>VLOOKUP($A34,'Facility Detail'!$C:$T,10,FALSE)</f>
        <v>0</v>
      </c>
      <c r="G34" s="87">
        <f>VLOOKUP($A34,'Facility Detail'!$C:$T,11,FALSE)</f>
        <v>0</v>
      </c>
      <c r="H34" s="87">
        <f>VLOOKUP($A34,'Facility Detail'!$C:$T,12,FALSE)</f>
        <v>59100</v>
      </c>
      <c r="I34" s="87">
        <f>VLOOKUP($A34,'Facility Detail'!$C:$T,13,FALSE)</f>
        <v>899</v>
      </c>
      <c r="J34" s="87">
        <f>VLOOKUP($A34,'Facility Detail'!$C:$T,14,FALSE)</f>
        <v>55648</v>
      </c>
      <c r="K34" s="87">
        <f>VLOOKUP($A34,'Facility Detail'!$C:$T,15,FALSE)</f>
        <v>13999.872527158042</v>
      </c>
      <c r="L34" s="87">
        <f>VLOOKUP($A34,'Facility Detail'!$C:$T,16,FALSE)</f>
        <v>33884.41580086165</v>
      </c>
      <c r="M34" s="87">
        <f>VLOOKUP($A34,'Facility Detail'!$C:$T,17,FALSE)</f>
        <v>34671</v>
      </c>
      <c r="N34" s="483">
        <f>VLOOKUP($A34,'Facility Detail'!$C:$T,18,FALSE)</f>
        <v>36998</v>
      </c>
      <c r="O34" s="87">
        <f>VLOOKUP($A34,'Facility Detail'!$C:$U,19,FALSE)</f>
        <v>32344</v>
      </c>
      <c r="Q34" s="86" t="str">
        <f t="shared" si="16"/>
        <v>Dunlap I</v>
      </c>
      <c r="R34" s="86" t="str">
        <f t="shared" si="17"/>
        <v>Wind</v>
      </c>
      <c r="S34" s="87">
        <f>VLOOKUP($A34,'Facility Detail'!$A:$T,9,FALSE)</f>
        <v>0</v>
      </c>
      <c r="T34" s="87">
        <f>VLOOKUP($A34,'Facility Detail'!$A:$T,10,FALSE)</f>
        <v>0</v>
      </c>
      <c r="U34" s="87">
        <f>VLOOKUP($A34,'Facility Detail'!$A:$T,11,FALSE)</f>
        <v>0</v>
      </c>
      <c r="V34" s="87">
        <f>VLOOKUP($A34,'Facility Detail'!$A:$T,12,FALSE)</f>
        <v>0</v>
      </c>
      <c r="W34" s="87">
        <f>VLOOKUP($A34,'Facility Detail'!$A:$T,13,FALSE)</f>
        <v>27359</v>
      </c>
      <c r="X34" s="87">
        <f>VLOOKUP($A34,'Facility Detail'!$A:$T,14,FALSE)</f>
        <v>31741</v>
      </c>
      <c r="Y34" s="87">
        <f>VLOOKUP($A34,'Facility Detail'!$A:$T,15,FALSE)</f>
        <v>25412</v>
      </c>
      <c r="Z34" s="87">
        <f>VLOOKUP($A34,'Facility Detail'!$A:$T,16,FALSE)</f>
        <v>31135</v>
      </c>
      <c r="AA34" s="87">
        <f>VLOOKUP($A34,'Facility Detail'!$A:$T,17,FALSE)</f>
        <v>13999.872527158042</v>
      </c>
      <c r="AB34" s="87">
        <f>VLOOKUP($A34,'Facility Detail'!$A:$T,18,FALSE)</f>
        <v>33884.41580086165</v>
      </c>
      <c r="AC34" s="87">
        <f>VLOOKUP($A34,'Facility Detail'!$A:$T,19,FALSE)</f>
        <v>34671</v>
      </c>
      <c r="AD34" s="87">
        <f>VLOOKUP($A34,'Facility Detail'!$A:$T,20,FALSE)</f>
        <v>36998</v>
      </c>
      <c r="AE34" s="87">
        <f>VLOOKUP($A34,'Facility Detail'!$A:$U,21,FALSE)</f>
        <v>32344</v>
      </c>
    </row>
    <row r="35" spans="1:31" ht="15" outlineLevel="1">
      <c r="A35" s="86" t="str">
        <f>'Facility Detail'!G20</f>
        <v>Ekola Flats Wind</v>
      </c>
      <c r="B35" s="86" t="str">
        <f xml:space="preserve"> IF( 'Facility Detail'!I20 = "", "", 'Facility Detail'!I20 )</f>
        <v>Wind</v>
      </c>
      <c r="C35" s="87">
        <f>VLOOKUP($A35,'Facility Detail'!$C:$T,7,FALSE)</f>
        <v>0</v>
      </c>
      <c r="D35" s="87">
        <f>VLOOKUP($A35,'Facility Detail'!$C:$T,8,FALSE)</f>
        <v>0</v>
      </c>
      <c r="E35" s="87">
        <f>VLOOKUP($A35,'Facility Detail'!$C:$T,9,FALSE)</f>
        <v>0</v>
      </c>
      <c r="F35" s="87">
        <f>VLOOKUP($A35,'Facility Detail'!$C:$T,10,FALSE)</f>
        <v>0</v>
      </c>
      <c r="G35" s="87">
        <f>VLOOKUP($A35,'Facility Detail'!$C:$T,11,FALSE)</f>
        <v>0</v>
      </c>
      <c r="H35" s="87">
        <f>VLOOKUP($A35,'Facility Detail'!$C:$T,12,FALSE)</f>
        <v>0</v>
      </c>
      <c r="I35" s="87">
        <f>VLOOKUP($A35,'Facility Detail'!$C:$T,13,FALSE)</f>
        <v>0</v>
      </c>
      <c r="J35" s="87">
        <f>VLOOKUP($A35,'Facility Detail'!$C:$T,14,FALSE)</f>
        <v>0</v>
      </c>
      <c r="K35" s="87">
        <f>VLOOKUP($A35,'Facility Detail'!$C:$T,15,FALSE)</f>
        <v>0</v>
      </c>
      <c r="L35" s="87">
        <f>VLOOKUP($A35,'Facility Detail'!$C:$T,16,FALSE)</f>
        <v>0</v>
      </c>
      <c r="M35" s="87">
        <f>VLOOKUP($A35,'Facility Detail'!$C:$T,17,FALSE)</f>
        <v>43678</v>
      </c>
      <c r="N35" s="483">
        <f>VLOOKUP($A35,'Facility Detail'!$C:$T,18,FALSE)</f>
        <v>78492</v>
      </c>
      <c r="O35" s="87">
        <f>VLOOKUP($A35,'Facility Detail'!$C:$U,19,FALSE)</f>
        <v>63140</v>
      </c>
      <c r="Q35" s="86" t="str">
        <f t="shared" si="16"/>
        <v>Ekola Flats Wind</v>
      </c>
      <c r="R35" s="86" t="str">
        <f t="shared" si="17"/>
        <v>Wind</v>
      </c>
      <c r="S35" s="87">
        <f>VLOOKUP($A35,'Facility Detail'!$A:$T,9,FALSE)</f>
        <v>0</v>
      </c>
      <c r="T35" s="87">
        <f>VLOOKUP($A35,'Facility Detail'!$A:$T,10,FALSE)</f>
        <v>0</v>
      </c>
      <c r="U35" s="87">
        <f>VLOOKUP($A35,'Facility Detail'!$A:$T,11,FALSE)</f>
        <v>0</v>
      </c>
      <c r="V35" s="87">
        <f>VLOOKUP($A35,'Facility Detail'!$A:$T,12,FALSE)</f>
        <v>0</v>
      </c>
      <c r="W35" s="87">
        <f>VLOOKUP($A35,'Facility Detail'!$A:$T,13,FALSE)</f>
        <v>0</v>
      </c>
      <c r="X35" s="87">
        <f>VLOOKUP($A35,'Facility Detail'!$A:$T,14,FALSE)</f>
        <v>0</v>
      </c>
      <c r="Y35" s="87">
        <f>VLOOKUP($A35,'Facility Detail'!$A:$T,15,FALSE)</f>
        <v>0</v>
      </c>
      <c r="Z35" s="87">
        <f>VLOOKUP($A35,'Facility Detail'!$A:$T,16,FALSE)</f>
        <v>0</v>
      </c>
      <c r="AA35" s="87">
        <f>VLOOKUP($A35,'Facility Detail'!$A:$T,17,FALSE)</f>
        <v>0</v>
      </c>
      <c r="AB35" s="87">
        <f>VLOOKUP($A35,'Facility Detail'!$A:$T,18,FALSE)</f>
        <v>0</v>
      </c>
      <c r="AC35" s="87">
        <f>VLOOKUP($A35,'Facility Detail'!$A:$T,19,FALSE)</f>
        <v>58729</v>
      </c>
      <c r="AD35" s="87">
        <f>VLOOKUP($A35,'Facility Detail'!$A:$T,20,FALSE)</f>
        <v>63441</v>
      </c>
      <c r="AE35" s="87">
        <f>VLOOKUP($A35,'Facility Detail'!$A:$U,21,FALSE)</f>
        <v>63140</v>
      </c>
    </row>
    <row r="36" spans="1:31" ht="15" outlineLevel="1">
      <c r="A36" s="86" t="str">
        <f>'Facility Detail'!G21</f>
        <v>Elbe Solar</v>
      </c>
      <c r="B36" s="86" t="str">
        <f xml:space="preserve"> IF( 'Facility Detail'!I21 = "", "", 'Facility Detail'!I21 )</f>
        <v>Solar</v>
      </c>
      <c r="C36" s="87">
        <f>VLOOKUP($A36,'Facility Detail'!$C:$T,7,FALSE)</f>
        <v>0</v>
      </c>
      <c r="D36" s="87">
        <f>VLOOKUP($A36,'Facility Detail'!$C:$T,8,FALSE)</f>
        <v>0</v>
      </c>
      <c r="E36" s="87">
        <f>VLOOKUP($A36,'Facility Detail'!$C:$T,9,FALSE)</f>
        <v>0</v>
      </c>
      <c r="F36" s="87">
        <f>VLOOKUP($A36,'Facility Detail'!$C:$T,10,FALSE)</f>
        <v>0</v>
      </c>
      <c r="G36" s="87">
        <f>VLOOKUP($A36,'Facility Detail'!$C:$T,11,FALSE)</f>
        <v>0</v>
      </c>
      <c r="H36" s="87">
        <f>VLOOKUP($A36,'Facility Detail'!$C:$T,12,FALSE)</f>
        <v>0</v>
      </c>
      <c r="I36" s="87">
        <f>VLOOKUP($A36,'Facility Detail'!$C:$T,13,FALSE)</f>
        <v>0</v>
      </c>
      <c r="J36" s="87">
        <f>VLOOKUP($A36,'Facility Detail'!$C:$T,14,FALSE)</f>
        <v>0</v>
      </c>
      <c r="K36" s="87">
        <f>VLOOKUP($A36,'Facility Detail'!$C:$T,15,FALSE)</f>
        <v>8625.2065323271891</v>
      </c>
      <c r="L36" s="87">
        <f>VLOOKUP($A36,'Facility Detail'!$C:$T,16,FALSE)</f>
        <v>1761.8840444896341</v>
      </c>
      <c r="M36" s="87">
        <f>VLOOKUP($A36,'Facility Detail'!$C:$T,17,FALSE)</f>
        <v>4978</v>
      </c>
      <c r="N36" s="483">
        <f>VLOOKUP($A36,'Facility Detail'!$C:$T,18,FALSE)</f>
        <v>4898</v>
      </c>
      <c r="O36" s="87">
        <f>VLOOKUP($A36,'Facility Detail'!$C:$U,19,FALSE)</f>
        <v>4346</v>
      </c>
      <c r="Q36" s="86" t="str">
        <f t="shared" si="16"/>
        <v>Elbe Solar</v>
      </c>
      <c r="R36" s="86" t="str">
        <f t="shared" si="17"/>
        <v>Solar</v>
      </c>
      <c r="S36" s="87">
        <f>VLOOKUP($A36,'Facility Detail'!$A:$T,9,FALSE)</f>
        <v>0</v>
      </c>
      <c r="T36" s="87">
        <f>VLOOKUP($A36,'Facility Detail'!$A:$T,10,FALSE)</f>
        <v>0</v>
      </c>
      <c r="U36" s="87">
        <f>VLOOKUP($A36,'Facility Detail'!$A:$T,11,FALSE)</f>
        <v>0</v>
      </c>
      <c r="V36" s="87">
        <f>VLOOKUP($A36,'Facility Detail'!$A:$T,12,FALSE)</f>
        <v>0</v>
      </c>
      <c r="W36" s="87">
        <f>VLOOKUP($A36,'Facility Detail'!$A:$T,13,FALSE)</f>
        <v>0</v>
      </c>
      <c r="X36" s="87">
        <f>VLOOKUP($A36,'Facility Detail'!$A:$T,14,FALSE)</f>
        <v>0</v>
      </c>
      <c r="Y36" s="87">
        <f>VLOOKUP($A36,'Facility Detail'!$A:$T,15,FALSE)</f>
        <v>0</v>
      </c>
      <c r="Z36" s="87">
        <f>VLOOKUP($A36,'Facility Detail'!$A:$T,16,FALSE)</f>
        <v>648</v>
      </c>
      <c r="AA36" s="87">
        <f>VLOOKUP($A36,'Facility Detail'!$A:$T,17,FALSE)</f>
        <v>4613.2065323271891</v>
      </c>
      <c r="AB36" s="87">
        <f>VLOOKUP($A36,'Facility Detail'!$A:$T,18,FALSE)</f>
        <v>5125.8840444896341</v>
      </c>
      <c r="AC36" s="87">
        <f>VLOOKUP($A36,'Facility Detail'!$A:$T,19,FALSE)</f>
        <v>4978</v>
      </c>
      <c r="AD36" s="87">
        <f>VLOOKUP($A36,'Facility Detail'!$A:$T,20,FALSE)</f>
        <v>4898</v>
      </c>
      <c r="AE36" s="87">
        <f>VLOOKUP($A36,'Facility Detail'!$A:$U,21,FALSE)</f>
        <v>4346</v>
      </c>
    </row>
    <row r="37" spans="1:31" ht="15" outlineLevel="1">
      <c r="A37" s="86" t="str">
        <f>'Facility Detail'!G22</f>
        <v>Elkhorn Valley Wind - REC Only</v>
      </c>
      <c r="B37" s="86" t="str">
        <f xml:space="preserve"> IF( 'Facility Detail'!I22 = "", "", 'Facility Detail'!I22 )</f>
        <v>Wind</v>
      </c>
      <c r="C37" s="87">
        <f>VLOOKUP($A37,'Facility Detail'!$C:$T,7,FALSE)</f>
        <v>0</v>
      </c>
      <c r="D37" s="87">
        <f>VLOOKUP($A37,'Facility Detail'!$C:$T,8,FALSE)</f>
        <v>0</v>
      </c>
      <c r="E37" s="87">
        <f>VLOOKUP($A37,'Facility Detail'!$C:$T,9,FALSE)</f>
        <v>0</v>
      </c>
      <c r="F37" s="87">
        <f>VLOOKUP($A37,'Facility Detail'!$C:$T,10,FALSE)</f>
        <v>0</v>
      </c>
      <c r="G37" s="87">
        <f>VLOOKUP($A37,'Facility Detail'!$C:$T,11,FALSE)</f>
        <v>0</v>
      </c>
      <c r="H37" s="87">
        <f>VLOOKUP($A37,'Facility Detail'!$C:$T,12,FALSE)</f>
        <v>4468</v>
      </c>
      <c r="I37" s="87">
        <f>VLOOKUP($A37,'Facility Detail'!$C:$T,13,FALSE)</f>
        <v>0</v>
      </c>
      <c r="J37" s="87">
        <f>VLOOKUP($A37,'Facility Detail'!$C:$T,14,FALSE)</f>
        <v>0</v>
      </c>
      <c r="K37" s="87">
        <f>VLOOKUP($A37,'Facility Detail'!$C:$T,15,FALSE)</f>
        <v>0</v>
      </c>
      <c r="L37" s="87">
        <f>VLOOKUP($A37,'Facility Detail'!$C:$T,16,FALSE)</f>
        <v>0</v>
      </c>
      <c r="M37" s="87">
        <f>VLOOKUP($A37,'Facility Detail'!$C:$T,17,FALSE)</f>
        <v>0</v>
      </c>
      <c r="N37" s="483">
        <f>VLOOKUP($A37,'Facility Detail'!$C:$T,18,FALSE)</f>
        <v>0</v>
      </c>
      <c r="O37" s="87">
        <f>VLOOKUP($A37,'Facility Detail'!$C:$U,19,FALSE)</f>
        <v>0</v>
      </c>
      <c r="Q37" s="86" t="str">
        <f t="shared" si="16"/>
        <v>Elkhorn Valley Wind - REC Only</v>
      </c>
      <c r="R37" s="86" t="str">
        <f t="shared" si="17"/>
        <v>Wind</v>
      </c>
      <c r="S37" s="87">
        <f>VLOOKUP($A37,'Facility Detail'!$A:$T,9,FALSE)</f>
        <v>0</v>
      </c>
      <c r="T37" s="87">
        <f>VLOOKUP($A37,'Facility Detail'!$A:$T,10,FALSE)</f>
        <v>0</v>
      </c>
      <c r="U37" s="87">
        <f>VLOOKUP($A37,'Facility Detail'!$A:$T,11,FALSE)</f>
        <v>0</v>
      </c>
      <c r="V37" s="87">
        <f>VLOOKUP($A37,'Facility Detail'!$A:$T,12,FALSE)</f>
        <v>0</v>
      </c>
      <c r="W37" s="87">
        <f>VLOOKUP($A37,'Facility Detail'!$A:$T,13,FALSE)</f>
        <v>4468</v>
      </c>
      <c r="X37" s="87">
        <f>VLOOKUP($A37,'Facility Detail'!$A:$T,14,FALSE)</f>
        <v>0</v>
      </c>
      <c r="Y37" s="87">
        <f>VLOOKUP($A37,'Facility Detail'!$A:$T,15,FALSE)</f>
        <v>0</v>
      </c>
      <c r="Z37" s="87">
        <f>VLOOKUP($A37,'Facility Detail'!$A:$T,16,FALSE)</f>
        <v>0</v>
      </c>
      <c r="AA37" s="87">
        <f>VLOOKUP($A37,'Facility Detail'!$A:$T,17,FALSE)</f>
        <v>0</v>
      </c>
      <c r="AB37" s="87">
        <f>VLOOKUP($A37,'Facility Detail'!$A:$T,18,FALSE)</f>
        <v>0</v>
      </c>
      <c r="AC37" s="87">
        <f>VLOOKUP($A37,'Facility Detail'!$A:$T,19,FALSE)</f>
        <v>0</v>
      </c>
      <c r="AD37" s="87">
        <f>VLOOKUP($A37,'Facility Detail'!$A:$T,20,FALSE)</f>
        <v>0</v>
      </c>
      <c r="AE37" s="87">
        <f>VLOOKUP($A37,'Facility Detail'!$A:$U,21,FALSE)</f>
        <v>0</v>
      </c>
    </row>
    <row r="38" spans="1:31" ht="15" outlineLevel="1">
      <c r="A38" s="86" t="str">
        <f>'Facility Detail'!G23</f>
        <v>Enterprise</v>
      </c>
      <c r="B38" s="86" t="str">
        <f xml:space="preserve"> IF( 'Facility Detail'!I23 = "", "", 'Facility Detail'!I23 )</f>
        <v>Solar</v>
      </c>
      <c r="C38" s="87">
        <f>VLOOKUP($A38,'Facility Detail'!$C:$T,7,FALSE)</f>
        <v>0</v>
      </c>
      <c r="D38" s="87">
        <f>VLOOKUP($A38,'Facility Detail'!$C:$T,8,FALSE)</f>
        <v>0</v>
      </c>
      <c r="E38" s="87">
        <f>VLOOKUP($A38,'Facility Detail'!$C:$T,9,FALSE)</f>
        <v>0</v>
      </c>
      <c r="F38" s="87">
        <f>VLOOKUP($A38,'Facility Detail'!$C:$T,10,FALSE)</f>
        <v>0</v>
      </c>
      <c r="G38" s="87">
        <f>VLOOKUP($A38,'Facility Detail'!$C:$T,11,FALSE)</f>
        <v>0</v>
      </c>
      <c r="H38" s="87">
        <f>VLOOKUP($A38,'Facility Detail'!$C:$T,12,FALSE)</f>
        <v>0</v>
      </c>
      <c r="I38" s="87">
        <f>VLOOKUP($A38,'Facility Detail'!$C:$T,13,FALSE)</f>
        <v>19234.406696699145</v>
      </c>
      <c r="J38" s="87">
        <f>VLOOKUP($A38,'Facility Detail'!$C:$T,14,FALSE)</f>
        <v>64705</v>
      </c>
      <c r="K38" s="87">
        <f>VLOOKUP($A38,'Facility Detail'!$C:$T,15,FALSE)</f>
        <v>117474.0989034832</v>
      </c>
      <c r="L38" s="87">
        <f>VLOOKUP($A38,'Facility Detail'!$C:$T,16,FALSE)</f>
        <v>19314.98666970912</v>
      </c>
      <c r="M38" s="87">
        <f>VLOOKUP($A38,'Facility Detail'!$C:$T,17,FALSE)</f>
        <v>49716</v>
      </c>
      <c r="N38" s="483">
        <f>VLOOKUP($A38,'Facility Detail'!$C:$T,18,FALSE)</f>
        <v>49691</v>
      </c>
      <c r="O38" s="87">
        <f>VLOOKUP($A38,'Facility Detail'!$C:$U,19,FALSE)</f>
        <v>45209</v>
      </c>
      <c r="Q38" s="86" t="str">
        <f t="shared" si="16"/>
        <v>Enterprise</v>
      </c>
      <c r="R38" s="86" t="str">
        <f t="shared" si="17"/>
        <v>Solar</v>
      </c>
      <c r="S38" s="87">
        <f>VLOOKUP($A38,'Facility Detail'!$A:$T,9,FALSE)</f>
        <v>0</v>
      </c>
      <c r="T38" s="87">
        <f>VLOOKUP($A38,'Facility Detail'!$A:$T,10,FALSE)</f>
        <v>0</v>
      </c>
      <c r="U38" s="87">
        <f>VLOOKUP($A38,'Facility Detail'!$A:$T,11,FALSE)</f>
        <v>0</v>
      </c>
      <c r="V38" s="87">
        <f>VLOOKUP($A38,'Facility Detail'!$A:$T,12,FALSE)</f>
        <v>0</v>
      </c>
      <c r="W38" s="87">
        <f>VLOOKUP($A38,'Facility Detail'!$A:$T,13,FALSE)</f>
        <v>0</v>
      </c>
      <c r="X38" s="87">
        <f>VLOOKUP($A38,'Facility Detail'!$A:$T,14,FALSE)</f>
        <v>19234.406696699145</v>
      </c>
      <c r="Y38" s="87">
        <f>VLOOKUP($A38,'Facility Detail'!$A:$T,15,FALSE)</f>
        <v>50456</v>
      </c>
      <c r="Z38" s="87">
        <f>VLOOKUP($A38,'Facility Detail'!$A:$T,16,FALSE)</f>
        <v>49593</v>
      </c>
      <c r="AA38" s="87">
        <f>VLOOKUP($A38,'Facility Detail'!$A:$T,17,FALSE)</f>
        <v>48932.098903483202</v>
      </c>
      <c r="AB38" s="87">
        <f>VLOOKUP($A38,'Facility Detail'!$A:$T,18,FALSE)</f>
        <v>52512.98666970912</v>
      </c>
      <c r="AC38" s="87">
        <f>VLOOKUP($A38,'Facility Detail'!$A:$T,19,FALSE)</f>
        <v>49716</v>
      </c>
      <c r="AD38" s="87">
        <f>VLOOKUP($A38,'Facility Detail'!$A:$T,20,FALSE)</f>
        <v>49691</v>
      </c>
      <c r="AE38" s="87">
        <f>VLOOKUP($A38,'Facility Detail'!$A:$U,21,FALSE)</f>
        <v>45209</v>
      </c>
    </row>
    <row r="39" spans="1:31" ht="15" outlineLevel="1">
      <c r="A39" s="215" t="str">
        <f>'Facility Detail'!G24</f>
        <v>Fighting Creek - REC Only</v>
      </c>
      <c r="B39" s="86" t="str">
        <f xml:space="preserve"> IF( 'Facility Detail'!I24 = "", "", 'Facility Detail'!I24 )</f>
        <v>Landfill Gas</v>
      </c>
      <c r="C39" s="87">
        <f>VLOOKUP($A39,'Facility Detail'!$C:$T,7,FALSE)</f>
        <v>0</v>
      </c>
      <c r="D39" s="87">
        <f>VLOOKUP($A39,'Facility Detail'!$C:$T,8,FALSE)</f>
        <v>0</v>
      </c>
      <c r="E39" s="87">
        <f>VLOOKUP($A39,'Facility Detail'!$C:$T,9,FALSE)</f>
        <v>0</v>
      </c>
      <c r="F39" s="87">
        <f>VLOOKUP($A39,'Facility Detail'!$C:$T,10,FALSE)</f>
        <v>0</v>
      </c>
      <c r="G39" s="87">
        <f>VLOOKUP($A39,'Facility Detail'!$C:$T,11,FALSE)</f>
        <v>0</v>
      </c>
      <c r="H39" s="87">
        <f>VLOOKUP($A39,'Facility Detail'!$C:$T,12,FALSE)</f>
        <v>730</v>
      </c>
      <c r="I39" s="87">
        <f>VLOOKUP($A39,'Facility Detail'!$C:$T,13,FALSE)</f>
        <v>0</v>
      </c>
      <c r="J39" s="87">
        <f>VLOOKUP($A39,'Facility Detail'!$C:$T,14,FALSE)</f>
        <v>0</v>
      </c>
      <c r="K39" s="87">
        <f>VLOOKUP($A39,'Facility Detail'!$C:$T,15,FALSE)</f>
        <v>0</v>
      </c>
      <c r="L39" s="87">
        <f>VLOOKUP($A39,'Facility Detail'!$C:$T,16,FALSE)</f>
        <v>0</v>
      </c>
      <c r="M39" s="87">
        <f>VLOOKUP($A39,'Facility Detail'!$C:$T,17,FALSE)</f>
        <v>0</v>
      </c>
      <c r="N39" s="483">
        <f>VLOOKUP($A39,'Facility Detail'!$C:$T,18,FALSE)</f>
        <v>0</v>
      </c>
      <c r="O39" s="87">
        <f>VLOOKUP($A39,'Facility Detail'!$C:$U,19,FALSE)</f>
        <v>0</v>
      </c>
      <c r="Q39" s="86" t="str">
        <f t="shared" si="16"/>
        <v>Fighting Creek - REC Only</v>
      </c>
      <c r="R39" s="86" t="str">
        <f t="shared" si="17"/>
        <v>Landfill Gas</v>
      </c>
      <c r="S39" s="87">
        <f>VLOOKUP($A39,'Facility Detail'!$A:$T,9,FALSE)</f>
        <v>0</v>
      </c>
      <c r="T39" s="87">
        <f>VLOOKUP($A39,'Facility Detail'!$A:$T,10,FALSE)</f>
        <v>0</v>
      </c>
      <c r="U39" s="87">
        <f>VLOOKUP($A39,'Facility Detail'!$A:$T,11,FALSE)</f>
        <v>0</v>
      </c>
      <c r="V39" s="87">
        <f>VLOOKUP($A39,'Facility Detail'!$A:$T,12,FALSE)</f>
        <v>0</v>
      </c>
      <c r="W39" s="87">
        <f>VLOOKUP($A39,'Facility Detail'!$A:$T,13,FALSE)</f>
        <v>730</v>
      </c>
      <c r="X39" s="87">
        <f>VLOOKUP($A39,'Facility Detail'!$A:$T,14,FALSE)</f>
        <v>0</v>
      </c>
      <c r="Y39" s="87">
        <f>VLOOKUP($A39,'Facility Detail'!$A:$T,15,FALSE)</f>
        <v>0</v>
      </c>
      <c r="Z39" s="87">
        <f>VLOOKUP($A39,'Facility Detail'!$A:$T,16,FALSE)</f>
        <v>0</v>
      </c>
      <c r="AA39" s="87">
        <f>VLOOKUP($A39,'Facility Detail'!$A:$T,17,FALSE)</f>
        <v>0</v>
      </c>
      <c r="AB39" s="87">
        <f>VLOOKUP($A39,'Facility Detail'!$A:$T,18,FALSE)</f>
        <v>0</v>
      </c>
      <c r="AC39" s="87">
        <f>VLOOKUP($A39,'Facility Detail'!$A:$T,19,FALSE)</f>
        <v>0</v>
      </c>
      <c r="AD39" s="87">
        <f>VLOOKUP($A39,'Facility Detail'!$A:$T,20,FALSE)</f>
        <v>0</v>
      </c>
      <c r="AE39" s="87">
        <f>VLOOKUP($A39,'Facility Detail'!$A:$U,21,FALSE)</f>
        <v>0</v>
      </c>
    </row>
    <row r="40" spans="1:31" ht="15" outlineLevel="1">
      <c r="A40" s="86" t="str">
        <f>'Facility Detail'!G25</f>
        <v>Foote Creek I</v>
      </c>
      <c r="B40" s="86" t="str">
        <f xml:space="preserve"> IF( 'Facility Detail'!I25 = "", "", 'Facility Detail'!I25 )</f>
        <v>Wind</v>
      </c>
      <c r="C40" s="87">
        <f>VLOOKUP($A40,'Facility Detail'!$C:$T,7,FALSE)</f>
        <v>0</v>
      </c>
      <c r="D40" s="87">
        <f>VLOOKUP($A40,'Facility Detail'!$C:$T,8,FALSE)</f>
        <v>0</v>
      </c>
      <c r="E40" s="87">
        <f>VLOOKUP($A40,'Facility Detail'!$C:$T,9,FALSE)</f>
        <v>0</v>
      </c>
      <c r="F40" s="87">
        <f>VLOOKUP($A40,'Facility Detail'!$C:$T,10,FALSE)</f>
        <v>0</v>
      </c>
      <c r="G40" s="87">
        <f>VLOOKUP($A40,'Facility Detail'!$C:$T,11,FALSE)</f>
        <v>0</v>
      </c>
      <c r="H40" s="87">
        <f>VLOOKUP($A40,'Facility Detail'!$C:$T,12,FALSE)</f>
        <v>0</v>
      </c>
      <c r="I40" s="87">
        <f>VLOOKUP($A40,'Facility Detail'!$C:$T,13,FALSE)</f>
        <v>0</v>
      </c>
      <c r="J40" s="87">
        <f>VLOOKUP($A40,'Facility Detail'!$C:$T,14,FALSE)</f>
        <v>0</v>
      </c>
      <c r="K40" s="87">
        <f>VLOOKUP($A40,'Facility Detail'!$C:$T,15,FALSE)</f>
        <v>0</v>
      </c>
      <c r="L40" s="87">
        <f>VLOOKUP($A40,'Facility Detail'!$C:$T,16,FALSE)</f>
        <v>0</v>
      </c>
      <c r="M40" s="87">
        <f>VLOOKUP($A40,'Facility Detail'!$C:$T,17,FALSE)</f>
        <v>13167.122039266278</v>
      </c>
      <c r="N40" s="483">
        <f>VLOOKUP($A40,'Facility Detail'!$C:$T,18,FALSE)</f>
        <v>16437</v>
      </c>
      <c r="O40" s="87">
        <f>VLOOKUP($A40,'Facility Detail'!$C:$U,19,FALSE)</f>
        <v>11509.118505793082</v>
      </c>
      <c r="Q40" s="86" t="str">
        <f t="shared" si="16"/>
        <v>Foote Creek I</v>
      </c>
      <c r="R40" s="86" t="str">
        <f t="shared" si="17"/>
        <v>Wind</v>
      </c>
      <c r="S40" s="87">
        <f>VLOOKUP($A40,'Facility Detail'!$A:$T,9,FALSE)</f>
        <v>0</v>
      </c>
      <c r="T40" s="87">
        <f>VLOOKUP($A40,'Facility Detail'!$A:$T,10,FALSE)</f>
        <v>0</v>
      </c>
      <c r="U40" s="87">
        <f>VLOOKUP($A40,'Facility Detail'!$A:$T,11,FALSE)</f>
        <v>0</v>
      </c>
      <c r="V40" s="87">
        <f>VLOOKUP($A40,'Facility Detail'!$A:$T,12,FALSE)</f>
        <v>0</v>
      </c>
      <c r="W40" s="87">
        <f>VLOOKUP($A40,'Facility Detail'!$A:$T,13,FALSE)</f>
        <v>0</v>
      </c>
      <c r="X40" s="87">
        <f>VLOOKUP($A40,'Facility Detail'!$A:$T,14,FALSE)</f>
        <v>0</v>
      </c>
      <c r="Y40" s="87">
        <f>VLOOKUP($A40,'Facility Detail'!$A:$T,15,FALSE)</f>
        <v>0</v>
      </c>
      <c r="Z40" s="87">
        <f>VLOOKUP($A40,'Facility Detail'!$A:$T,16,FALSE)</f>
        <v>0</v>
      </c>
      <c r="AA40" s="87">
        <f>VLOOKUP($A40,'Facility Detail'!$A:$T,17,FALSE)</f>
        <v>0</v>
      </c>
      <c r="AB40" s="87">
        <f>VLOOKUP($A40,'Facility Detail'!$A:$T,18,FALSE)</f>
        <v>0</v>
      </c>
      <c r="AC40" s="87">
        <f>VLOOKUP($A40,'Facility Detail'!$A:$T,19,FALSE)</f>
        <v>13167.122039266278</v>
      </c>
      <c r="AD40" s="87">
        <f>VLOOKUP($A40,'Facility Detail'!$A:$T,20,FALSE)</f>
        <v>16437</v>
      </c>
      <c r="AE40" s="87">
        <f>VLOOKUP($A40,'Facility Detail'!$A:$U,21,FALSE)</f>
        <v>11509.118505793082</v>
      </c>
    </row>
    <row r="41" spans="1:31" ht="15" outlineLevel="1">
      <c r="A41" s="86" t="str">
        <f>'Facility Detail'!G26</f>
        <v>Glenrock I</v>
      </c>
      <c r="B41" s="86" t="str">
        <f xml:space="preserve"> IF( 'Facility Detail'!I26 = "", "", 'Facility Detail'!I26 )</f>
        <v>Wind</v>
      </c>
      <c r="C41" s="87">
        <f>VLOOKUP($A41,'Facility Detail'!$C:$T,7,FALSE)</f>
        <v>0</v>
      </c>
      <c r="D41" s="87">
        <f>VLOOKUP($A41,'Facility Detail'!$C:$T,8,FALSE)</f>
        <v>0</v>
      </c>
      <c r="E41" s="87">
        <f>VLOOKUP($A41,'Facility Detail'!$C:$T,9,FALSE)</f>
        <v>0</v>
      </c>
      <c r="F41" s="87">
        <f>VLOOKUP($A41,'Facility Detail'!$C:$T,10,FALSE)</f>
        <v>0</v>
      </c>
      <c r="G41" s="87">
        <f>VLOOKUP($A41,'Facility Detail'!$C:$T,11,FALSE)</f>
        <v>0</v>
      </c>
      <c r="H41" s="87">
        <f>VLOOKUP($A41,'Facility Detail'!$C:$T,12,FALSE)</f>
        <v>34877</v>
      </c>
      <c r="I41" s="87">
        <f>VLOOKUP($A41,'Facility Detail'!$C:$T,13,FALSE)</f>
        <v>35572</v>
      </c>
      <c r="J41" s="87">
        <f>VLOOKUP($A41,'Facility Detail'!$C:$T,14,FALSE)</f>
        <v>24143</v>
      </c>
      <c r="K41" s="87">
        <f>VLOOKUP($A41,'Facility Detail'!$C:$T,15,FALSE)</f>
        <v>11000.014929761486</v>
      </c>
      <c r="L41" s="87">
        <f>VLOOKUP($A41,'Facility Detail'!$C:$T,16,FALSE)</f>
        <v>52732.188164890744</v>
      </c>
      <c r="M41" s="87">
        <f>VLOOKUP($A41,'Facility Detail'!$C:$T,17,FALSE)</f>
        <v>7040</v>
      </c>
      <c r="N41" s="483">
        <f>VLOOKUP($A41,'Facility Detail'!$C:$T,18,FALSE)</f>
        <v>25869</v>
      </c>
      <c r="O41" s="87">
        <f>VLOOKUP($A41,'Facility Detail'!$C:$U,19,FALSE)</f>
        <v>26915.009732550086</v>
      </c>
      <c r="Q41" s="86" t="str">
        <f t="shared" si="16"/>
        <v>Glenrock I</v>
      </c>
      <c r="R41" s="86" t="str">
        <f t="shared" si="17"/>
        <v>Wind</v>
      </c>
      <c r="S41" s="87">
        <f>VLOOKUP($A41,'Facility Detail'!$A:$T,9,FALSE)</f>
        <v>0</v>
      </c>
      <c r="T41" s="87">
        <f>VLOOKUP($A41,'Facility Detail'!$A:$T,10,FALSE)</f>
        <v>0</v>
      </c>
      <c r="U41" s="87">
        <f>VLOOKUP($A41,'Facility Detail'!$A:$T,11,FALSE)</f>
        <v>0</v>
      </c>
      <c r="V41" s="87">
        <f>VLOOKUP($A41,'Facility Detail'!$A:$T,12,FALSE)</f>
        <v>0</v>
      </c>
      <c r="W41" s="87">
        <f>VLOOKUP($A41,'Facility Detail'!$A:$T,13,FALSE)</f>
        <v>23306</v>
      </c>
      <c r="X41" s="87">
        <f>VLOOKUP($A41,'Facility Detail'!$A:$T,14,FALSE)</f>
        <v>25457</v>
      </c>
      <c r="Y41" s="87">
        <f>VLOOKUP($A41,'Facility Detail'!$A:$T,15,FALSE)</f>
        <v>21686</v>
      </c>
      <c r="Z41" s="87">
        <f>VLOOKUP($A41,'Facility Detail'!$A:$T,16,FALSE)</f>
        <v>24143</v>
      </c>
      <c r="AA41" s="87">
        <f>VLOOKUP($A41,'Facility Detail'!$A:$T,17,FALSE)</f>
        <v>11000.014929761486</v>
      </c>
      <c r="AB41" s="87">
        <f>VLOOKUP($A41,'Facility Detail'!$A:$T,18,FALSE)</f>
        <v>32732.188164890747</v>
      </c>
      <c r="AC41" s="87">
        <f>VLOOKUP($A41,'Facility Detail'!$A:$T,19,FALSE)</f>
        <v>27040</v>
      </c>
      <c r="AD41" s="87">
        <f>VLOOKUP($A41,'Facility Detail'!$A:$T,20,FALSE)</f>
        <v>25869</v>
      </c>
      <c r="AE41" s="87">
        <f>VLOOKUP($A41,'Facility Detail'!$A:$U,21,FALSE)</f>
        <v>26915.009732550086</v>
      </c>
    </row>
    <row r="42" spans="1:31" ht="15" outlineLevel="1">
      <c r="A42" s="86" t="str">
        <f>'Facility Detail'!G27</f>
        <v>Glenrock III</v>
      </c>
      <c r="B42" s="86" t="str">
        <f xml:space="preserve"> IF( 'Facility Detail'!I27 = "", "", 'Facility Detail'!I27 )</f>
        <v>Wind</v>
      </c>
      <c r="C42" s="87">
        <f>VLOOKUP($A42,'Facility Detail'!$C:$T,7,FALSE)</f>
        <v>0</v>
      </c>
      <c r="D42" s="87">
        <f>VLOOKUP($A42,'Facility Detail'!$C:$T,8,FALSE)</f>
        <v>0</v>
      </c>
      <c r="E42" s="87">
        <f>VLOOKUP($A42,'Facility Detail'!$C:$T,9,FALSE)</f>
        <v>0</v>
      </c>
      <c r="F42" s="87">
        <f>VLOOKUP($A42,'Facility Detail'!$C:$T,10,FALSE)</f>
        <v>0</v>
      </c>
      <c r="G42" s="87">
        <f>VLOOKUP($A42,'Facility Detail'!$C:$T,11,FALSE)</f>
        <v>0</v>
      </c>
      <c r="H42" s="87">
        <f>VLOOKUP($A42,'Facility Detail'!$C:$T,12,FALSE)</f>
        <v>0</v>
      </c>
      <c r="I42" s="87">
        <f>VLOOKUP($A42,'Facility Detail'!$C:$T,13,FALSE)</f>
        <v>0</v>
      </c>
      <c r="J42" s="87">
        <f>VLOOKUP($A42,'Facility Detail'!$C:$T,14,FALSE)</f>
        <v>0</v>
      </c>
      <c r="K42" s="87">
        <f>VLOOKUP($A42,'Facility Detail'!$C:$T,15,FALSE)</f>
        <v>0</v>
      </c>
      <c r="L42" s="87">
        <f>VLOOKUP($A42,'Facility Detail'!$C:$T,16,FALSE)</f>
        <v>0</v>
      </c>
      <c r="M42" s="87">
        <f>VLOOKUP($A42,'Facility Detail'!$C:$T,17,FALSE)</f>
        <v>10147.406795082643</v>
      </c>
      <c r="N42" s="483">
        <f>VLOOKUP($A42,'Facility Detail'!$C:$T,18,FALSE)</f>
        <v>9694.4487968353351</v>
      </c>
      <c r="O42" s="87">
        <f>VLOOKUP($A42,'Facility Detail'!$C:$U,19,FALSE)</f>
        <v>10078.574263575196</v>
      </c>
      <c r="Q42" s="86" t="str">
        <f t="shared" si="16"/>
        <v>Glenrock III</v>
      </c>
      <c r="R42" s="86" t="str">
        <f t="shared" si="17"/>
        <v>Wind</v>
      </c>
      <c r="S42" s="87">
        <f>VLOOKUP($A42,'Facility Detail'!$A:$T,9,FALSE)</f>
        <v>0</v>
      </c>
      <c r="T42" s="87">
        <f>VLOOKUP($A42,'Facility Detail'!$A:$T,10,FALSE)</f>
        <v>0</v>
      </c>
      <c r="U42" s="87">
        <f>VLOOKUP($A42,'Facility Detail'!$A:$T,11,FALSE)</f>
        <v>0</v>
      </c>
      <c r="V42" s="87">
        <f>VLOOKUP($A42,'Facility Detail'!$A:$T,12,FALSE)</f>
        <v>0</v>
      </c>
      <c r="W42" s="87">
        <f>VLOOKUP($A42,'Facility Detail'!$A:$T,13,FALSE)</f>
        <v>0</v>
      </c>
      <c r="X42" s="87">
        <f>VLOOKUP($A42,'Facility Detail'!$A:$T,14,FALSE)</f>
        <v>0</v>
      </c>
      <c r="Y42" s="87">
        <f>VLOOKUP($A42,'Facility Detail'!$A:$T,15,FALSE)</f>
        <v>0</v>
      </c>
      <c r="Z42" s="87">
        <f>VLOOKUP($A42,'Facility Detail'!$A:$T,16,FALSE)</f>
        <v>0</v>
      </c>
      <c r="AA42" s="87">
        <f>VLOOKUP($A42,'Facility Detail'!$A:$T,17,FALSE)</f>
        <v>0</v>
      </c>
      <c r="AB42" s="87">
        <f>VLOOKUP($A42,'Facility Detail'!$A:$T,18,FALSE)</f>
        <v>0</v>
      </c>
      <c r="AC42" s="87">
        <f>VLOOKUP($A42,'Facility Detail'!$A:$T,19,FALSE)</f>
        <v>10147.406795082643</v>
      </c>
      <c r="AD42" s="87">
        <f>VLOOKUP($A42,'Facility Detail'!$A:$T,20,FALSE)</f>
        <v>9694.4487968353351</v>
      </c>
      <c r="AE42" s="87">
        <f>VLOOKUP($A42,'Facility Detail'!$A:$U,21,FALSE)</f>
        <v>10078.574263575196</v>
      </c>
    </row>
    <row r="43" spans="1:31" ht="15" outlineLevel="1">
      <c r="A43" s="86" t="str">
        <f>'Facility Detail'!G28</f>
        <v>Goodnoe Hills</v>
      </c>
      <c r="B43" s="86" t="str">
        <f xml:space="preserve"> IF( 'Facility Detail'!I28 = "", "", 'Facility Detail'!I28 )</f>
        <v>Wind</v>
      </c>
      <c r="C43" s="87">
        <f>VLOOKUP($A43,'Facility Detail'!$C:$T,7,FALSE)</f>
        <v>0</v>
      </c>
      <c r="D43" s="87">
        <f>VLOOKUP($A43,'Facility Detail'!$C:$T,8,FALSE)</f>
        <v>18896</v>
      </c>
      <c r="E43" s="87">
        <f>VLOOKUP($A43,'Facility Detail'!$C:$T,9,FALSE)</f>
        <v>17608</v>
      </c>
      <c r="F43" s="87">
        <f>VLOOKUP($A43,'Facility Detail'!$C:$T,10,FALSE)</f>
        <v>24054</v>
      </c>
      <c r="G43" s="87">
        <f>VLOOKUP($A43,'Facility Detail'!$C:$T,11,FALSE)</f>
        <v>20890</v>
      </c>
      <c r="H43" s="87">
        <f>VLOOKUP($A43,'Facility Detail'!$C:$T,12,FALSE)</f>
        <v>23675</v>
      </c>
      <c r="I43" s="87">
        <f>VLOOKUP($A43,'Facility Detail'!$C:$T,13,FALSE)</f>
        <v>15514</v>
      </c>
      <c r="J43" s="87">
        <f>VLOOKUP($A43,'Facility Detail'!$C:$T,14,FALSE)</f>
        <v>18315</v>
      </c>
      <c r="K43" s="87">
        <f>VLOOKUP($A43,'Facility Detail'!$C:$T,15,FALSE)</f>
        <v>4420.5681815800917</v>
      </c>
      <c r="L43" s="87">
        <f>VLOOKUP($A43,'Facility Detail'!$C:$T,16,FALSE)</f>
        <v>36561.537003116537</v>
      </c>
      <c r="M43" s="87">
        <f>VLOOKUP($A43,'Facility Detail'!$C:$T,17,FALSE)</f>
        <v>13609</v>
      </c>
      <c r="N43" s="483">
        <f>VLOOKUP($A43,'Facility Detail'!$C:$T,18,FALSE)</f>
        <v>20928</v>
      </c>
      <c r="O43" s="87">
        <f>VLOOKUP($A43,'Facility Detail'!$C:$U,19,FALSE)</f>
        <v>18602.72048648338</v>
      </c>
      <c r="Q43" s="86" t="str">
        <f t="shared" si="16"/>
        <v>Goodnoe Hills</v>
      </c>
      <c r="R43" s="86" t="str">
        <f t="shared" si="17"/>
        <v>Wind</v>
      </c>
      <c r="S43" s="87">
        <f>VLOOKUP($A43,'Facility Detail'!$A:$T,9,FALSE)</f>
        <v>18896</v>
      </c>
      <c r="T43" s="87">
        <f>VLOOKUP($A43,'Facility Detail'!$A:$T,10,FALSE)</f>
        <v>17608</v>
      </c>
      <c r="U43" s="87">
        <f>VLOOKUP($A43,'Facility Detail'!$A:$T,11,FALSE)</f>
        <v>17896</v>
      </c>
      <c r="V43" s="87">
        <f>VLOOKUP($A43,'Facility Detail'!$A:$T,12,FALSE)</f>
        <v>17392</v>
      </c>
      <c r="W43" s="87">
        <f>VLOOKUP($A43,'Facility Detail'!$A:$T,13,FALSE)</f>
        <v>15039</v>
      </c>
      <c r="X43" s="87">
        <f>VLOOKUP($A43,'Facility Detail'!$A:$T,14,FALSE)</f>
        <v>18292</v>
      </c>
      <c r="Y43" s="87">
        <f>VLOOKUP($A43,'Facility Detail'!$A:$T,15,FALSE)</f>
        <v>15514</v>
      </c>
      <c r="Z43" s="87">
        <f>VLOOKUP($A43,'Facility Detail'!$A:$T,16,FALSE)</f>
        <v>18315</v>
      </c>
      <c r="AA43" s="87">
        <f>VLOOKUP($A43,'Facility Detail'!$A:$T,17,FALSE)</f>
        <v>4420.5681815800917</v>
      </c>
      <c r="AB43" s="87">
        <f>VLOOKUP($A43,'Facility Detail'!$A:$T,18,FALSE)</f>
        <v>26561.537003116537</v>
      </c>
      <c r="AC43" s="87">
        <f>VLOOKUP($A43,'Facility Detail'!$A:$T,19,FALSE)</f>
        <v>23609</v>
      </c>
      <c r="AD43" s="87">
        <f>VLOOKUP($A43,'Facility Detail'!$A:$T,20,FALSE)</f>
        <v>20928</v>
      </c>
      <c r="AE43" s="87">
        <f>VLOOKUP($A43,'Facility Detail'!$A:$U,21,FALSE)</f>
        <v>18602.72048648338</v>
      </c>
    </row>
    <row r="44" spans="1:31" ht="15" outlineLevel="1">
      <c r="A44" s="86" t="str">
        <f>'Facility Detail'!G29</f>
        <v>Granite Mountain East</v>
      </c>
      <c r="B44" s="86" t="str">
        <f xml:space="preserve"> IF( 'Facility Detail'!I29 = "", "", 'Facility Detail'!I29 )</f>
        <v>Solar</v>
      </c>
      <c r="C44" s="87">
        <f>VLOOKUP($A44,'Facility Detail'!$C:$T,7,FALSE)</f>
        <v>0</v>
      </c>
      <c r="D44" s="87">
        <f>VLOOKUP($A44,'Facility Detail'!$C:$T,8,FALSE)</f>
        <v>0</v>
      </c>
      <c r="E44" s="87">
        <f>VLOOKUP($A44,'Facility Detail'!$C:$T,9,FALSE)</f>
        <v>0</v>
      </c>
      <c r="F44" s="87">
        <f>VLOOKUP($A44,'Facility Detail'!$C:$T,10,FALSE)</f>
        <v>0</v>
      </c>
      <c r="G44" s="87">
        <f>VLOOKUP($A44,'Facility Detail'!$C:$T,11,FALSE)</f>
        <v>0</v>
      </c>
      <c r="H44" s="87">
        <f>VLOOKUP($A44,'Facility Detail'!$C:$T,12,FALSE)</f>
        <v>0</v>
      </c>
      <c r="I44" s="87">
        <f>VLOOKUP($A44,'Facility Detail'!$C:$T,13,FALSE)</f>
        <v>0</v>
      </c>
      <c r="J44" s="87">
        <f>VLOOKUP($A44,'Facility Detail'!$C:$T,14,FALSE)</f>
        <v>0</v>
      </c>
      <c r="K44" s="87">
        <f>VLOOKUP($A44,'Facility Detail'!$C:$T,15,FALSE)</f>
        <v>0</v>
      </c>
      <c r="L44" s="87">
        <f>VLOOKUP($A44,'Facility Detail'!$C:$T,16,FALSE)</f>
        <v>75000</v>
      </c>
      <c r="M44" s="87">
        <f>VLOOKUP($A44,'Facility Detail'!$C:$T,17,FALSE)</f>
        <v>0</v>
      </c>
      <c r="N44" s="483">
        <f>VLOOKUP($A44,'Facility Detail'!$C:$T,18,FALSE)</f>
        <v>0</v>
      </c>
      <c r="O44" s="87">
        <f>VLOOKUP($A44,'Facility Detail'!$C:$U,19,FALSE)</f>
        <v>0</v>
      </c>
      <c r="Q44" s="86" t="str">
        <f t="shared" si="16"/>
        <v>Granite Mountain East</v>
      </c>
      <c r="R44" s="86" t="str">
        <f t="shared" si="17"/>
        <v>Solar</v>
      </c>
      <c r="S44" s="87">
        <f>VLOOKUP($A44,'Facility Detail'!$A:$T,9,FALSE)</f>
        <v>0</v>
      </c>
      <c r="T44" s="87">
        <f>VLOOKUP($A44,'Facility Detail'!$A:$T,10,FALSE)</f>
        <v>0</v>
      </c>
      <c r="U44" s="87">
        <f>VLOOKUP($A44,'Facility Detail'!$A:$T,11,FALSE)</f>
        <v>0</v>
      </c>
      <c r="V44" s="87">
        <f>VLOOKUP($A44,'Facility Detail'!$A:$T,12,FALSE)</f>
        <v>0</v>
      </c>
      <c r="W44" s="87">
        <f>VLOOKUP($A44,'Facility Detail'!$A:$T,13,FALSE)</f>
        <v>0</v>
      </c>
      <c r="X44" s="87">
        <f>VLOOKUP($A44,'Facility Detail'!$A:$T,14,FALSE)</f>
        <v>0</v>
      </c>
      <c r="Y44" s="87">
        <f>VLOOKUP($A44,'Facility Detail'!$A:$T,15,FALSE)</f>
        <v>0</v>
      </c>
      <c r="Z44" s="87">
        <f>VLOOKUP($A44,'Facility Detail'!$A:$T,16,FALSE)</f>
        <v>0</v>
      </c>
      <c r="AA44" s="87">
        <f>VLOOKUP($A44,'Facility Detail'!$A:$T,17,FALSE)</f>
        <v>0</v>
      </c>
      <c r="AB44" s="87">
        <f>VLOOKUP($A44,'Facility Detail'!$A:$T,18,FALSE)</f>
        <v>75000</v>
      </c>
      <c r="AC44" s="87">
        <f>VLOOKUP($A44,'Facility Detail'!$A:$T,19,FALSE)</f>
        <v>0</v>
      </c>
      <c r="AD44" s="87">
        <f>VLOOKUP($A44,'Facility Detail'!$A:$T,20,FALSE)</f>
        <v>0</v>
      </c>
      <c r="AE44" s="87">
        <f>VLOOKUP($A44,'Facility Detail'!$A:$U,21,FALSE)</f>
        <v>0</v>
      </c>
    </row>
    <row r="45" spans="1:31" ht="15" outlineLevel="1">
      <c r="A45" s="86" t="str">
        <f>'Facility Detail'!G30</f>
        <v>Granite Mountain West</v>
      </c>
      <c r="B45" s="86" t="str">
        <f xml:space="preserve"> IF( 'Facility Detail'!I30 = "", "", 'Facility Detail'!I30 )</f>
        <v>Solar</v>
      </c>
      <c r="C45" s="87">
        <f>VLOOKUP($A45,'Facility Detail'!$C:$T,7,FALSE)</f>
        <v>0</v>
      </c>
      <c r="D45" s="87">
        <f>VLOOKUP($A45,'Facility Detail'!$C:$T,8,FALSE)</f>
        <v>0</v>
      </c>
      <c r="E45" s="87">
        <f>VLOOKUP($A45,'Facility Detail'!$C:$T,9,FALSE)</f>
        <v>0</v>
      </c>
      <c r="F45" s="87">
        <f>VLOOKUP($A45,'Facility Detail'!$C:$T,10,FALSE)</f>
        <v>0</v>
      </c>
      <c r="G45" s="87">
        <f>VLOOKUP($A45,'Facility Detail'!$C:$T,11,FALSE)</f>
        <v>0</v>
      </c>
      <c r="H45" s="87">
        <f>VLOOKUP($A45,'Facility Detail'!$C:$T,12,FALSE)</f>
        <v>0</v>
      </c>
      <c r="I45" s="87">
        <f>VLOOKUP($A45,'Facility Detail'!$C:$T,13,FALSE)</f>
        <v>0</v>
      </c>
      <c r="J45" s="87">
        <f>VLOOKUP($A45,'Facility Detail'!$C:$T,14,FALSE)</f>
        <v>0</v>
      </c>
      <c r="K45" s="87">
        <f>VLOOKUP($A45,'Facility Detail'!$C:$T,15,FALSE)</f>
        <v>0</v>
      </c>
      <c r="L45" s="87">
        <f>VLOOKUP($A45,'Facility Detail'!$C:$T,16,FALSE)</f>
        <v>75000</v>
      </c>
      <c r="M45" s="87">
        <f>VLOOKUP($A45,'Facility Detail'!$C:$T,17,FALSE)</f>
        <v>0</v>
      </c>
      <c r="N45" s="483">
        <f>VLOOKUP($A45,'Facility Detail'!$C:$T,18,FALSE)</f>
        <v>0</v>
      </c>
      <c r="O45" s="87">
        <f>VLOOKUP($A45,'Facility Detail'!$C:$U,19,FALSE)</f>
        <v>0</v>
      </c>
      <c r="Q45" s="86" t="str">
        <f t="shared" si="16"/>
        <v>Granite Mountain West</v>
      </c>
      <c r="R45" s="86" t="str">
        <f t="shared" si="17"/>
        <v>Solar</v>
      </c>
      <c r="S45" s="87">
        <f>VLOOKUP($A45,'Facility Detail'!$A:$T,9,FALSE)</f>
        <v>0</v>
      </c>
      <c r="T45" s="87">
        <f>VLOOKUP($A45,'Facility Detail'!$A:$T,10,FALSE)</f>
        <v>0</v>
      </c>
      <c r="U45" s="87">
        <f>VLOOKUP($A45,'Facility Detail'!$A:$T,11,FALSE)</f>
        <v>0</v>
      </c>
      <c r="V45" s="87">
        <f>VLOOKUP($A45,'Facility Detail'!$A:$T,12,FALSE)</f>
        <v>0</v>
      </c>
      <c r="W45" s="87">
        <f>VLOOKUP($A45,'Facility Detail'!$A:$T,13,FALSE)</f>
        <v>0</v>
      </c>
      <c r="X45" s="87">
        <f>VLOOKUP($A45,'Facility Detail'!$A:$T,14,FALSE)</f>
        <v>0</v>
      </c>
      <c r="Y45" s="87">
        <f>VLOOKUP($A45,'Facility Detail'!$A:$T,15,FALSE)</f>
        <v>0</v>
      </c>
      <c r="Z45" s="87">
        <f>VLOOKUP($A45,'Facility Detail'!$A:$T,16,FALSE)</f>
        <v>0</v>
      </c>
      <c r="AA45" s="87">
        <f>VLOOKUP($A45,'Facility Detail'!$A:$T,17,FALSE)</f>
        <v>0</v>
      </c>
      <c r="AB45" s="87">
        <f>VLOOKUP($A45,'Facility Detail'!$A:$T,18,FALSE)</f>
        <v>75000</v>
      </c>
      <c r="AC45" s="87">
        <f>VLOOKUP($A45,'Facility Detail'!$A:$T,19,FALSE)</f>
        <v>0</v>
      </c>
      <c r="AD45" s="87">
        <f>VLOOKUP($A45,'Facility Detail'!$A:$T,20,FALSE)</f>
        <v>0</v>
      </c>
      <c r="AE45" s="87">
        <f>VLOOKUP($A45,'Facility Detail'!$A:$U,21,FALSE)</f>
        <v>0</v>
      </c>
    </row>
    <row r="46" spans="1:31" ht="15" outlineLevel="1">
      <c r="A46" s="86" t="str">
        <f>'Facility Detail'!G31</f>
        <v>Hidden Hollow - REC Only</v>
      </c>
      <c r="B46" s="86" t="str">
        <f xml:space="preserve"> IF( 'Facility Detail'!I31 = "", "", 'Facility Detail'!I31 )</f>
        <v>Landfill Gas</v>
      </c>
      <c r="C46" s="87">
        <f>VLOOKUP($A46,'Facility Detail'!$C:$T,7,FALSE)</f>
        <v>0</v>
      </c>
      <c r="D46" s="87">
        <f>VLOOKUP($A46,'Facility Detail'!$C:$T,8,FALSE)</f>
        <v>0</v>
      </c>
      <c r="E46" s="87">
        <f>VLOOKUP($A46,'Facility Detail'!$C:$T,9,FALSE)</f>
        <v>0</v>
      </c>
      <c r="F46" s="87">
        <f>VLOOKUP($A46,'Facility Detail'!$C:$T,10,FALSE)</f>
        <v>0</v>
      </c>
      <c r="G46" s="87">
        <f>VLOOKUP($A46,'Facility Detail'!$C:$T,11,FALSE)</f>
        <v>0</v>
      </c>
      <c r="H46" s="87">
        <f>VLOOKUP($A46,'Facility Detail'!$C:$T,12,FALSE)</f>
        <v>12501</v>
      </c>
      <c r="I46" s="87">
        <f>VLOOKUP($A46,'Facility Detail'!$C:$T,13,FALSE)</f>
        <v>3960</v>
      </c>
      <c r="J46" s="87">
        <f>VLOOKUP($A46,'Facility Detail'!$C:$T,14,FALSE)</f>
        <v>0</v>
      </c>
      <c r="K46" s="87">
        <f>VLOOKUP($A46,'Facility Detail'!$C:$T,15,FALSE)</f>
        <v>0</v>
      </c>
      <c r="L46" s="87">
        <f>VLOOKUP($A46,'Facility Detail'!$C:$T,16,FALSE)</f>
        <v>0</v>
      </c>
      <c r="M46" s="87">
        <f>VLOOKUP($A46,'Facility Detail'!$C:$T,17,FALSE)</f>
        <v>0</v>
      </c>
      <c r="N46" s="483">
        <f>VLOOKUP($A46,'Facility Detail'!$C:$T,18,FALSE)</f>
        <v>0</v>
      </c>
      <c r="O46" s="87">
        <f>VLOOKUP($A46,'Facility Detail'!$C:$U,19,FALSE)</f>
        <v>0</v>
      </c>
      <c r="Q46" s="86" t="str">
        <f t="shared" si="16"/>
        <v>Hidden Hollow - REC Only</v>
      </c>
      <c r="R46" s="86" t="str">
        <f t="shared" si="17"/>
        <v>Landfill Gas</v>
      </c>
      <c r="S46" s="87">
        <f>VLOOKUP($A46,'Facility Detail'!$A:$T,9,FALSE)</f>
        <v>0</v>
      </c>
      <c r="T46" s="87">
        <f>VLOOKUP($A46,'Facility Detail'!$A:$T,10,FALSE)</f>
        <v>0</v>
      </c>
      <c r="U46" s="87">
        <f>VLOOKUP($A46,'Facility Detail'!$A:$T,11,FALSE)</f>
        <v>0</v>
      </c>
      <c r="V46" s="87">
        <f>VLOOKUP($A46,'Facility Detail'!$A:$T,12,FALSE)</f>
        <v>0</v>
      </c>
      <c r="W46" s="87">
        <f>VLOOKUP($A46,'Facility Detail'!$A:$T,13,FALSE)</f>
        <v>12501</v>
      </c>
      <c r="X46" s="87">
        <f>VLOOKUP($A46,'Facility Detail'!$A:$T,14,FALSE)</f>
        <v>3960</v>
      </c>
      <c r="Y46" s="87">
        <f>VLOOKUP($A46,'Facility Detail'!$A:$T,15,FALSE)</f>
        <v>0</v>
      </c>
      <c r="Z46" s="87">
        <f>VLOOKUP($A46,'Facility Detail'!$A:$T,16,FALSE)</f>
        <v>0</v>
      </c>
      <c r="AA46" s="87">
        <f>VLOOKUP($A46,'Facility Detail'!$A:$T,17,FALSE)</f>
        <v>0</v>
      </c>
      <c r="AB46" s="87">
        <f>VLOOKUP($A46,'Facility Detail'!$A:$T,18,FALSE)</f>
        <v>0</v>
      </c>
      <c r="AC46" s="87">
        <f>VLOOKUP($A46,'Facility Detail'!$A:$T,19,FALSE)</f>
        <v>0</v>
      </c>
      <c r="AD46" s="87">
        <f>VLOOKUP($A46,'Facility Detail'!$A:$T,20,FALSE)</f>
        <v>0</v>
      </c>
      <c r="AE46" s="87">
        <f>VLOOKUP($A46,'Facility Detail'!$A:$U,21,FALSE)</f>
        <v>0</v>
      </c>
    </row>
    <row r="47" spans="1:31" ht="15" outlineLevel="1">
      <c r="A47" s="86" t="str">
        <f>'Facility Detail'!G32</f>
        <v>High Plains</v>
      </c>
      <c r="B47" s="86" t="str">
        <f xml:space="preserve"> IF( 'Facility Detail'!I32 = "", "", 'Facility Detail'!I32 )</f>
        <v>Wind</v>
      </c>
      <c r="C47" s="87">
        <f>VLOOKUP($A47,'Facility Detail'!$C:$T,7,FALSE)</f>
        <v>0</v>
      </c>
      <c r="D47" s="87">
        <f>VLOOKUP($A47,'Facility Detail'!$C:$T,8,FALSE)</f>
        <v>0</v>
      </c>
      <c r="E47" s="87">
        <f>VLOOKUP($A47,'Facility Detail'!$C:$T,9,FALSE)</f>
        <v>0</v>
      </c>
      <c r="F47" s="87">
        <f>VLOOKUP($A47,'Facility Detail'!$C:$T,10,FALSE)</f>
        <v>0</v>
      </c>
      <c r="G47" s="87">
        <f>VLOOKUP($A47,'Facility Detail'!$C:$T,11,FALSE)</f>
        <v>0</v>
      </c>
      <c r="H47" s="87">
        <f>VLOOKUP($A47,'Facility Detail'!$C:$T,12,FALSE)</f>
        <v>0</v>
      </c>
      <c r="I47" s="87">
        <f>VLOOKUP($A47,'Facility Detail'!$C:$T,13,FALSE)</f>
        <v>0</v>
      </c>
      <c r="J47" s="87">
        <f>VLOOKUP($A47,'Facility Detail'!$C:$T,14,FALSE)</f>
        <v>0</v>
      </c>
      <c r="K47" s="87">
        <f>VLOOKUP($A47,'Facility Detail'!$C:$T,15,FALSE)</f>
        <v>0</v>
      </c>
      <c r="L47" s="87">
        <f>VLOOKUP($A47,'Facility Detail'!$C:$T,16,FALSE)</f>
        <v>10000</v>
      </c>
      <c r="M47" s="87">
        <f>VLOOKUP($A47,'Facility Detail'!$C:$T,17,FALSE)</f>
        <v>16610.632900565513</v>
      </c>
      <c r="N47" s="483">
        <f>VLOOKUP($A47,'Facility Detail'!$C:$T,18,FALSE)</f>
        <v>30232.605055731903</v>
      </c>
      <c r="O47" s="87">
        <f>VLOOKUP($A47,'Facility Detail'!$C:$U,19,FALSE)</f>
        <v>26237.569214448551</v>
      </c>
      <c r="Q47" s="86" t="str">
        <f t="shared" si="16"/>
        <v>High Plains</v>
      </c>
      <c r="R47" s="86" t="str">
        <f t="shared" si="17"/>
        <v>Wind</v>
      </c>
      <c r="S47" s="87">
        <f>VLOOKUP($A47,'Facility Detail'!$A:$T,9,FALSE)</f>
        <v>0</v>
      </c>
      <c r="T47" s="87">
        <f>VLOOKUP($A47,'Facility Detail'!$A:$T,10,FALSE)</f>
        <v>0</v>
      </c>
      <c r="U47" s="87">
        <f>VLOOKUP($A47,'Facility Detail'!$A:$T,11,FALSE)</f>
        <v>0</v>
      </c>
      <c r="V47" s="87">
        <f>VLOOKUP($A47,'Facility Detail'!$A:$T,12,FALSE)</f>
        <v>0</v>
      </c>
      <c r="W47" s="87">
        <f>VLOOKUP($A47,'Facility Detail'!$A:$T,13,FALSE)</f>
        <v>0</v>
      </c>
      <c r="X47" s="87">
        <f>VLOOKUP($A47,'Facility Detail'!$A:$T,14,FALSE)</f>
        <v>0</v>
      </c>
      <c r="Y47" s="87">
        <f>VLOOKUP($A47,'Facility Detail'!$A:$T,15,FALSE)</f>
        <v>0</v>
      </c>
      <c r="Z47" s="87">
        <f>VLOOKUP($A47,'Facility Detail'!$A:$T,16,FALSE)</f>
        <v>0</v>
      </c>
      <c r="AA47" s="87">
        <f>VLOOKUP($A47,'Facility Detail'!$A:$T,17,FALSE)</f>
        <v>0</v>
      </c>
      <c r="AB47" s="87">
        <f>VLOOKUP($A47,'Facility Detail'!$A:$T,18,FALSE)</f>
        <v>0</v>
      </c>
      <c r="AC47" s="87">
        <f>VLOOKUP($A47,'Facility Detail'!$A:$T,19,FALSE)</f>
        <v>26610.632900565513</v>
      </c>
      <c r="AD47" s="87">
        <f>VLOOKUP($A47,'Facility Detail'!$A:$T,20,FALSE)</f>
        <v>30232.605055731903</v>
      </c>
      <c r="AE47" s="87">
        <f>VLOOKUP($A47,'Facility Detail'!$A:$U,21,FALSE)</f>
        <v>26237.569214448551</v>
      </c>
    </row>
    <row r="48" spans="1:31" ht="15">
      <c r="A48" s="86" t="str">
        <f>'Facility Detail'!G33</f>
        <v>Hot Springs Windfarm - REC Only</v>
      </c>
      <c r="B48" s="86" t="str">
        <f xml:space="preserve"> IF( 'Facility Detail'!I33 = "", "", 'Facility Detail'!I33 )</f>
        <v>Wind</v>
      </c>
      <c r="C48" s="87">
        <f>VLOOKUP($A48,'Facility Detail'!$C:$T,7,FALSE)</f>
        <v>0</v>
      </c>
      <c r="D48" s="87">
        <f>VLOOKUP($A48,'Facility Detail'!$C:$T,8,FALSE)</f>
        <v>7963</v>
      </c>
      <c r="E48" s="87">
        <f>VLOOKUP($A48,'Facility Detail'!$C:$T,9,FALSE)</f>
        <v>0</v>
      </c>
      <c r="F48" s="87">
        <f>VLOOKUP($A48,'Facility Detail'!$C:$T,10,FALSE)</f>
        <v>0</v>
      </c>
      <c r="G48" s="87">
        <f>VLOOKUP($A48,'Facility Detail'!$C:$T,11,FALSE)</f>
        <v>0</v>
      </c>
      <c r="H48" s="87">
        <f>VLOOKUP($A48,'Facility Detail'!$C:$T,12,FALSE)</f>
        <v>8028</v>
      </c>
      <c r="I48" s="87">
        <f>VLOOKUP($A48,'Facility Detail'!$C:$T,13,FALSE)</f>
        <v>10218</v>
      </c>
      <c r="J48" s="87">
        <f>VLOOKUP($A48,'Facility Detail'!$C:$T,14,FALSE)</f>
        <v>8846</v>
      </c>
      <c r="K48" s="87">
        <f>VLOOKUP($A48,'Facility Detail'!$C:$T,15,FALSE)</f>
        <v>1923</v>
      </c>
      <c r="L48" s="87">
        <f>VLOOKUP($A48,'Facility Detail'!$C:$T,16,FALSE)</f>
        <v>0</v>
      </c>
      <c r="M48" s="87">
        <f>VLOOKUP($A48,'Facility Detail'!$C:$T,17,FALSE)</f>
        <v>0</v>
      </c>
      <c r="N48" s="483">
        <f>VLOOKUP($A48,'Facility Detail'!$C:$T,18,FALSE)</f>
        <v>0</v>
      </c>
      <c r="O48" s="87">
        <f>VLOOKUP($A48,'Facility Detail'!$C:$U,19,FALSE)</f>
        <v>0</v>
      </c>
      <c r="Q48" s="86" t="str">
        <f t="shared" si="16"/>
        <v>Hot Springs Windfarm - REC Only</v>
      </c>
      <c r="R48" s="86" t="str">
        <f t="shared" si="17"/>
        <v>Wind</v>
      </c>
      <c r="S48" s="87">
        <f>VLOOKUP($A48,'Facility Detail'!$A:$T,9,FALSE)</f>
        <v>7963</v>
      </c>
      <c r="T48" s="87">
        <f>VLOOKUP($A48,'Facility Detail'!$A:$T,10,FALSE)</f>
        <v>0</v>
      </c>
      <c r="U48" s="87">
        <f>VLOOKUP($A48,'Facility Detail'!$A:$T,11,FALSE)</f>
        <v>0</v>
      </c>
      <c r="V48" s="87">
        <f>VLOOKUP($A48,'Facility Detail'!$A:$T,12,FALSE)</f>
        <v>0</v>
      </c>
      <c r="W48" s="87">
        <f>VLOOKUP($A48,'Facility Detail'!$A:$T,13,FALSE)</f>
        <v>8028</v>
      </c>
      <c r="X48" s="87">
        <f>VLOOKUP($A48,'Facility Detail'!$A:$T,14,FALSE)</f>
        <v>10218</v>
      </c>
      <c r="Y48" s="87">
        <f>VLOOKUP($A48,'Facility Detail'!$A:$T,15,FALSE)</f>
        <v>8846</v>
      </c>
      <c r="Z48" s="87">
        <f>VLOOKUP($A48,'Facility Detail'!$A:$T,16,FALSE)</f>
        <v>1923</v>
      </c>
      <c r="AA48" s="87">
        <f>VLOOKUP($A48,'Facility Detail'!$A:$T,17,FALSE)</f>
        <v>0</v>
      </c>
      <c r="AB48" s="87">
        <f>VLOOKUP($A48,'Facility Detail'!$A:$T,18,FALSE)</f>
        <v>0</v>
      </c>
      <c r="AC48" s="87">
        <f>VLOOKUP($A48,'Facility Detail'!$A:$T,19,FALSE)</f>
        <v>0</v>
      </c>
      <c r="AD48" s="87">
        <f>VLOOKUP($A48,'Facility Detail'!$A:$T,20,FALSE)</f>
        <v>0</v>
      </c>
      <c r="AE48" s="87">
        <f>VLOOKUP($A48,'Facility Detail'!$A:$U,21,FALSE)</f>
        <v>0</v>
      </c>
    </row>
    <row r="49" spans="1:31" ht="15" outlineLevel="1">
      <c r="A49" s="86" t="str">
        <f>'Facility Detail'!G34</f>
        <v xml:space="preserve">JC Boyle </v>
      </c>
      <c r="B49" s="86" t="str">
        <f xml:space="preserve"> IF( 'Facility Detail'!I34 = "", "", 'Facility Detail'!I34 )</f>
        <v>Water (Incremental Hydro)</v>
      </c>
      <c r="C49" s="87">
        <f>VLOOKUP($A49,'Facility Detail'!$C:$T,7,FALSE)</f>
        <v>0</v>
      </c>
      <c r="D49" s="87">
        <f>VLOOKUP($A49,'Facility Detail'!$C:$T,8,FALSE)</f>
        <v>276</v>
      </c>
      <c r="E49" s="87">
        <f>VLOOKUP($A49,'Facility Detail'!$C:$T,9,FALSE)</f>
        <v>189</v>
      </c>
      <c r="F49" s="87">
        <f>VLOOKUP($A49,'Facility Detail'!$C:$T,10,FALSE)</f>
        <v>184</v>
      </c>
      <c r="G49" s="87">
        <f>VLOOKUP($A49,'Facility Detail'!$C:$T,11,FALSE)</f>
        <v>172</v>
      </c>
      <c r="H49" s="87">
        <f>VLOOKUP($A49,'Facility Detail'!$C:$T,12,FALSE)</f>
        <v>235</v>
      </c>
      <c r="I49" s="87">
        <f>VLOOKUP($A49,'Facility Detail'!$C:$T,13,FALSE)</f>
        <v>342</v>
      </c>
      <c r="J49" s="87">
        <f>VLOOKUP($A49,'Facility Detail'!$C:$T,14,FALSE)</f>
        <v>205</v>
      </c>
      <c r="K49" s="87">
        <f>VLOOKUP($A49,'Facility Detail'!$C:$T,15,FALSE)</f>
        <v>234</v>
      </c>
      <c r="L49" s="87">
        <f>VLOOKUP($A49,'Facility Detail'!$C:$T,16,FALSE)</f>
        <v>192</v>
      </c>
      <c r="M49" s="87">
        <f>VLOOKUP($A49,'Facility Detail'!$C:$T,17,FALSE)</f>
        <v>164</v>
      </c>
      <c r="N49" s="483">
        <f>VLOOKUP($A49,'Facility Detail'!$C:$T,18,FALSE)</f>
        <v>164</v>
      </c>
      <c r="O49" s="87">
        <f>VLOOKUP($A49,'Facility Detail'!$C:$U,19,FALSE)</f>
        <v>92</v>
      </c>
      <c r="Q49" s="86" t="str">
        <f t="shared" si="16"/>
        <v xml:space="preserve">JC Boyle </v>
      </c>
      <c r="R49" s="86" t="str">
        <f t="shared" si="17"/>
        <v>Water (Incremental Hydro)</v>
      </c>
      <c r="S49" s="87">
        <f>VLOOKUP($A49,'Facility Detail'!$A:$T,9,FALSE)</f>
        <v>0</v>
      </c>
      <c r="T49" s="87">
        <f>VLOOKUP($A49,'Facility Detail'!$A:$T,10,FALSE)</f>
        <v>276</v>
      </c>
      <c r="U49" s="87">
        <f>VLOOKUP($A49,'Facility Detail'!$A:$T,11,FALSE)</f>
        <v>189</v>
      </c>
      <c r="V49" s="87">
        <f>VLOOKUP($A49,'Facility Detail'!$A:$T,12,FALSE)</f>
        <v>184</v>
      </c>
      <c r="W49" s="87">
        <f>VLOOKUP($A49,'Facility Detail'!$A:$T,13,FALSE)</f>
        <v>172</v>
      </c>
      <c r="X49" s="87">
        <f>VLOOKUP($A49,'Facility Detail'!$A:$T,14,FALSE)</f>
        <v>235</v>
      </c>
      <c r="Y49" s="87">
        <f>VLOOKUP($A49,'Facility Detail'!$A:$T,15,FALSE)</f>
        <v>342</v>
      </c>
      <c r="Z49" s="87">
        <f>VLOOKUP($A49,'Facility Detail'!$A:$T,16,FALSE)</f>
        <v>205</v>
      </c>
      <c r="AA49" s="87">
        <f>VLOOKUP($A49,'Facility Detail'!$A:$T,17,FALSE)</f>
        <v>234</v>
      </c>
      <c r="AB49" s="87">
        <f>VLOOKUP($A49,'Facility Detail'!$A:$T,18,FALSE)</f>
        <v>192</v>
      </c>
      <c r="AC49" s="87">
        <f>VLOOKUP($A49,'Facility Detail'!$A:$T,19,FALSE)</f>
        <v>164</v>
      </c>
      <c r="AD49" s="87">
        <f>VLOOKUP($A49,'Facility Detail'!$A:$T,20,FALSE)</f>
        <v>164</v>
      </c>
      <c r="AE49" s="87">
        <f>VLOOKUP($A49,'Facility Detail'!$A:$U,21,FALSE)</f>
        <v>92</v>
      </c>
    </row>
    <row r="50" spans="1:31" ht="15" outlineLevel="1">
      <c r="A50" s="86" t="str">
        <f>'Facility Detail'!G35</f>
        <v>Klondike I - Klondike Wind Power LLC - REC Only</v>
      </c>
      <c r="B50" s="86" t="str">
        <f xml:space="preserve"> IF( 'Facility Detail'!I35 = "", "", 'Facility Detail'!I35 )</f>
        <v>Wind</v>
      </c>
      <c r="C50" s="87">
        <f>VLOOKUP($A50,'Facility Detail'!$C:$T,7,FALSE)</f>
        <v>0</v>
      </c>
      <c r="D50" s="87">
        <f>VLOOKUP($A50,'Facility Detail'!$C:$T,8,FALSE)</f>
        <v>0</v>
      </c>
      <c r="E50" s="87">
        <f>VLOOKUP($A50,'Facility Detail'!$C:$T,9,FALSE)</f>
        <v>0</v>
      </c>
      <c r="F50" s="87">
        <f>VLOOKUP($A50,'Facility Detail'!$C:$T,10,FALSE)</f>
        <v>0</v>
      </c>
      <c r="G50" s="87">
        <f>VLOOKUP($A50,'Facility Detail'!$C:$T,11,FALSE)</f>
        <v>0</v>
      </c>
      <c r="H50" s="87">
        <f>VLOOKUP($A50,'Facility Detail'!$C:$T,12,FALSE)</f>
        <v>0</v>
      </c>
      <c r="I50" s="87">
        <f>VLOOKUP($A50,'Facility Detail'!$C:$T,13,FALSE)</f>
        <v>8543</v>
      </c>
      <c r="J50" s="87">
        <f>VLOOKUP($A50,'Facility Detail'!$C:$T,14,FALSE)</f>
        <v>0</v>
      </c>
      <c r="K50" s="87">
        <f>VLOOKUP($A50,'Facility Detail'!$C:$T,15,FALSE)</f>
        <v>0</v>
      </c>
      <c r="L50" s="87">
        <f>VLOOKUP($A50,'Facility Detail'!$C:$T,16,FALSE)</f>
        <v>0</v>
      </c>
      <c r="M50" s="87">
        <f>VLOOKUP($A50,'Facility Detail'!$C:$T,17,FALSE)</f>
        <v>0</v>
      </c>
      <c r="N50" s="483">
        <f>VLOOKUP($A50,'Facility Detail'!$C:$T,18,FALSE)</f>
        <v>0</v>
      </c>
      <c r="O50" s="87">
        <f>VLOOKUP($A50,'Facility Detail'!$C:$U,19,FALSE)</f>
        <v>0</v>
      </c>
      <c r="Q50" s="86" t="str">
        <f t="shared" si="16"/>
        <v>Klondike I - Klondike Wind Power LLC - REC Only</v>
      </c>
      <c r="R50" s="86" t="str">
        <f t="shared" si="17"/>
        <v>Wind</v>
      </c>
      <c r="S50" s="87">
        <f>VLOOKUP($A50,'Facility Detail'!$A:$T,9,FALSE)</f>
        <v>0</v>
      </c>
      <c r="T50" s="87">
        <f>VLOOKUP($A50,'Facility Detail'!$A:$T,10,FALSE)</f>
        <v>0</v>
      </c>
      <c r="U50" s="87">
        <f>VLOOKUP($A50,'Facility Detail'!$A:$T,11,FALSE)</f>
        <v>0</v>
      </c>
      <c r="V50" s="87">
        <f>VLOOKUP($A50,'Facility Detail'!$A:$T,12,FALSE)</f>
        <v>0</v>
      </c>
      <c r="W50" s="87">
        <f>VLOOKUP($A50,'Facility Detail'!$A:$T,13,FALSE)</f>
        <v>0</v>
      </c>
      <c r="X50" s="87">
        <f>VLOOKUP($A50,'Facility Detail'!$A:$T,14,FALSE)</f>
        <v>8543</v>
      </c>
      <c r="Y50" s="87">
        <f>VLOOKUP($A50,'Facility Detail'!$A:$T,15,FALSE)</f>
        <v>0</v>
      </c>
      <c r="Z50" s="87">
        <f>VLOOKUP($A50,'Facility Detail'!$A:$T,16,FALSE)</f>
        <v>0</v>
      </c>
      <c r="AA50" s="87">
        <f>VLOOKUP($A50,'Facility Detail'!$A:$T,17,FALSE)</f>
        <v>0</v>
      </c>
      <c r="AB50" s="87">
        <f>VLOOKUP($A50,'Facility Detail'!$A:$T,18,FALSE)</f>
        <v>0</v>
      </c>
      <c r="AC50" s="87">
        <f>VLOOKUP($A50,'Facility Detail'!$A:$T,19,FALSE)</f>
        <v>0</v>
      </c>
      <c r="AD50" s="87">
        <f>VLOOKUP($A50,'Facility Detail'!$A:$T,20,FALSE)</f>
        <v>0</v>
      </c>
      <c r="AE50" s="87">
        <f>VLOOKUP($A50,'Facility Detail'!$A:$U,21,FALSE)</f>
        <v>0</v>
      </c>
    </row>
    <row r="51" spans="1:31" ht="15" outlineLevel="1">
      <c r="A51" s="86" t="str">
        <f>'Facility Detail'!G36</f>
        <v>Latigo Wind</v>
      </c>
      <c r="B51" s="86" t="str">
        <f xml:space="preserve"> IF( 'Facility Detail'!I36 = "", "", 'Facility Detail'!I36 )</f>
        <v>Wind</v>
      </c>
      <c r="C51" s="87">
        <f>VLOOKUP($A51,'Facility Detail'!$C:$T,7,FALSE)</f>
        <v>0</v>
      </c>
      <c r="D51" s="87">
        <f>VLOOKUP($A51,'Facility Detail'!$C:$T,8,FALSE)</f>
        <v>0</v>
      </c>
      <c r="E51" s="87">
        <f>VLOOKUP($A51,'Facility Detail'!$C:$T,9,FALSE)</f>
        <v>0</v>
      </c>
      <c r="F51" s="87">
        <f>VLOOKUP($A51,'Facility Detail'!$C:$T,10,FALSE)</f>
        <v>0</v>
      </c>
      <c r="G51" s="87">
        <f>VLOOKUP($A51,'Facility Detail'!$C:$T,11,FALSE)</f>
        <v>0</v>
      </c>
      <c r="H51" s="87">
        <f>VLOOKUP($A51,'Facility Detail'!$C:$T,12,FALSE)</f>
        <v>0</v>
      </c>
      <c r="I51" s="87">
        <f>VLOOKUP($A51,'Facility Detail'!$C:$T,13,FALSE)</f>
        <v>0</v>
      </c>
      <c r="J51" s="87">
        <f>VLOOKUP($A51,'Facility Detail'!$C:$T,14,FALSE)</f>
        <v>0</v>
      </c>
      <c r="K51" s="87">
        <f>VLOOKUP($A51,'Facility Detail'!$C:$T,15,FALSE)</f>
        <v>0</v>
      </c>
      <c r="L51" s="87">
        <f>VLOOKUP($A51,'Facility Detail'!$C:$T,16,FALSE)</f>
        <v>0</v>
      </c>
      <c r="M51" s="87">
        <f>VLOOKUP($A51,'Facility Detail'!$C:$T,17,FALSE)</f>
        <v>0</v>
      </c>
      <c r="N51" s="483">
        <f>VLOOKUP($A51,'Facility Detail'!$C:$T,18,FALSE)</f>
        <v>0</v>
      </c>
      <c r="O51" s="87">
        <f>VLOOKUP($A51,'Facility Detail'!$C:$U,19,FALSE)</f>
        <v>0</v>
      </c>
      <c r="Q51" s="86" t="str">
        <f t="shared" si="16"/>
        <v>Latigo Wind</v>
      </c>
      <c r="R51" s="86" t="str">
        <f t="shared" si="17"/>
        <v>Wind</v>
      </c>
      <c r="S51" s="87">
        <f>VLOOKUP($A51,'Facility Detail'!$A:$T,9,FALSE)</f>
        <v>0</v>
      </c>
      <c r="T51" s="87">
        <f>VLOOKUP($A51,'Facility Detail'!$A:$T,10,FALSE)</f>
        <v>0</v>
      </c>
      <c r="U51" s="87">
        <f>VLOOKUP($A51,'Facility Detail'!$A:$T,11,FALSE)</f>
        <v>0</v>
      </c>
      <c r="V51" s="87">
        <f>VLOOKUP($A51,'Facility Detail'!$A:$T,12,FALSE)</f>
        <v>0</v>
      </c>
      <c r="W51" s="87">
        <f>VLOOKUP($A51,'Facility Detail'!$A:$T,13,FALSE)</f>
        <v>0</v>
      </c>
      <c r="X51" s="87">
        <f>VLOOKUP($A51,'Facility Detail'!$A:$T,14,FALSE)</f>
        <v>0</v>
      </c>
      <c r="Y51" s="87">
        <f>VLOOKUP($A51,'Facility Detail'!$A:$T,15,FALSE)</f>
        <v>0</v>
      </c>
      <c r="Z51" s="87">
        <f>VLOOKUP($A51,'Facility Detail'!$A:$T,16,FALSE)</f>
        <v>0</v>
      </c>
      <c r="AA51" s="87">
        <f>VLOOKUP($A51,'Facility Detail'!$A:$T,17,FALSE)</f>
        <v>0</v>
      </c>
      <c r="AB51" s="87">
        <f>VLOOKUP($A51,'Facility Detail'!$A:$T,18,FALSE)</f>
        <v>0</v>
      </c>
      <c r="AC51" s="87">
        <f>VLOOKUP($A51,'Facility Detail'!$A:$T,19,FALSE)</f>
        <v>0</v>
      </c>
      <c r="AD51" s="87">
        <f>VLOOKUP($A51,'Facility Detail'!$A:$T,20,FALSE)</f>
        <v>0</v>
      </c>
      <c r="AE51" s="87">
        <f>VLOOKUP($A51,'Facility Detail'!$A:$U,21,FALSE)</f>
        <v>0</v>
      </c>
    </row>
    <row r="52" spans="1:31" ht="15" outlineLevel="1">
      <c r="A52" s="86" t="str">
        <f>'Facility Detail'!G37</f>
        <v>Leaning Juniper</v>
      </c>
      <c r="B52" s="86" t="str">
        <f xml:space="preserve"> IF( 'Facility Detail'!I37 = "", "", 'Facility Detail'!I37 )</f>
        <v>Wind</v>
      </c>
      <c r="C52" s="87">
        <f>VLOOKUP($A52,'Facility Detail'!$C:$T,7,FALSE)</f>
        <v>0</v>
      </c>
      <c r="D52" s="87">
        <f>VLOOKUP($A52,'Facility Detail'!$C:$T,8,FALSE)</f>
        <v>18530</v>
      </c>
      <c r="E52" s="87">
        <f>VLOOKUP($A52,'Facility Detail'!$C:$T,9,FALSE)</f>
        <v>15200</v>
      </c>
      <c r="F52" s="87">
        <f>VLOOKUP($A52,'Facility Detail'!$C:$T,10,FALSE)</f>
        <v>16235</v>
      </c>
      <c r="G52" s="87">
        <f>VLOOKUP($A52,'Facility Detail'!$C:$T,11,FALSE)</f>
        <v>17270</v>
      </c>
      <c r="H52" s="87">
        <f>VLOOKUP($A52,'Facility Detail'!$C:$T,12,FALSE)</f>
        <v>31739</v>
      </c>
      <c r="I52" s="87">
        <f>VLOOKUP($A52,'Facility Detail'!$C:$T,13,FALSE)</f>
        <v>12585</v>
      </c>
      <c r="J52" s="87">
        <f>VLOOKUP($A52,'Facility Detail'!$C:$T,14,FALSE)</f>
        <v>16022</v>
      </c>
      <c r="K52" s="87">
        <f>VLOOKUP($A52,'Facility Detail'!$C:$T,15,FALSE)</f>
        <v>12827</v>
      </c>
      <c r="L52" s="87">
        <f>VLOOKUP($A52,'Facility Detail'!$C:$T,16,FALSE)</f>
        <v>35709.434678165562</v>
      </c>
      <c r="M52" s="87">
        <f>VLOOKUP($A52,'Facility Detail'!$C:$T,17,FALSE)</f>
        <v>13402.275112624091</v>
      </c>
      <c r="N52" s="483">
        <f>VLOOKUP($A52,'Facility Detail'!$C:$T,18,FALSE)</f>
        <v>19952.818569304261</v>
      </c>
      <c r="O52" s="87">
        <f>VLOOKUP($A52,'Facility Detail'!$C:$U,19,FALSE)</f>
        <v>21807.939345218649</v>
      </c>
      <c r="Q52" s="86" t="str">
        <f t="shared" si="16"/>
        <v>Leaning Juniper</v>
      </c>
      <c r="R52" s="86" t="str">
        <f t="shared" si="17"/>
        <v>Wind</v>
      </c>
      <c r="S52" s="87">
        <f>VLOOKUP($A52,'Facility Detail'!$A:$T,9,FALSE)</f>
        <v>18530</v>
      </c>
      <c r="T52" s="87">
        <f>VLOOKUP($A52,'Facility Detail'!$A:$T,10,FALSE)</f>
        <v>15200</v>
      </c>
      <c r="U52" s="87">
        <f>VLOOKUP($A52,'Facility Detail'!$A:$T,11,FALSE)</f>
        <v>16235</v>
      </c>
      <c r="V52" s="87">
        <f>VLOOKUP($A52,'Facility Detail'!$A:$T,12,FALSE)</f>
        <v>17270</v>
      </c>
      <c r="W52" s="87">
        <f>VLOOKUP($A52,'Facility Detail'!$A:$T,13,FALSE)</f>
        <v>15187</v>
      </c>
      <c r="X52" s="87">
        <f>VLOOKUP($A52,'Facility Detail'!$A:$T,14,FALSE)</f>
        <v>16552</v>
      </c>
      <c r="Y52" s="87">
        <f>VLOOKUP($A52,'Facility Detail'!$A:$T,15,FALSE)</f>
        <v>12585</v>
      </c>
      <c r="Z52" s="87">
        <f>VLOOKUP($A52,'Facility Detail'!$A:$T,16,FALSE)</f>
        <v>16022</v>
      </c>
      <c r="AA52" s="87">
        <f>VLOOKUP($A52,'Facility Detail'!$A:$T,17,FALSE)</f>
        <v>12827</v>
      </c>
      <c r="AB52" s="87">
        <f>VLOOKUP($A52,'Facility Detail'!$A:$T,18,FALSE)</f>
        <v>25709.434678165562</v>
      </c>
      <c r="AC52" s="87">
        <f>VLOOKUP($A52,'Facility Detail'!$A:$T,19,FALSE)</f>
        <v>23402.275112624091</v>
      </c>
      <c r="AD52" s="87">
        <f>VLOOKUP($A52,'Facility Detail'!$A:$T,20,FALSE)</f>
        <v>19952.818569304261</v>
      </c>
      <c r="AE52" s="87">
        <f>VLOOKUP($A52,'Facility Detail'!$A:$U,21,FALSE)</f>
        <v>21807.939345218649</v>
      </c>
    </row>
    <row r="53" spans="1:31" ht="15" outlineLevel="1">
      <c r="A53" s="86" t="str">
        <f>'Facility Detail'!G38</f>
        <v xml:space="preserve">Lemolo 1 </v>
      </c>
      <c r="B53" s="86" t="str">
        <f xml:space="preserve"> IF( 'Facility Detail'!I38 = "", "", 'Facility Detail'!I38 )</f>
        <v>Water (Incremental Hydro)</v>
      </c>
      <c r="C53" s="87">
        <f>VLOOKUP($A53,'Facility Detail'!$C:$T,7,FALSE)</f>
        <v>0</v>
      </c>
      <c r="D53" s="87">
        <f>VLOOKUP($A53,'Facility Detail'!$C:$T,8,FALSE)</f>
        <v>1355</v>
      </c>
      <c r="E53" s="87">
        <f>VLOOKUP($A53,'Facility Detail'!$C:$T,9,FALSE)</f>
        <v>997</v>
      </c>
      <c r="F53" s="87">
        <f>VLOOKUP($A53,'Facility Detail'!$C:$T,10,FALSE)</f>
        <v>1148</v>
      </c>
      <c r="G53" s="87">
        <f>VLOOKUP($A53,'Facility Detail'!$C:$T,11,FALSE)</f>
        <v>1011</v>
      </c>
      <c r="H53" s="87">
        <f>VLOOKUP($A53,'Facility Detail'!$C:$T,12,FALSE)</f>
        <v>1113</v>
      </c>
      <c r="I53" s="87">
        <f>VLOOKUP($A53,'Facility Detail'!$C:$T,13,FALSE)</f>
        <v>1438</v>
      </c>
      <c r="J53" s="87">
        <f>VLOOKUP($A53,'Facility Detail'!$C:$T,14,FALSE)</f>
        <v>1007</v>
      </c>
      <c r="K53" s="87">
        <f>VLOOKUP($A53,'Facility Detail'!$C:$T,15,FALSE)</f>
        <v>892.99835228774452</v>
      </c>
      <c r="L53" s="87">
        <f>VLOOKUP($A53,'Facility Detail'!$C:$T,16,FALSE)</f>
        <v>684.52626447897603</v>
      </c>
      <c r="M53" s="87">
        <f>VLOOKUP($A53,'Facility Detail'!$C:$T,17,FALSE)</f>
        <v>675</v>
      </c>
      <c r="N53" s="483">
        <f>VLOOKUP($A53,'Facility Detail'!$C:$T,18,FALSE)</f>
        <v>832.49601722618843</v>
      </c>
      <c r="O53" s="87">
        <f>VLOOKUP($A53,'Facility Detail'!$C:$U,19,FALSE)</f>
        <v>936.89082763834108</v>
      </c>
      <c r="Q53" s="86" t="str">
        <f t="shared" si="16"/>
        <v xml:space="preserve">Lemolo 1 </v>
      </c>
      <c r="R53" s="86" t="str">
        <f t="shared" si="17"/>
        <v>Water (Incremental Hydro)</v>
      </c>
      <c r="S53" s="87">
        <f>VLOOKUP($A53,'Facility Detail'!$A:$T,9,FALSE)</f>
        <v>0</v>
      </c>
      <c r="T53" s="87">
        <f>VLOOKUP($A53,'Facility Detail'!$A:$T,10,FALSE)</f>
        <v>1355</v>
      </c>
      <c r="U53" s="87">
        <f>VLOOKUP($A53,'Facility Detail'!$A:$T,11,FALSE)</f>
        <v>997</v>
      </c>
      <c r="V53" s="87">
        <f>VLOOKUP($A53,'Facility Detail'!$A:$T,12,FALSE)</f>
        <v>1148</v>
      </c>
      <c r="W53" s="87">
        <f>VLOOKUP($A53,'Facility Detail'!$A:$T,13,FALSE)</f>
        <v>1011</v>
      </c>
      <c r="X53" s="87">
        <f>VLOOKUP($A53,'Facility Detail'!$A:$T,14,FALSE)</f>
        <v>1113</v>
      </c>
      <c r="Y53" s="87">
        <f>VLOOKUP($A53,'Facility Detail'!$A:$T,15,FALSE)</f>
        <v>1438</v>
      </c>
      <c r="Z53" s="87">
        <f>VLOOKUP($A53,'Facility Detail'!$A:$T,16,FALSE)</f>
        <v>1007</v>
      </c>
      <c r="AA53" s="87">
        <f>VLOOKUP($A53,'Facility Detail'!$A:$T,17,FALSE)</f>
        <v>892.99835228774452</v>
      </c>
      <c r="AB53" s="87">
        <f>VLOOKUP($A53,'Facility Detail'!$A:$T,18,FALSE)</f>
        <v>684.52626447897603</v>
      </c>
      <c r="AC53" s="87">
        <f>VLOOKUP($A53,'Facility Detail'!$A:$T,19,FALSE)</f>
        <v>675</v>
      </c>
      <c r="AD53" s="87">
        <f>VLOOKUP($A53,'Facility Detail'!$A:$T,20,FALSE)</f>
        <v>832.49601722618843</v>
      </c>
      <c r="AE53" s="87">
        <f>VLOOKUP($A53,'Facility Detail'!$A:$U,21,FALSE)</f>
        <v>936.89082763834108</v>
      </c>
    </row>
    <row r="54" spans="1:31" ht="15" outlineLevel="1">
      <c r="A54" s="86" t="str">
        <f>'Facility Detail'!G39</f>
        <v xml:space="preserve">Lemolo 2 </v>
      </c>
      <c r="B54" s="86" t="str">
        <f xml:space="preserve"> IF( 'Facility Detail'!I39 = "", "", 'Facility Detail'!I39 )</f>
        <v>Water (Incremental Hydro)</v>
      </c>
      <c r="C54" s="87">
        <f>VLOOKUP($A54,'Facility Detail'!$A:$T,9,FALSE)</f>
        <v>0</v>
      </c>
      <c r="D54" s="87">
        <f>VLOOKUP($A54,'Facility Detail'!$A:$T,10,FALSE)</f>
        <v>142</v>
      </c>
      <c r="E54" s="87">
        <f>VLOOKUP($A54,'Facility Detail'!$A:$T,11,FALSE)</f>
        <v>102</v>
      </c>
      <c r="F54" s="87">
        <f>VLOOKUP($A54,'Facility Detail'!$A:$T,12,FALSE)</f>
        <v>109</v>
      </c>
      <c r="G54" s="87">
        <f>VLOOKUP($A54,'Facility Detail'!$A:$T,13,FALSE)</f>
        <v>86</v>
      </c>
      <c r="H54" s="87">
        <f>VLOOKUP($A54,'Facility Detail'!$A:$T,14,FALSE)</f>
        <v>95</v>
      </c>
      <c r="I54" s="87">
        <f>VLOOKUP($A54,'Facility Detail'!$A:$T,15,FALSE)</f>
        <v>127</v>
      </c>
      <c r="J54" s="87">
        <f>VLOOKUP($A54,'Facility Detail'!$A:$T,16,FALSE)</f>
        <v>84</v>
      </c>
      <c r="K54" s="87">
        <f>VLOOKUP($A54,'Facility Detail'!$A:$T,17,FALSE)</f>
        <v>86.698869154149946</v>
      </c>
      <c r="L54" s="87">
        <f>VLOOKUP($A54,'Facility Detail'!$A:$T,18,FALSE)</f>
        <v>60.707719288352735</v>
      </c>
      <c r="M54" s="87">
        <f>VLOOKUP($A54,'Facility Detail'!$A:$T,19,FALSE)</f>
        <v>62</v>
      </c>
      <c r="N54" s="483">
        <f>VLOOKUP($A54,'Facility Detail'!$A:$T,20,FALSE)</f>
        <v>66.691017364095487</v>
      </c>
      <c r="O54" s="87">
        <f>VLOOKUP($A54,'Facility Detail'!$A:$U,21,FALSE)</f>
        <v>98.479779020316045</v>
      </c>
      <c r="Q54" s="86" t="str">
        <f t="shared" si="16"/>
        <v xml:space="preserve">Lemolo 2 </v>
      </c>
      <c r="R54" s="86" t="str">
        <f t="shared" si="17"/>
        <v>Water (Incremental Hydro)</v>
      </c>
      <c r="S54" s="87">
        <f>VLOOKUP($A54,'Facility Detail'!$A:$T,9,FALSE)</f>
        <v>0</v>
      </c>
      <c r="T54" s="87">
        <f>VLOOKUP($A54,'Facility Detail'!$A:$T,10,FALSE)</f>
        <v>142</v>
      </c>
      <c r="U54" s="87">
        <f>VLOOKUP($A54,'Facility Detail'!$A:$T,11,FALSE)</f>
        <v>102</v>
      </c>
      <c r="V54" s="87">
        <f>VLOOKUP($A54,'Facility Detail'!$A:$T,12,FALSE)</f>
        <v>109</v>
      </c>
      <c r="W54" s="87">
        <f>VLOOKUP($A54,'Facility Detail'!$A:$T,13,FALSE)</f>
        <v>86</v>
      </c>
      <c r="X54" s="87">
        <f>VLOOKUP($A54,'Facility Detail'!$A:$T,14,FALSE)</f>
        <v>95</v>
      </c>
      <c r="Y54" s="87">
        <f>VLOOKUP($A54,'Facility Detail'!$A:$T,15,FALSE)</f>
        <v>127</v>
      </c>
      <c r="Z54" s="87">
        <f>VLOOKUP($A54,'Facility Detail'!$A:$T,16,FALSE)</f>
        <v>84</v>
      </c>
      <c r="AA54" s="87">
        <f>VLOOKUP($A54,'Facility Detail'!$A:$T,17,FALSE)</f>
        <v>86.698869154149946</v>
      </c>
      <c r="AB54" s="87">
        <f>VLOOKUP($A54,'Facility Detail'!$A:$T,18,FALSE)</f>
        <v>60.707719288352735</v>
      </c>
      <c r="AC54" s="87">
        <f>VLOOKUP($A54,'Facility Detail'!$A:$T,19,FALSE)</f>
        <v>62</v>
      </c>
      <c r="AD54" s="87">
        <f>VLOOKUP($A54,'Facility Detail'!$A:$T,20,FALSE)</f>
        <v>66.691017364095487</v>
      </c>
      <c r="AE54" s="87">
        <f>VLOOKUP($A54,'Facility Detail'!$A:$U,21,FALSE)</f>
        <v>98.479779020316045</v>
      </c>
    </row>
    <row r="55" spans="1:31" ht="15" outlineLevel="1">
      <c r="A55" s="86" t="str">
        <f>'Facility Detail'!G40</f>
        <v>Lower Snake – Phalen Gulch - REC Only</v>
      </c>
      <c r="B55" s="86" t="str">
        <f xml:space="preserve"> IF( 'Facility Detail'!I40 = "", "", 'Facility Detail'!I40 )</f>
        <v>Wind</v>
      </c>
      <c r="C55" s="87">
        <f>VLOOKUP($A55,'Facility Detail'!$C:$T,7,FALSE)</f>
        <v>0</v>
      </c>
      <c r="D55" s="87">
        <f>VLOOKUP($A55,'Facility Detail'!$C:$T,8,FALSE)</f>
        <v>0</v>
      </c>
      <c r="E55" s="87">
        <f>VLOOKUP($A55,'Facility Detail'!$C:$T,9,FALSE)</f>
        <v>0</v>
      </c>
      <c r="F55" s="87">
        <f>VLOOKUP($A55,'Facility Detail'!$C:$T,10,FALSE)</f>
        <v>0</v>
      </c>
      <c r="G55" s="87">
        <f>VLOOKUP($A55,'Facility Detail'!$C:$T,11,FALSE)</f>
        <v>0</v>
      </c>
      <c r="H55" s="87">
        <f>VLOOKUP($A55,'Facility Detail'!$C:$T,12,FALSE)</f>
        <v>1300</v>
      </c>
      <c r="I55" s="87">
        <f>VLOOKUP($A55,'Facility Detail'!$C:$T,13,FALSE)</f>
        <v>0</v>
      </c>
      <c r="J55" s="87">
        <f>VLOOKUP($A55,'Facility Detail'!$C:$T,14,FALSE)</f>
        <v>0</v>
      </c>
      <c r="K55" s="87">
        <f>VLOOKUP($A55,'Facility Detail'!$C:$T,15,FALSE)</f>
        <v>0</v>
      </c>
      <c r="L55" s="87">
        <f>VLOOKUP($A55,'Facility Detail'!$C:$T,16,FALSE)</f>
        <v>0</v>
      </c>
      <c r="M55" s="87">
        <f>VLOOKUP($A55,'Facility Detail'!$C:$T,17,FALSE)</f>
        <v>0</v>
      </c>
      <c r="N55" s="483">
        <f>VLOOKUP($A55,'Facility Detail'!$C:$T,18,FALSE)</f>
        <v>0</v>
      </c>
      <c r="O55" s="87">
        <f>VLOOKUP($A55,'Facility Detail'!$C:$U,19,FALSE)</f>
        <v>0</v>
      </c>
      <c r="Q55" s="86" t="str">
        <f t="shared" si="16"/>
        <v>Lower Snake – Phalen Gulch - REC Only</v>
      </c>
      <c r="R55" s="86" t="str">
        <f t="shared" si="17"/>
        <v>Wind</v>
      </c>
      <c r="S55" s="87">
        <f>VLOOKUP($A55,'Facility Detail'!$A:$T,9,FALSE)</f>
        <v>0</v>
      </c>
      <c r="T55" s="87">
        <f>VLOOKUP($A55,'Facility Detail'!$A:$T,10,FALSE)</f>
        <v>0</v>
      </c>
      <c r="U55" s="87">
        <f>VLOOKUP($A55,'Facility Detail'!$A:$T,11,FALSE)</f>
        <v>0</v>
      </c>
      <c r="V55" s="87">
        <f>VLOOKUP($A55,'Facility Detail'!$A:$T,12,FALSE)</f>
        <v>0</v>
      </c>
      <c r="W55" s="87">
        <f>VLOOKUP($A55,'Facility Detail'!$A:$T,13,FALSE)</f>
        <v>1300</v>
      </c>
      <c r="X55" s="87">
        <f>VLOOKUP($A55,'Facility Detail'!$A:$T,14,FALSE)</f>
        <v>0</v>
      </c>
      <c r="Y55" s="87">
        <f>VLOOKUP($A55,'Facility Detail'!$A:$T,15,FALSE)</f>
        <v>0</v>
      </c>
      <c r="Z55" s="87">
        <f>VLOOKUP($A55,'Facility Detail'!$A:$T,16,FALSE)</f>
        <v>0</v>
      </c>
      <c r="AA55" s="87">
        <f>VLOOKUP($A55,'Facility Detail'!$A:$T,17,FALSE)</f>
        <v>0</v>
      </c>
      <c r="AB55" s="87">
        <f>VLOOKUP($A55,'Facility Detail'!$A:$T,18,FALSE)</f>
        <v>0</v>
      </c>
      <c r="AC55" s="87">
        <f>VLOOKUP($A55,'Facility Detail'!$A:$T,19,FALSE)</f>
        <v>0</v>
      </c>
      <c r="AD55" s="87">
        <f>VLOOKUP($A55,'Facility Detail'!$A:$T,20,FALSE)</f>
        <v>0</v>
      </c>
      <c r="AE55" s="87">
        <f>VLOOKUP($A55,'Facility Detail'!$A:$U,21,FALSE)</f>
        <v>0</v>
      </c>
    </row>
    <row r="56" spans="1:31" ht="15" outlineLevel="1">
      <c r="A56" s="86" t="str">
        <f>'Facility Detail'!G41</f>
        <v>Marengo I</v>
      </c>
      <c r="B56" s="86" t="str">
        <f xml:space="preserve"> IF( 'Facility Detail'!I41 = "", "", 'Facility Detail'!I41 )</f>
        <v>Wind</v>
      </c>
      <c r="C56" s="87">
        <f>VLOOKUP($A56,'Facility Detail'!$C:$T,7,FALSE)</f>
        <v>0</v>
      </c>
      <c r="D56" s="87">
        <f>VLOOKUP($A56,'Facility Detail'!$C:$T,8,FALSE)</f>
        <v>31837</v>
      </c>
      <c r="E56" s="87">
        <f>VLOOKUP($A56,'Facility Detail'!$C:$T,9,FALSE)</f>
        <v>28557</v>
      </c>
      <c r="F56" s="87">
        <f>VLOOKUP($A56,'Facility Detail'!$C:$T,10,FALSE)</f>
        <v>26084</v>
      </c>
      <c r="G56" s="87">
        <f>VLOOKUP($A56,'Facility Detail'!$C:$T,11,FALSE)</f>
        <v>29478</v>
      </c>
      <c r="H56" s="87">
        <f>VLOOKUP($A56,'Facility Detail'!$C:$T,12,FALSE)</f>
        <v>53149</v>
      </c>
      <c r="I56" s="87">
        <f>VLOOKUP($A56,'Facility Detail'!$C:$T,13,FALSE)</f>
        <v>25507</v>
      </c>
      <c r="J56" s="87">
        <f>VLOOKUP($A56,'Facility Detail'!$C:$T,14,FALSE)</f>
        <v>26729</v>
      </c>
      <c r="K56" s="87">
        <f>VLOOKUP($A56,'Facility Detail'!$C:$T,15,FALSE)</f>
        <v>47404.412668069781</v>
      </c>
      <c r="L56" s="87">
        <f>VLOOKUP($A56,'Facility Detail'!$C:$T,16,FALSE)</f>
        <v>27956.279778484546</v>
      </c>
      <c r="M56" s="87">
        <f>VLOOKUP($A56,'Facility Detail'!$C:$T,17,FALSE)</f>
        <v>13642</v>
      </c>
      <c r="N56" s="483">
        <f>VLOOKUP($A56,'Facility Detail'!$C:$T,18,FALSE)</f>
        <v>30827</v>
      </c>
      <c r="O56" s="87">
        <f>VLOOKUP($A56,'Facility Detail'!$C:$U,19,FALSE)</f>
        <v>33978.660060703951</v>
      </c>
      <c r="Q56" s="86" t="str">
        <f t="shared" si="16"/>
        <v>Marengo I</v>
      </c>
      <c r="R56" s="86" t="str">
        <f t="shared" si="17"/>
        <v>Wind</v>
      </c>
      <c r="S56" s="87">
        <f>VLOOKUP($A56,'Facility Detail'!$A:$T,9,FALSE)</f>
        <v>31837</v>
      </c>
      <c r="T56" s="87">
        <f>VLOOKUP($A56,'Facility Detail'!$A:$T,10,FALSE)</f>
        <v>28557</v>
      </c>
      <c r="U56" s="87">
        <f>VLOOKUP($A56,'Facility Detail'!$A:$T,11,FALSE)</f>
        <v>26084</v>
      </c>
      <c r="V56" s="87">
        <f>VLOOKUP($A56,'Facility Detail'!$A:$T,12,FALSE)</f>
        <v>29478</v>
      </c>
      <c r="W56" s="87">
        <f>VLOOKUP($A56,'Facility Detail'!$A:$T,13,FALSE)</f>
        <v>24062</v>
      </c>
      <c r="X56" s="87">
        <f>VLOOKUP($A56,'Facility Detail'!$A:$T,14,FALSE)</f>
        <v>29087</v>
      </c>
      <c r="Y56" s="87">
        <f>VLOOKUP($A56,'Facility Detail'!$A:$T,15,FALSE)</f>
        <v>25507</v>
      </c>
      <c r="Z56" s="87">
        <f>VLOOKUP($A56,'Facility Detail'!$A:$T,16,FALSE)</f>
        <v>26729</v>
      </c>
      <c r="AA56" s="87">
        <f>VLOOKUP($A56,'Facility Detail'!$A:$T,17,FALSE)</f>
        <v>11173.412668069785</v>
      </c>
      <c r="AB56" s="87">
        <f>VLOOKUP($A56,'Facility Detail'!$A:$T,18,FALSE)</f>
        <v>39187.279778484546</v>
      </c>
      <c r="AC56" s="87">
        <f>VLOOKUP($A56,'Facility Detail'!$A:$T,19,FALSE)</f>
        <v>38642</v>
      </c>
      <c r="AD56" s="87">
        <f>VLOOKUP($A56,'Facility Detail'!$A:$T,20,FALSE)</f>
        <v>30827</v>
      </c>
      <c r="AE56" s="87">
        <f>VLOOKUP($A56,'Facility Detail'!$A:$U,21,FALSE)</f>
        <v>33978.660060703951</v>
      </c>
    </row>
    <row r="57" spans="1:31" ht="15" outlineLevel="1">
      <c r="A57" s="86" t="str">
        <f>'Facility Detail'!G42</f>
        <v>Marengo II</v>
      </c>
      <c r="B57" s="86" t="str">
        <f xml:space="preserve"> IF( 'Facility Detail'!I42 = "", "", 'Facility Detail'!I42 )</f>
        <v>Wind</v>
      </c>
      <c r="C57" s="87">
        <f>VLOOKUP($A57,'Facility Detail'!$C:$T,7,FALSE)</f>
        <v>0</v>
      </c>
      <c r="D57" s="87">
        <f>VLOOKUP($A57,'Facility Detail'!$C:$T,8,FALSE)</f>
        <v>15341</v>
      </c>
      <c r="E57" s="87">
        <f>VLOOKUP($A57,'Facility Detail'!$C:$T,9,FALSE)</f>
        <v>14137</v>
      </c>
      <c r="F57" s="87">
        <f>VLOOKUP($A57,'Facility Detail'!$C:$T,10,FALSE)</f>
        <v>12175</v>
      </c>
      <c r="G57" s="87">
        <f>VLOOKUP($A57,'Facility Detail'!$C:$T,11,FALSE)</f>
        <v>14022</v>
      </c>
      <c r="H57" s="87">
        <f>VLOOKUP($A57,'Facility Detail'!$C:$T,12,FALSE)</f>
        <v>25020</v>
      </c>
      <c r="I57" s="87">
        <f>VLOOKUP($A57,'Facility Detail'!$C:$T,13,FALSE)</f>
        <v>12396</v>
      </c>
      <c r="J57" s="87">
        <f>VLOOKUP($A57,'Facility Detail'!$C:$T,14,FALSE)</f>
        <v>13065</v>
      </c>
      <c r="K57" s="87">
        <f>VLOOKUP($A57,'Facility Detail'!$C:$T,15,FALSE)</f>
        <v>7010.0255567593495</v>
      </c>
      <c r="L57" s="87">
        <f>VLOOKUP($A57,'Facility Detail'!$C:$T,16,FALSE)</f>
        <v>28620.552182546271</v>
      </c>
      <c r="M57" s="87">
        <f>VLOOKUP($A57,'Facility Detail'!$C:$T,17,FALSE)</f>
        <v>8302</v>
      </c>
      <c r="N57" s="483">
        <f>VLOOKUP($A57,'Facility Detail'!$C:$T,18,FALSE)</f>
        <v>15483</v>
      </c>
      <c r="O57" s="87">
        <f>VLOOKUP($A57,'Facility Detail'!$C:$U,19,FALSE)</f>
        <v>18209.977482412709</v>
      </c>
      <c r="Q57" s="86" t="str">
        <f t="shared" si="16"/>
        <v>Marengo II</v>
      </c>
      <c r="R57" s="86" t="str">
        <f t="shared" si="17"/>
        <v>Wind</v>
      </c>
      <c r="S57" s="87">
        <f>VLOOKUP($A57,'Facility Detail'!$A:$T,9,FALSE)</f>
        <v>15341</v>
      </c>
      <c r="T57" s="87">
        <f>VLOOKUP($A57,'Facility Detail'!$A:$T,10,FALSE)</f>
        <v>14137</v>
      </c>
      <c r="U57" s="87">
        <f>VLOOKUP($A57,'Facility Detail'!$A:$T,11,FALSE)</f>
        <v>12175</v>
      </c>
      <c r="V57" s="87">
        <f>VLOOKUP($A57,'Facility Detail'!$A:$T,12,FALSE)</f>
        <v>14022</v>
      </c>
      <c r="W57" s="87">
        <f>VLOOKUP($A57,'Facility Detail'!$A:$T,13,FALSE)</f>
        <v>11102</v>
      </c>
      <c r="X57" s="87">
        <f>VLOOKUP($A57,'Facility Detail'!$A:$T,14,FALSE)</f>
        <v>13918</v>
      </c>
      <c r="Y57" s="87">
        <f>VLOOKUP($A57,'Facility Detail'!$A:$T,15,FALSE)</f>
        <v>12396</v>
      </c>
      <c r="Z57" s="87">
        <f>VLOOKUP($A57,'Facility Detail'!$A:$T,16,FALSE)</f>
        <v>13065</v>
      </c>
      <c r="AA57" s="87">
        <f>VLOOKUP($A57,'Facility Detail'!$A:$T,17,FALSE)</f>
        <v>7010.0255567593495</v>
      </c>
      <c r="AB57" s="87">
        <f>VLOOKUP($A57,'Facility Detail'!$A:$T,18,FALSE)</f>
        <v>17202.552182546271</v>
      </c>
      <c r="AC57" s="87">
        <f>VLOOKUP($A57,'Facility Detail'!$A:$T,19,FALSE)</f>
        <v>19720</v>
      </c>
      <c r="AD57" s="87">
        <f>VLOOKUP($A57,'Facility Detail'!$A:$T,20,FALSE)</f>
        <v>15483</v>
      </c>
      <c r="AE57" s="87">
        <f>VLOOKUP($A57,'Facility Detail'!$A:$U,21,FALSE)</f>
        <v>18209.977482412709</v>
      </c>
    </row>
    <row r="58" spans="1:31" ht="15" outlineLevel="1">
      <c r="A58" s="86" t="str">
        <f>'Facility Detail'!G43</f>
        <v>McFadden Ridge</v>
      </c>
      <c r="B58" s="86" t="str">
        <f xml:space="preserve"> IF( 'Facility Detail'!I43 = "", "", 'Facility Detail'!I43 )</f>
        <v>Wind</v>
      </c>
      <c r="C58" s="87">
        <f>VLOOKUP($A58,'Facility Detail'!$C:$T,7,FALSE)</f>
        <v>0</v>
      </c>
      <c r="D58" s="87">
        <f>VLOOKUP($A58,'Facility Detail'!$C:$T,8,FALSE)</f>
        <v>0</v>
      </c>
      <c r="E58" s="87">
        <f>VLOOKUP($A58,'Facility Detail'!$C:$T,9,FALSE)</f>
        <v>0</v>
      </c>
      <c r="F58" s="87">
        <f>VLOOKUP($A58,'Facility Detail'!$C:$T,10,FALSE)</f>
        <v>0</v>
      </c>
      <c r="G58" s="87">
        <f>VLOOKUP($A58,'Facility Detail'!$C:$T,11,FALSE)</f>
        <v>0</v>
      </c>
      <c r="H58" s="87">
        <f>VLOOKUP($A58,'Facility Detail'!$C:$T,12,FALSE)</f>
        <v>0</v>
      </c>
      <c r="I58" s="87">
        <f>VLOOKUP($A58,'Facility Detail'!$C:$T,13,FALSE)</f>
        <v>0</v>
      </c>
      <c r="J58" s="87">
        <f>VLOOKUP($A58,'Facility Detail'!$C:$T,14,FALSE)</f>
        <v>0</v>
      </c>
      <c r="K58" s="87">
        <f>VLOOKUP($A58,'Facility Detail'!$C:$T,15,FALSE)</f>
        <v>0</v>
      </c>
      <c r="L58" s="87">
        <f>VLOOKUP($A58,'Facility Detail'!$C:$T,16,FALSE)</f>
        <v>0</v>
      </c>
      <c r="M58" s="87">
        <f>VLOOKUP($A58,'Facility Detail'!$C:$T,17,FALSE)</f>
        <v>8170</v>
      </c>
      <c r="N58" s="483">
        <f>VLOOKUP($A58,'Facility Detail'!$C:$T,18,FALSE)</f>
        <v>9111.237031055105</v>
      </c>
      <c r="O58" s="87">
        <f>VLOOKUP($A58,'Facility Detail'!$C:$U,19,FALSE)</f>
        <v>8118.779616590482</v>
      </c>
      <c r="Q58" s="86" t="str">
        <f t="shared" si="16"/>
        <v>McFadden Ridge</v>
      </c>
      <c r="R58" s="86" t="str">
        <f t="shared" si="17"/>
        <v>Wind</v>
      </c>
      <c r="S58" s="87">
        <f>VLOOKUP($A58,'Facility Detail'!$A:$T,9,FALSE)</f>
        <v>0</v>
      </c>
      <c r="T58" s="87">
        <f>VLOOKUP($A58,'Facility Detail'!$A:$T,10,FALSE)</f>
        <v>0</v>
      </c>
      <c r="U58" s="87">
        <f>VLOOKUP($A58,'Facility Detail'!$A:$T,11,FALSE)</f>
        <v>0</v>
      </c>
      <c r="V58" s="87">
        <f>VLOOKUP($A58,'Facility Detail'!$A:$T,12,FALSE)</f>
        <v>0</v>
      </c>
      <c r="W58" s="87">
        <f>VLOOKUP($A58,'Facility Detail'!$A:$T,13,FALSE)</f>
        <v>0</v>
      </c>
      <c r="X58" s="87">
        <f>VLOOKUP($A58,'Facility Detail'!$A:$T,14,FALSE)</f>
        <v>0</v>
      </c>
      <c r="Y58" s="87">
        <f>VLOOKUP($A58,'Facility Detail'!$A:$T,15,FALSE)</f>
        <v>0</v>
      </c>
      <c r="Z58" s="87">
        <f>VLOOKUP($A58,'Facility Detail'!$A:$T,16,FALSE)</f>
        <v>0</v>
      </c>
      <c r="AA58" s="87">
        <f>VLOOKUP($A58,'Facility Detail'!$A:$T,17,FALSE)</f>
        <v>0</v>
      </c>
      <c r="AB58" s="87">
        <f>VLOOKUP($A58,'Facility Detail'!$A:$T,18,FALSE)</f>
        <v>0</v>
      </c>
      <c r="AC58" s="87">
        <f>VLOOKUP($A58,'Facility Detail'!$A:$T,19,FALSE)</f>
        <v>8170</v>
      </c>
      <c r="AD58" s="87">
        <f>VLOOKUP($A58,'Facility Detail'!$A:$T,20,FALSE)</f>
        <v>9111.237031055105</v>
      </c>
      <c r="AE58" s="87">
        <f>VLOOKUP($A58,'Facility Detail'!$A:$U,21,FALSE)</f>
        <v>8118.779616590482</v>
      </c>
    </row>
    <row r="59" spans="1:31" ht="15" outlineLevel="1">
      <c r="A59" s="86" t="str">
        <f>'Facility Detail'!G44</f>
        <v>Meadow Creek Wind Farm - Five Pine Project - REC Only</v>
      </c>
      <c r="B59" s="86" t="str">
        <f xml:space="preserve"> IF( 'Facility Detail'!I44 = "", "", 'Facility Detail'!I44 )</f>
        <v>Wind</v>
      </c>
      <c r="C59" s="87">
        <f>VLOOKUP($A59,'Facility Detail'!$C:$T,7,FALSE)</f>
        <v>0</v>
      </c>
      <c r="D59" s="87">
        <f>VLOOKUP($A59,'Facility Detail'!$C:$T,8,FALSE)</f>
        <v>0</v>
      </c>
      <c r="E59" s="87">
        <f>VLOOKUP($A59,'Facility Detail'!$C:$T,9,FALSE)</f>
        <v>0</v>
      </c>
      <c r="F59" s="87">
        <f>VLOOKUP($A59,'Facility Detail'!$C:$T,10,FALSE)</f>
        <v>0</v>
      </c>
      <c r="G59" s="87">
        <f>VLOOKUP($A59,'Facility Detail'!$C:$T,11,FALSE)</f>
        <v>0</v>
      </c>
      <c r="H59" s="87">
        <f>VLOOKUP($A59,'Facility Detail'!$C:$T,12,FALSE)</f>
        <v>0</v>
      </c>
      <c r="I59" s="87">
        <f>VLOOKUP($A59,'Facility Detail'!$C:$T,13,FALSE)</f>
        <v>29719</v>
      </c>
      <c r="J59" s="87">
        <f>VLOOKUP($A59,'Facility Detail'!$C:$T,14,FALSE)</f>
        <v>0</v>
      </c>
      <c r="K59" s="87">
        <f>VLOOKUP($A59,'Facility Detail'!$C:$T,15,FALSE)</f>
        <v>0</v>
      </c>
      <c r="L59" s="87">
        <f>VLOOKUP($A59,'Facility Detail'!$C:$T,16,FALSE)</f>
        <v>0</v>
      </c>
      <c r="M59" s="87">
        <f>VLOOKUP($A59,'Facility Detail'!$C:$T,17,FALSE)</f>
        <v>0</v>
      </c>
      <c r="N59" s="483">
        <f>VLOOKUP($A59,'Facility Detail'!$C:$T,18,FALSE)</f>
        <v>0</v>
      </c>
      <c r="O59" s="87">
        <f>VLOOKUP($A59,'Facility Detail'!$C:$U,19,FALSE)</f>
        <v>0</v>
      </c>
      <c r="Q59" s="86" t="str">
        <f t="shared" si="16"/>
        <v>Meadow Creek Wind Farm - Five Pine Project - REC Only</v>
      </c>
      <c r="R59" s="86" t="str">
        <f t="shared" si="17"/>
        <v>Wind</v>
      </c>
      <c r="S59" s="87">
        <f>VLOOKUP($A59,'Facility Detail'!$A:$T,9,FALSE)</f>
        <v>0</v>
      </c>
      <c r="T59" s="87">
        <f>VLOOKUP($A59,'Facility Detail'!$A:$T,10,FALSE)</f>
        <v>0</v>
      </c>
      <c r="U59" s="87">
        <f>VLOOKUP($A59,'Facility Detail'!$A:$T,11,FALSE)</f>
        <v>0</v>
      </c>
      <c r="V59" s="87">
        <f>VLOOKUP($A59,'Facility Detail'!$A:$T,12,FALSE)</f>
        <v>0</v>
      </c>
      <c r="W59" s="87">
        <f>VLOOKUP($A59,'Facility Detail'!$A:$T,13,FALSE)</f>
        <v>0</v>
      </c>
      <c r="X59" s="87">
        <f>VLOOKUP($A59,'Facility Detail'!$A:$T,14,FALSE)</f>
        <v>29719</v>
      </c>
      <c r="Y59" s="87">
        <f>VLOOKUP($A59,'Facility Detail'!$A:$T,15,FALSE)</f>
        <v>0</v>
      </c>
      <c r="Z59" s="87">
        <f>VLOOKUP($A59,'Facility Detail'!$A:$T,16,FALSE)</f>
        <v>0</v>
      </c>
      <c r="AA59" s="87">
        <f>VLOOKUP($A59,'Facility Detail'!$A:$T,17,FALSE)</f>
        <v>0</v>
      </c>
      <c r="AB59" s="87">
        <f>VLOOKUP($A59,'Facility Detail'!$A:$T,18,FALSE)</f>
        <v>0</v>
      </c>
      <c r="AC59" s="87">
        <f>VLOOKUP($A59,'Facility Detail'!$A:$T,19,FALSE)</f>
        <v>0</v>
      </c>
      <c r="AD59" s="87">
        <f>VLOOKUP($A59,'Facility Detail'!$A:$T,20,FALSE)</f>
        <v>0</v>
      </c>
      <c r="AE59" s="87">
        <f>VLOOKUP($A59,'Facility Detail'!$A:$U,21,FALSE)</f>
        <v>0</v>
      </c>
    </row>
    <row r="60" spans="1:31" ht="15" outlineLevel="1">
      <c r="A60" s="86" t="str">
        <f>'Facility Detail'!G45</f>
        <v>Meadow Creek Wind Farm - North Point Wind Farm - REC Only</v>
      </c>
      <c r="B60" s="86" t="str">
        <f xml:space="preserve"> IF( 'Facility Detail'!I45 = "", "", 'Facility Detail'!I45 )</f>
        <v>Wind</v>
      </c>
      <c r="C60" s="87">
        <f>VLOOKUP($A60,'Facility Detail'!$C:$T,7,FALSE)</f>
        <v>0</v>
      </c>
      <c r="D60" s="87">
        <f>VLOOKUP($A60,'Facility Detail'!$C:$T,8,FALSE)</f>
        <v>0</v>
      </c>
      <c r="E60" s="87">
        <f>VLOOKUP($A60,'Facility Detail'!$C:$T,9,FALSE)</f>
        <v>0</v>
      </c>
      <c r="F60" s="87">
        <f>VLOOKUP($A60,'Facility Detail'!$C:$T,10,FALSE)</f>
        <v>0</v>
      </c>
      <c r="G60" s="87">
        <f>VLOOKUP($A60,'Facility Detail'!$C:$T,11,FALSE)</f>
        <v>0</v>
      </c>
      <c r="H60" s="87">
        <f>VLOOKUP($A60,'Facility Detail'!$C:$T,12,FALSE)</f>
        <v>0</v>
      </c>
      <c r="I60" s="87">
        <f>VLOOKUP($A60,'Facility Detail'!$C:$T,13,FALSE)</f>
        <v>2644</v>
      </c>
      <c r="J60" s="87">
        <f>VLOOKUP($A60,'Facility Detail'!$C:$T,14,FALSE)</f>
        <v>0</v>
      </c>
      <c r="K60" s="87">
        <f>VLOOKUP($A60,'Facility Detail'!$C:$T,15,FALSE)</f>
        <v>0</v>
      </c>
      <c r="L60" s="87">
        <f>VLOOKUP($A60,'Facility Detail'!$C:$T,16,FALSE)</f>
        <v>0</v>
      </c>
      <c r="M60" s="87">
        <f>VLOOKUP($A60,'Facility Detail'!$C:$T,17,FALSE)</f>
        <v>0</v>
      </c>
      <c r="N60" s="483">
        <f>VLOOKUP($A60,'Facility Detail'!$C:$T,18,FALSE)</f>
        <v>0</v>
      </c>
      <c r="O60" s="87">
        <f>VLOOKUP($A60,'Facility Detail'!$C:$U,19,FALSE)</f>
        <v>0</v>
      </c>
      <c r="Q60" s="86" t="str">
        <f t="shared" si="16"/>
        <v>Meadow Creek Wind Farm - North Point Wind Farm - REC Only</v>
      </c>
      <c r="R60" s="86" t="str">
        <f t="shared" si="17"/>
        <v>Wind</v>
      </c>
      <c r="S60" s="87">
        <f>VLOOKUP($A60,'Facility Detail'!$A:$T,9,FALSE)</f>
        <v>0</v>
      </c>
      <c r="T60" s="87">
        <f>VLOOKUP($A60,'Facility Detail'!$A:$T,10,FALSE)</f>
        <v>0</v>
      </c>
      <c r="U60" s="87">
        <f>VLOOKUP($A60,'Facility Detail'!$A:$T,11,FALSE)</f>
        <v>0</v>
      </c>
      <c r="V60" s="87">
        <f>VLOOKUP($A60,'Facility Detail'!$A:$T,12,FALSE)</f>
        <v>0</v>
      </c>
      <c r="W60" s="87">
        <f>VLOOKUP($A60,'Facility Detail'!$A:$T,13,FALSE)</f>
        <v>0</v>
      </c>
      <c r="X60" s="87">
        <f>VLOOKUP($A60,'Facility Detail'!$A:$T,14,FALSE)</f>
        <v>2644</v>
      </c>
      <c r="Y60" s="87">
        <f>VLOOKUP($A60,'Facility Detail'!$A:$T,15,FALSE)</f>
        <v>0</v>
      </c>
      <c r="Z60" s="87">
        <f>VLOOKUP($A60,'Facility Detail'!$A:$T,16,FALSE)</f>
        <v>0</v>
      </c>
      <c r="AA60" s="87">
        <f>VLOOKUP($A60,'Facility Detail'!$A:$T,17,FALSE)</f>
        <v>0</v>
      </c>
      <c r="AB60" s="87">
        <f>VLOOKUP($A60,'Facility Detail'!$A:$T,18,FALSE)</f>
        <v>0</v>
      </c>
      <c r="AC60" s="87">
        <f>VLOOKUP($A60,'Facility Detail'!$A:$T,19,FALSE)</f>
        <v>0</v>
      </c>
      <c r="AD60" s="87">
        <f>VLOOKUP($A60,'Facility Detail'!$A:$T,20,FALSE)</f>
        <v>0</v>
      </c>
      <c r="AE60" s="87">
        <f>VLOOKUP($A60,'Facility Detail'!$A:$U,21,FALSE)</f>
        <v>0</v>
      </c>
    </row>
    <row r="61" spans="1:31" ht="15" outlineLevel="1">
      <c r="A61" s="86" t="str">
        <f>'Facility Detail'!G46</f>
        <v>Mountain Wind 1</v>
      </c>
      <c r="B61" s="86" t="str">
        <f xml:space="preserve"> IF( 'Facility Detail'!I46 = "", "", 'Facility Detail'!I46 )</f>
        <v>Wind</v>
      </c>
      <c r="C61" s="87">
        <f>VLOOKUP($A61,'Facility Detail'!$C:$T,7,FALSE)</f>
        <v>0</v>
      </c>
      <c r="D61" s="87">
        <f>VLOOKUP($A61,'Facility Detail'!$C:$T,8,FALSE)</f>
        <v>0</v>
      </c>
      <c r="E61" s="87">
        <f>VLOOKUP($A61,'Facility Detail'!$C:$T,9,FALSE)</f>
        <v>0</v>
      </c>
      <c r="F61" s="87">
        <f>VLOOKUP($A61,'Facility Detail'!$C:$T,10,FALSE)</f>
        <v>0</v>
      </c>
      <c r="G61" s="87">
        <f>VLOOKUP($A61,'Facility Detail'!$C:$T,11,FALSE)</f>
        <v>0</v>
      </c>
      <c r="H61" s="87">
        <f>VLOOKUP($A61,'Facility Detail'!$C:$T,12,FALSE)</f>
        <v>0</v>
      </c>
      <c r="I61" s="87">
        <f>VLOOKUP($A61,'Facility Detail'!$C:$T,13,FALSE)</f>
        <v>0</v>
      </c>
      <c r="J61" s="87">
        <f>VLOOKUP($A61,'Facility Detail'!$C:$T,14,FALSE)</f>
        <v>0</v>
      </c>
      <c r="K61" s="87">
        <f>VLOOKUP($A61,'Facility Detail'!$C:$T,15,FALSE)</f>
        <v>0</v>
      </c>
      <c r="L61" s="87">
        <f>VLOOKUP($A61,'Facility Detail'!$C:$T,16,FALSE)</f>
        <v>0</v>
      </c>
      <c r="M61" s="87">
        <f>VLOOKUP($A61,'Facility Detail'!$C:$T,17,FALSE)</f>
        <v>0</v>
      </c>
      <c r="N61" s="483">
        <f>VLOOKUP($A61,'Facility Detail'!$C:$T,18,FALSE)</f>
        <v>0</v>
      </c>
      <c r="O61" s="87">
        <f>VLOOKUP($A61,'Facility Detail'!$C:$U,19,FALSE)</f>
        <v>0</v>
      </c>
      <c r="Q61" s="86" t="str">
        <f t="shared" si="16"/>
        <v>Mountain Wind 1</v>
      </c>
      <c r="R61" s="86" t="str">
        <f t="shared" si="17"/>
        <v>Wind</v>
      </c>
      <c r="S61" s="87">
        <f>VLOOKUP($A61,'Facility Detail'!$A:$T,9,FALSE)</f>
        <v>0</v>
      </c>
      <c r="T61" s="87">
        <f>VLOOKUP($A61,'Facility Detail'!$A:$T,10,FALSE)</f>
        <v>0</v>
      </c>
      <c r="U61" s="87">
        <f>VLOOKUP($A61,'Facility Detail'!$A:$T,11,FALSE)</f>
        <v>0</v>
      </c>
      <c r="V61" s="87">
        <f>VLOOKUP($A61,'Facility Detail'!$A:$T,12,FALSE)</f>
        <v>0</v>
      </c>
      <c r="W61" s="87">
        <f>VLOOKUP($A61,'Facility Detail'!$A:$T,13,FALSE)</f>
        <v>0</v>
      </c>
      <c r="X61" s="87">
        <f>VLOOKUP($A61,'Facility Detail'!$A:$T,14,FALSE)</f>
        <v>0</v>
      </c>
      <c r="Y61" s="87">
        <f>VLOOKUP($A61,'Facility Detail'!$A:$T,15,FALSE)</f>
        <v>0</v>
      </c>
      <c r="Z61" s="87">
        <f>VLOOKUP($A61,'Facility Detail'!$A:$T,16,FALSE)</f>
        <v>0</v>
      </c>
      <c r="AA61" s="87">
        <f>VLOOKUP($A61,'Facility Detail'!$A:$T,17,FALSE)</f>
        <v>0</v>
      </c>
      <c r="AB61" s="87">
        <f>VLOOKUP($A61,'Facility Detail'!$A:$T,18,FALSE)</f>
        <v>0</v>
      </c>
      <c r="AC61" s="87">
        <f>VLOOKUP($A61,'Facility Detail'!$A:$T,19,FALSE)</f>
        <v>0</v>
      </c>
      <c r="AD61" s="87">
        <f>VLOOKUP($A61,'Facility Detail'!$A:$T,20,FALSE)</f>
        <v>0</v>
      </c>
      <c r="AE61" s="87">
        <f>VLOOKUP($A61,'Facility Detail'!$A:$U,21,FALSE)</f>
        <v>0</v>
      </c>
    </row>
    <row r="62" spans="1:31" ht="15">
      <c r="A62" s="86" t="str">
        <f>'Facility Detail'!G47</f>
        <v>Mountain Wind 2</v>
      </c>
      <c r="B62" s="86" t="str">
        <f xml:space="preserve"> IF( 'Facility Detail'!I47 = "", "", 'Facility Detail'!I47 )</f>
        <v>Wind</v>
      </c>
      <c r="C62" s="87">
        <f>VLOOKUP($A62,'Facility Detail'!$C:$T,7,FALSE)</f>
        <v>0</v>
      </c>
      <c r="D62" s="87">
        <f>VLOOKUP($A62,'Facility Detail'!$C:$T,8,FALSE)</f>
        <v>0</v>
      </c>
      <c r="E62" s="87">
        <f>VLOOKUP($A62,'Facility Detail'!$C:$T,9,FALSE)</f>
        <v>0</v>
      </c>
      <c r="F62" s="87">
        <f>VLOOKUP($A62,'Facility Detail'!$C:$T,10,FALSE)</f>
        <v>0</v>
      </c>
      <c r="G62" s="87">
        <f>VLOOKUP($A62,'Facility Detail'!$C:$T,11,FALSE)</f>
        <v>0</v>
      </c>
      <c r="H62" s="87">
        <f>VLOOKUP($A62,'Facility Detail'!$C:$T,12,FALSE)</f>
        <v>0</v>
      </c>
      <c r="I62" s="87">
        <f>VLOOKUP($A62,'Facility Detail'!$C:$T,13,FALSE)</f>
        <v>0</v>
      </c>
      <c r="J62" s="87">
        <f>VLOOKUP($A62,'Facility Detail'!$C:$T,14,FALSE)</f>
        <v>0</v>
      </c>
      <c r="K62" s="87">
        <f>VLOOKUP($A62,'Facility Detail'!$C:$T,15,FALSE)</f>
        <v>0</v>
      </c>
      <c r="L62" s="87">
        <f>VLOOKUP($A62,'Facility Detail'!$C:$T,16,FALSE)</f>
        <v>0</v>
      </c>
      <c r="M62" s="87">
        <f>VLOOKUP($A62,'Facility Detail'!$C:$T,17,FALSE)</f>
        <v>0</v>
      </c>
      <c r="N62" s="483">
        <f>VLOOKUP($A62,'Facility Detail'!$C:$T,18,FALSE)</f>
        <v>0</v>
      </c>
      <c r="O62" s="87">
        <f>VLOOKUP($A62,'Facility Detail'!$C:$U,19,FALSE)</f>
        <v>0</v>
      </c>
      <c r="Q62" s="86" t="str">
        <f t="shared" si="16"/>
        <v>Mountain Wind 2</v>
      </c>
      <c r="R62" s="86" t="str">
        <f t="shared" si="17"/>
        <v>Wind</v>
      </c>
      <c r="S62" s="87">
        <f>VLOOKUP($A62,'Facility Detail'!$A:$T,9,FALSE)</f>
        <v>0</v>
      </c>
      <c r="T62" s="87">
        <f>VLOOKUP($A62,'Facility Detail'!$A:$T,10,FALSE)</f>
        <v>0</v>
      </c>
      <c r="U62" s="87">
        <f>VLOOKUP($A62,'Facility Detail'!$A:$T,11,FALSE)</f>
        <v>0</v>
      </c>
      <c r="V62" s="87">
        <f>VLOOKUP($A62,'Facility Detail'!$A:$T,12,FALSE)</f>
        <v>0</v>
      </c>
      <c r="W62" s="87">
        <f>VLOOKUP($A62,'Facility Detail'!$A:$T,13,FALSE)</f>
        <v>0</v>
      </c>
      <c r="X62" s="87">
        <f>VLOOKUP($A62,'Facility Detail'!$A:$T,14,FALSE)</f>
        <v>0</v>
      </c>
      <c r="Y62" s="87">
        <f>VLOOKUP($A62,'Facility Detail'!$A:$T,15,FALSE)</f>
        <v>0</v>
      </c>
      <c r="Z62" s="87">
        <f>VLOOKUP($A62,'Facility Detail'!$A:$T,16,FALSE)</f>
        <v>0</v>
      </c>
      <c r="AA62" s="87">
        <f>VLOOKUP($A62,'Facility Detail'!$A:$T,17,FALSE)</f>
        <v>0</v>
      </c>
      <c r="AB62" s="87">
        <f>VLOOKUP($A62,'Facility Detail'!$A:$T,18,FALSE)</f>
        <v>0</v>
      </c>
      <c r="AC62" s="87">
        <f>VLOOKUP($A62,'Facility Detail'!$A:$T,19,FALSE)</f>
        <v>0</v>
      </c>
      <c r="AD62" s="87">
        <f>VLOOKUP($A62,'Facility Detail'!$A:$T,20,FALSE)</f>
        <v>0</v>
      </c>
      <c r="AE62" s="87">
        <f>VLOOKUP($A62,'Facility Detail'!$A:$U,21,FALSE)</f>
        <v>0</v>
      </c>
    </row>
    <row r="63" spans="1:31" ht="15">
      <c r="A63" s="86" t="str">
        <f>'Facility Detail'!G48</f>
        <v>Nine Canyon Wind Project - REC Only</v>
      </c>
      <c r="B63" s="86" t="str">
        <f xml:space="preserve"> IF( 'Facility Detail'!I48 = "", "", 'Facility Detail'!I48 )</f>
        <v>Wind</v>
      </c>
      <c r="C63" s="87">
        <f>VLOOKUP($A63,'Facility Detail'!$C:$T,7,FALSE)</f>
        <v>0</v>
      </c>
      <c r="D63" s="87">
        <f>VLOOKUP($A63,'Facility Detail'!$C:$T,8,FALSE)</f>
        <v>0</v>
      </c>
      <c r="E63" s="87">
        <f>VLOOKUP($A63,'Facility Detail'!$C:$T,9,FALSE)</f>
        <v>0</v>
      </c>
      <c r="F63" s="87">
        <f>VLOOKUP($A63,'Facility Detail'!$C:$T,10,FALSE)</f>
        <v>0</v>
      </c>
      <c r="G63" s="87">
        <f>VLOOKUP($A63,'Facility Detail'!$C:$T,11,FALSE)</f>
        <v>0</v>
      </c>
      <c r="H63" s="87">
        <f>VLOOKUP($A63,'Facility Detail'!$C:$T,12,FALSE)</f>
        <v>2500</v>
      </c>
      <c r="I63" s="87">
        <f>VLOOKUP($A63,'Facility Detail'!$C:$T,13,FALSE)</f>
        <v>8225</v>
      </c>
      <c r="J63" s="87">
        <f>VLOOKUP($A63,'Facility Detail'!$C:$T,14,FALSE)</f>
        <v>0</v>
      </c>
      <c r="K63" s="87">
        <f>VLOOKUP($A63,'Facility Detail'!$C:$T,15,FALSE)</f>
        <v>0</v>
      </c>
      <c r="L63" s="87">
        <f>VLOOKUP($A63,'Facility Detail'!$C:$T,16,FALSE)</f>
        <v>0</v>
      </c>
      <c r="M63" s="87">
        <f>VLOOKUP($A63,'Facility Detail'!$C:$T,17,FALSE)</f>
        <v>0</v>
      </c>
      <c r="N63" s="483">
        <f>VLOOKUP($A63,'Facility Detail'!$C:$T,18,FALSE)</f>
        <v>0</v>
      </c>
      <c r="O63" s="87">
        <f>VLOOKUP($A63,'Facility Detail'!$C:$U,19,FALSE)</f>
        <v>0</v>
      </c>
      <c r="Q63" s="86" t="str">
        <f t="shared" si="16"/>
        <v>Nine Canyon Wind Project - REC Only</v>
      </c>
      <c r="R63" s="86" t="str">
        <f t="shared" si="17"/>
        <v>Wind</v>
      </c>
      <c r="S63" s="87">
        <f>VLOOKUP($A63,'Facility Detail'!$A:$T,9,FALSE)</f>
        <v>0</v>
      </c>
      <c r="T63" s="87">
        <f>VLOOKUP($A63,'Facility Detail'!$A:$T,10,FALSE)</f>
        <v>0</v>
      </c>
      <c r="U63" s="87">
        <f>VLOOKUP($A63,'Facility Detail'!$A:$T,11,FALSE)</f>
        <v>0</v>
      </c>
      <c r="V63" s="87">
        <f>VLOOKUP($A63,'Facility Detail'!$A:$T,12,FALSE)</f>
        <v>0</v>
      </c>
      <c r="W63" s="87">
        <f>VLOOKUP($A63,'Facility Detail'!$A:$T,13,FALSE)</f>
        <v>2500</v>
      </c>
      <c r="X63" s="87">
        <f>VLOOKUP($A63,'Facility Detail'!$A:$T,14,FALSE)</f>
        <v>8225</v>
      </c>
      <c r="Y63" s="87">
        <f>VLOOKUP($A63,'Facility Detail'!$A:$T,15,FALSE)</f>
        <v>0</v>
      </c>
      <c r="Z63" s="87">
        <f>VLOOKUP($A63,'Facility Detail'!$A:$T,16,FALSE)</f>
        <v>0</v>
      </c>
      <c r="AA63" s="87">
        <f>VLOOKUP($A63,'Facility Detail'!$A:$T,17,FALSE)</f>
        <v>0</v>
      </c>
      <c r="AB63" s="87">
        <f>VLOOKUP($A63,'Facility Detail'!$A:$T,18,FALSE)</f>
        <v>0</v>
      </c>
      <c r="AC63" s="87">
        <f>VLOOKUP($A63,'Facility Detail'!$A:$T,19,FALSE)</f>
        <v>0</v>
      </c>
      <c r="AD63" s="87">
        <f>VLOOKUP($A63,'Facility Detail'!$A:$T,20,FALSE)</f>
        <v>0</v>
      </c>
      <c r="AE63" s="87">
        <f>VLOOKUP($A63,'Facility Detail'!$A:$U,21,FALSE)</f>
        <v>0</v>
      </c>
    </row>
    <row r="64" spans="1:31" ht="15">
      <c r="A64" s="86" t="str">
        <f>'Facility Detail'!G49</f>
        <v>Nine Canyon Wind Project - Nine Canyon Phase 3 - REC Only</v>
      </c>
      <c r="B64" s="86" t="str">
        <f xml:space="preserve"> IF( 'Facility Detail'!I49 = "", "", 'Facility Detail'!I49 )</f>
        <v>Wind</v>
      </c>
      <c r="C64" s="87">
        <f>VLOOKUP($A64,'Facility Detail'!$C:$T,7,FALSE)</f>
        <v>0</v>
      </c>
      <c r="D64" s="87">
        <f>VLOOKUP($A64,'Facility Detail'!$C:$T,8,FALSE)</f>
        <v>0</v>
      </c>
      <c r="E64" s="87">
        <f>VLOOKUP($A64,'Facility Detail'!$C:$T,9,FALSE)</f>
        <v>0</v>
      </c>
      <c r="F64" s="87">
        <f>VLOOKUP($A64,'Facility Detail'!$C:$T,10,FALSE)</f>
        <v>0</v>
      </c>
      <c r="G64" s="87">
        <f>VLOOKUP($A64,'Facility Detail'!$C:$T,11,FALSE)</f>
        <v>0</v>
      </c>
      <c r="H64" s="87">
        <f>VLOOKUP($A64,'Facility Detail'!$C:$T,12,FALSE)</f>
        <v>0</v>
      </c>
      <c r="I64" s="87">
        <f>VLOOKUP($A64,'Facility Detail'!$C:$T,13,FALSE)</f>
        <v>4668</v>
      </c>
      <c r="J64" s="87">
        <f>VLOOKUP($A64,'Facility Detail'!$C:$T,14,FALSE)</f>
        <v>0</v>
      </c>
      <c r="K64" s="87">
        <f>VLOOKUP($A64,'Facility Detail'!$C:$T,15,FALSE)</f>
        <v>0</v>
      </c>
      <c r="L64" s="87">
        <f>VLOOKUP($A64,'Facility Detail'!$C:$T,16,FALSE)</f>
        <v>0</v>
      </c>
      <c r="M64" s="87">
        <f>VLOOKUP($A64,'Facility Detail'!$C:$T,17,FALSE)</f>
        <v>0</v>
      </c>
      <c r="N64" s="483">
        <f>VLOOKUP($A64,'Facility Detail'!$C:$T,18,FALSE)</f>
        <v>0</v>
      </c>
      <c r="O64" s="87">
        <f>VLOOKUP($A64,'Facility Detail'!$C:$U,19,FALSE)</f>
        <v>0</v>
      </c>
      <c r="Q64" s="86" t="str">
        <f t="shared" si="16"/>
        <v>Nine Canyon Wind Project - Nine Canyon Phase 3 - REC Only</v>
      </c>
      <c r="R64" s="86" t="str">
        <f t="shared" si="17"/>
        <v>Wind</v>
      </c>
      <c r="S64" s="87">
        <f>VLOOKUP($A64,'Facility Detail'!$A:$T,9,FALSE)</f>
        <v>0</v>
      </c>
      <c r="T64" s="87">
        <f>VLOOKUP($A64,'Facility Detail'!$A:$T,10,FALSE)</f>
        <v>0</v>
      </c>
      <c r="U64" s="87">
        <f>VLOOKUP($A64,'Facility Detail'!$A:$T,11,FALSE)</f>
        <v>0</v>
      </c>
      <c r="V64" s="87">
        <f>VLOOKUP($A64,'Facility Detail'!$A:$T,12,FALSE)</f>
        <v>0</v>
      </c>
      <c r="W64" s="87">
        <f>VLOOKUP($A64,'Facility Detail'!$A:$T,13,FALSE)</f>
        <v>0</v>
      </c>
      <c r="X64" s="87">
        <f>VLOOKUP($A64,'Facility Detail'!$A:$T,14,FALSE)</f>
        <v>4668</v>
      </c>
      <c r="Y64" s="87">
        <f>VLOOKUP($A64,'Facility Detail'!$A:$T,15,FALSE)</f>
        <v>0</v>
      </c>
      <c r="Z64" s="87">
        <f>VLOOKUP($A64,'Facility Detail'!$A:$T,16,FALSE)</f>
        <v>0</v>
      </c>
      <c r="AA64" s="87">
        <f>VLOOKUP($A64,'Facility Detail'!$A:$T,17,FALSE)</f>
        <v>0</v>
      </c>
      <c r="AB64" s="87">
        <f>VLOOKUP($A64,'Facility Detail'!$A:$T,18,FALSE)</f>
        <v>0</v>
      </c>
      <c r="AC64" s="87">
        <f>VLOOKUP($A64,'Facility Detail'!$A:$T,19,FALSE)</f>
        <v>0</v>
      </c>
      <c r="AD64" s="87">
        <f>VLOOKUP($A64,'Facility Detail'!$A:$T,20,FALSE)</f>
        <v>0</v>
      </c>
      <c r="AE64" s="87">
        <f>VLOOKUP($A64,'Facility Detail'!$A:$U,21,FALSE)</f>
        <v>0</v>
      </c>
    </row>
    <row r="65" spans="1:31" ht="15">
      <c r="A65" s="86" t="str">
        <f>'Facility Detail'!G50</f>
        <v>Pavant</v>
      </c>
      <c r="B65" s="86" t="str">
        <f xml:space="preserve"> IF( 'Facility Detail'!I50 = "", "", 'Facility Detail'!I50 )</f>
        <v>Solar</v>
      </c>
      <c r="C65" s="87">
        <f>VLOOKUP($A65,'Facility Detail'!$C:$T,7,FALSE)</f>
        <v>0</v>
      </c>
      <c r="D65" s="87">
        <f>VLOOKUP($A65,'Facility Detail'!$C:$T,8,FALSE)</f>
        <v>0</v>
      </c>
      <c r="E65" s="87">
        <f>VLOOKUP($A65,'Facility Detail'!$C:$T,9,FALSE)</f>
        <v>0</v>
      </c>
      <c r="F65" s="87">
        <f>VLOOKUP($A65,'Facility Detail'!$C:$T,10,FALSE)</f>
        <v>0</v>
      </c>
      <c r="G65" s="87">
        <f>VLOOKUP($A65,'Facility Detail'!$C:$T,11,FALSE)</f>
        <v>0</v>
      </c>
      <c r="H65" s="87">
        <f>VLOOKUP($A65,'Facility Detail'!$C:$T,12,FALSE)</f>
        <v>316</v>
      </c>
      <c r="I65" s="87">
        <f>VLOOKUP($A65,'Facility Detail'!$C:$T,13,FALSE)</f>
        <v>25003</v>
      </c>
      <c r="J65" s="87">
        <f>VLOOKUP($A65,'Facility Detail'!$C:$T,14,FALSE)</f>
        <v>26549</v>
      </c>
      <c r="K65" s="87">
        <f>VLOOKUP($A65,'Facility Detail'!$C:$T,15,FALSE)</f>
        <v>68400.070970241824</v>
      </c>
      <c r="L65" s="87">
        <f>VLOOKUP($A65,'Facility Detail'!$C:$T,16,FALSE)</f>
        <v>9713.8855007414277</v>
      </c>
      <c r="M65" s="87">
        <f>VLOOKUP($A65,'Facility Detail'!$C:$T,17,FALSE)</f>
        <v>24308</v>
      </c>
      <c r="N65" s="483">
        <f>VLOOKUP($A65,'Facility Detail'!$C:$T,18,FALSE)</f>
        <v>22259</v>
      </c>
      <c r="O65" s="87">
        <f>VLOOKUP($A65,'Facility Detail'!$C:$U,19,FALSE)</f>
        <v>24291.0072</v>
      </c>
      <c r="Q65" s="86" t="str">
        <f t="shared" si="16"/>
        <v>Pavant</v>
      </c>
      <c r="R65" s="86" t="str">
        <f t="shared" si="17"/>
        <v>Solar</v>
      </c>
      <c r="S65" s="87">
        <f>VLOOKUP($A65,'Facility Detail'!$A:$T,9,FALSE)</f>
        <v>0</v>
      </c>
      <c r="T65" s="87">
        <f>VLOOKUP($A65,'Facility Detail'!$A:$T,10,FALSE)</f>
        <v>0</v>
      </c>
      <c r="U65" s="87">
        <f>VLOOKUP($A65,'Facility Detail'!$A:$T,11,FALSE)</f>
        <v>0</v>
      </c>
      <c r="V65" s="87">
        <f>VLOOKUP($A65,'Facility Detail'!$A:$T,12,FALSE)</f>
        <v>0</v>
      </c>
      <c r="W65" s="87">
        <f>VLOOKUP($A65,'Facility Detail'!$A:$T,13,FALSE)</f>
        <v>316</v>
      </c>
      <c r="X65" s="87">
        <f>VLOOKUP($A65,'Facility Detail'!$A:$T,14,FALSE)</f>
        <v>25003</v>
      </c>
      <c r="Y65" s="87">
        <f>VLOOKUP($A65,'Facility Detail'!$A:$T,15,FALSE)</f>
        <v>26549</v>
      </c>
      <c r="Z65" s="87">
        <f>VLOOKUP($A65,'Facility Detail'!$A:$T,16,FALSE)</f>
        <v>26773</v>
      </c>
      <c r="AA65" s="87">
        <f>VLOOKUP($A65,'Facility Detail'!$A:$T,17,FALSE)</f>
        <v>24671.070970241828</v>
      </c>
      <c r="AB65" s="87">
        <f>VLOOKUP($A65,'Facility Detail'!$A:$T,18,FALSE)</f>
        <v>26669.885500741428</v>
      </c>
      <c r="AC65" s="87">
        <f>VLOOKUP($A65,'Facility Detail'!$A:$T,19,FALSE)</f>
        <v>24308</v>
      </c>
      <c r="AD65" s="87">
        <f>VLOOKUP($A65,'Facility Detail'!$A:$T,20,FALSE)</f>
        <v>22259</v>
      </c>
      <c r="AE65" s="87">
        <f>VLOOKUP($A65,'Facility Detail'!$A:$U,21,FALSE)</f>
        <v>24291.0072</v>
      </c>
    </row>
    <row r="66" spans="1:31" ht="15">
      <c r="A66" s="86" t="str">
        <f>'Facility Detail'!G51</f>
        <v>Pavant Solar II LLC</v>
      </c>
      <c r="B66" s="86" t="str">
        <f xml:space="preserve"> IF( 'Facility Detail'!I51 = "", "", 'Facility Detail'!I51 )</f>
        <v>Solar</v>
      </c>
      <c r="C66" s="87">
        <f>VLOOKUP($A66,'Facility Detail'!$C:$T,7,FALSE)</f>
        <v>0</v>
      </c>
      <c r="D66" s="87">
        <f>VLOOKUP($A66,'Facility Detail'!$C:$T,8,FALSE)</f>
        <v>0</v>
      </c>
      <c r="E66" s="87">
        <f>VLOOKUP($A66,'Facility Detail'!$C:$T,9,FALSE)</f>
        <v>0</v>
      </c>
      <c r="F66" s="87">
        <f>VLOOKUP($A66,'Facility Detail'!$C:$T,10,FALSE)</f>
        <v>0</v>
      </c>
      <c r="G66" s="87">
        <f>VLOOKUP($A66,'Facility Detail'!$C:$T,11,FALSE)</f>
        <v>0</v>
      </c>
      <c r="H66" s="87">
        <f>VLOOKUP($A66,'Facility Detail'!$C:$T,12,FALSE)</f>
        <v>0</v>
      </c>
      <c r="I66" s="87">
        <f>VLOOKUP($A66,'Facility Detail'!$C:$T,13,FALSE)</f>
        <v>0</v>
      </c>
      <c r="J66" s="87">
        <f>VLOOKUP($A66,'Facility Detail'!$C:$T,14,FALSE)</f>
        <v>0</v>
      </c>
      <c r="K66" s="87">
        <f>VLOOKUP($A66,'Facility Detail'!$C:$T,15,FALSE)</f>
        <v>0</v>
      </c>
      <c r="L66" s="87">
        <f>VLOOKUP($A66,'Facility Detail'!$C:$T,16,FALSE)</f>
        <v>0</v>
      </c>
      <c r="M66" s="87">
        <f>VLOOKUP($A66,'Facility Detail'!$C:$T,17,FALSE)</f>
        <v>0</v>
      </c>
      <c r="N66" s="483">
        <f>VLOOKUP($A66,'Facility Detail'!$C:$T,18,FALSE)</f>
        <v>0</v>
      </c>
      <c r="O66" s="87">
        <f>VLOOKUP($A66,'Facility Detail'!$C:$U,19,FALSE)</f>
        <v>0</v>
      </c>
      <c r="Q66" s="86" t="str">
        <f t="shared" si="16"/>
        <v>Pavant Solar II LLC</v>
      </c>
      <c r="R66" s="86" t="str">
        <f t="shared" si="17"/>
        <v>Solar</v>
      </c>
      <c r="S66" s="87">
        <f>VLOOKUP($A66,'Facility Detail'!$A:$T,9,FALSE)</f>
        <v>0</v>
      </c>
      <c r="T66" s="87">
        <f>VLOOKUP($A66,'Facility Detail'!$A:$T,10,FALSE)</f>
        <v>0</v>
      </c>
      <c r="U66" s="87">
        <f>VLOOKUP($A66,'Facility Detail'!$A:$T,11,FALSE)</f>
        <v>0</v>
      </c>
      <c r="V66" s="87">
        <f>VLOOKUP($A66,'Facility Detail'!$A:$T,12,FALSE)</f>
        <v>0</v>
      </c>
      <c r="W66" s="87">
        <f>VLOOKUP($A66,'Facility Detail'!$A:$T,13,FALSE)</f>
        <v>0</v>
      </c>
      <c r="X66" s="87">
        <f>VLOOKUP($A66,'Facility Detail'!$A:$T,14,FALSE)</f>
        <v>0</v>
      </c>
      <c r="Y66" s="87">
        <f>VLOOKUP($A66,'Facility Detail'!$A:$T,15,FALSE)</f>
        <v>0</v>
      </c>
      <c r="Z66" s="87">
        <f>VLOOKUP($A66,'Facility Detail'!$A:$T,16,FALSE)</f>
        <v>0</v>
      </c>
      <c r="AA66" s="87">
        <f>VLOOKUP($A66,'Facility Detail'!$A:$T,17,FALSE)</f>
        <v>0</v>
      </c>
      <c r="AB66" s="87">
        <f>VLOOKUP($A66,'Facility Detail'!$A:$T,18,FALSE)</f>
        <v>0</v>
      </c>
      <c r="AC66" s="87">
        <f>VLOOKUP($A66,'Facility Detail'!$A:$T,19,FALSE)</f>
        <v>0</v>
      </c>
      <c r="AD66" s="87">
        <f>VLOOKUP($A66,'Facility Detail'!$A:$T,20,FALSE)</f>
        <v>0</v>
      </c>
      <c r="AE66" s="87">
        <f>VLOOKUP($A66,'Facility Detail'!$A:$U,21,FALSE)</f>
        <v>0</v>
      </c>
    </row>
    <row r="67" spans="1:31" ht="15">
      <c r="A67" s="86" t="str">
        <f>'Facility Detail'!G52</f>
        <v>Pioneer Wind Park I LLC</v>
      </c>
      <c r="B67" s="86" t="str">
        <f xml:space="preserve"> IF( 'Facility Detail'!I52 = "", "", 'Facility Detail'!I52 )</f>
        <v>Wind</v>
      </c>
      <c r="C67" s="87">
        <f>VLOOKUP($A67,'Facility Detail'!$C:$T,7,FALSE)</f>
        <v>0</v>
      </c>
      <c r="D67" s="87">
        <f>VLOOKUP($A67,'Facility Detail'!$C:$T,8,FALSE)</f>
        <v>0</v>
      </c>
      <c r="E67" s="87">
        <f>VLOOKUP($A67,'Facility Detail'!$C:$T,9,FALSE)</f>
        <v>0</v>
      </c>
      <c r="F67" s="87">
        <f>VLOOKUP($A67,'Facility Detail'!$C:$T,10,FALSE)</f>
        <v>0</v>
      </c>
      <c r="G67" s="87">
        <f>VLOOKUP($A67,'Facility Detail'!$C:$T,11,FALSE)</f>
        <v>0</v>
      </c>
      <c r="H67" s="87">
        <f>VLOOKUP($A67,'Facility Detail'!$C:$T,12,FALSE)</f>
        <v>0</v>
      </c>
      <c r="I67" s="87">
        <f>VLOOKUP($A67,'Facility Detail'!$C:$T,13,FALSE)</f>
        <v>0</v>
      </c>
      <c r="J67" s="87">
        <f>VLOOKUP($A67,'Facility Detail'!$C:$T,14,FALSE)</f>
        <v>0</v>
      </c>
      <c r="K67" s="87">
        <f>VLOOKUP($A67,'Facility Detail'!$C:$T,15,FALSE)</f>
        <v>0</v>
      </c>
      <c r="L67" s="87">
        <f>VLOOKUP($A67,'Facility Detail'!$C:$T,16,FALSE)</f>
        <v>0</v>
      </c>
      <c r="M67" s="87">
        <f>VLOOKUP($A67,'Facility Detail'!$C:$T,17,FALSE)</f>
        <v>0</v>
      </c>
      <c r="N67" s="483">
        <f>VLOOKUP($A67,'Facility Detail'!$C:$T,18,FALSE)</f>
        <v>0</v>
      </c>
      <c r="O67" s="87">
        <f>VLOOKUP($A67,'Facility Detail'!$C:$U,19,FALSE)</f>
        <v>0</v>
      </c>
      <c r="Q67" s="86" t="str">
        <f t="shared" si="16"/>
        <v>Pioneer Wind Park I LLC</v>
      </c>
      <c r="R67" s="86" t="str">
        <f t="shared" si="17"/>
        <v>Wind</v>
      </c>
      <c r="S67" s="87">
        <f>VLOOKUP($A67,'Facility Detail'!$A:$T,9,FALSE)</f>
        <v>0</v>
      </c>
      <c r="T67" s="87">
        <f>VLOOKUP($A67,'Facility Detail'!$A:$T,10,FALSE)</f>
        <v>0</v>
      </c>
      <c r="U67" s="87">
        <f>VLOOKUP($A67,'Facility Detail'!$A:$T,11,FALSE)</f>
        <v>0</v>
      </c>
      <c r="V67" s="87">
        <f>VLOOKUP($A67,'Facility Detail'!$A:$T,12,FALSE)</f>
        <v>0</v>
      </c>
      <c r="W67" s="87">
        <f>VLOOKUP($A67,'Facility Detail'!$A:$T,13,FALSE)</f>
        <v>0</v>
      </c>
      <c r="X67" s="87">
        <f>VLOOKUP($A67,'Facility Detail'!$A:$T,14,FALSE)</f>
        <v>0</v>
      </c>
      <c r="Y67" s="87">
        <f>VLOOKUP($A67,'Facility Detail'!$A:$T,15,FALSE)</f>
        <v>0</v>
      </c>
      <c r="Z67" s="87">
        <f>VLOOKUP($A67,'Facility Detail'!$A:$T,16,FALSE)</f>
        <v>0</v>
      </c>
      <c r="AA67" s="87">
        <f>VLOOKUP($A67,'Facility Detail'!$A:$T,17,FALSE)</f>
        <v>0</v>
      </c>
      <c r="AB67" s="87">
        <f>VLOOKUP($A67,'Facility Detail'!$A:$T,18,FALSE)</f>
        <v>0</v>
      </c>
      <c r="AC67" s="87">
        <f>VLOOKUP($A67,'Facility Detail'!$A:$T,19,FALSE)</f>
        <v>0</v>
      </c>
      <c r="AD67" s="87">
        <f>VLOOKUP($A67,'Facility Detail'!$A:$T,20,FALSE)</f>
        <v>0</v>
      </c>
      <c r="AE67" s="87">
        <f>VLOOKUP($A67,'Facility Detail'!$A:$U,21,FALSE)</f>
        <v>0</v>
      </c>
    </row>
    <row r="68" spans="1:31" ht="15">
      <c r="A68" s="86" t="str">
        <f>'Facility Detail'!G53</f>
        <v xml:space="preserve">Prospect 2 </v>
      </c>
      <c r="B68" s="86" t="str">
        <f xml:space="preserve"> IF( 'Facility Detail'!I53 = "", "", 'Facility Detail'!I53 )</f>
        <v>Water (Incremental Hydro)</v>
      </c>
      <c r="C68" s="87">
        <f>VLOOKUP($A68,'Facility Detail'!$C:$T,7,FALSE)</f>
        <v>0</v>
      </c>
      <c r="D68" s="87">
        <f>VLOOKUP($A68,'Facility Detail'!$C:$T,8,FALSE)</f>
        <v>328</v>
      </c>
      <c r="E68" s="87">
        <f>VLOOKUP($A68,'Facility Detail'!$C:$T,9,FALSE)</f>
        <v>293</v>
      </c>
      <c r="F68" s="87">
        <f>VLOOKUP($A68,'Facility Detail'!$C:$T,10,FALSE)</f>
        <v>278</v>
      </c>
      <c r="G68" s="87">
        <f>VLOOKUP($A68,'Facility Detail'!$C:$T,11,FALSE)</f>
        <v>226</v>
      </c>
      <c r="H68" s="87">
        <f>VLOOKUP($A68,'Facility Detail'!$C:$T,12,FALSE)</f>
        <v>329</v>
      </c>
      <c r="I68" s="87">
        <f>VLOOKUP($A68,'Facility Detail'!$C:$T,13,FALSE)</f>
        <v>346</v>
      </c>
      <c r="J68" s="87">
        <f>VLOOKUP($A68,'Facility Detail'!$C:$T,14,FALSE)</f>
        <v>266</v>
      </c>
      <c r="K68" s="87">
        <f>VLOOKUP($A68,'Facility Detail'!$C:$T,15,FALSE)</f>
        <v>246.51634211706531</v>
      </c>
      <c r="L68" s="87">
        <f>VLOOKUP($A68,'Facility Detail'!$C:$T,16,FALSE)</f>
        <v>239</v>
      </c>
      <c r="M68" s="87">
        <f>VLOOKUP($A68,'Facility Detail'!$C:$T,17,FALSE)</f>
        <v>205</v>
      </c>
      <c r="N68" s="483">
        <f>VLOOKUP($A68,'Facility Detail'!$C:$T,18,FALSE)</f>
        <v>214</v>
      </c>
      <c r="O68" s="87">
        <f>VLOOKUP($A68,'Facility Detail'!$C:$U,19,FALSE)</f>
        <v>125</v>
      </c>
      <c r="Q68" s="86" t="str">
        <f t="shared" si="16"/>
        <v xml:space="preserve">Prospect 2 </v>
      </c>
      <c r="R68" s="86" t="str">
        <f t="shared" si="17"/>
        <v>Water (Incremental Hydro)</v>
      </c>
      <c r="S68" s="87">
        <f>VLOOKUP($A68,'Facility Detail'!$A:$T,9,FALSE)</f>
        <v>0</v>
      </c>
      <c r="T68" s="87">
        <f>VLOOKUP($A68,'Facility Detail'!$A:$T,10,FALSE)</f>
        <v>328</v>
      </c>
      <c r="U68" s="87">
        <f>VLOOKUP($A68,'Facility Detail'!$A:$T,11,FALSE)</f>
        <v>293</v>
      </c>
      <c r="V68" s="87">
        <f>VLOOKUP($A68,'Facility Detail'!$A:$T,12,FALSE)</f>
        <v>278</v>
      </c>
      <c r="W68" s="87">
        <f>VLOOKUP($A68,'Facility Detail'!$A:$T,13,FALSE)</f>
        <v>226</v>
      </c>
      <c r="X68" s="87">
        <f>VLOOKUP($A68,'Facility Detail'!$A:$T,14,FALSE)</f>
        <v>329</v>
      </c>
      <c r="Y68" s="87">
        <f>VLOOKUP($A68,'Facility Detail'!$A:$T,15,FALSE)</f>
        <v>346</v>
      </c>
      <c r="Z68" s="87">
        <f>VLOOKUP($A68,'Facility Detail'!$A:$T,16,FALSE)</f>
        <v>266</v>
      </c>
      <c r="AA68" s="87">
        <f>VLOOKUP($A68,'Facility Detail'!$A:$T,17,FALSE)</f>
        <v>246.51634211706531</v>
      </c>
      <c r="AB68" s="87">
        <f>VLOOKUP($A68,'Facility Detail'!$A:$T,18,FALSE)</f>
        <v>239</v>
      </c>
      <c r="AC68" s="87">
        <f>VLOOKUP($A68,'Facility Detail'!$A:$T,19,FALSE)</f>
        <v>205</v>
      </c>
      <c r="AD68" s="87">
        <f>VLOOKUP($A68,'Facility Detail'!$A:$T,20,FALSE)</f>
        <v>214</v>
      </c>
      <c r="AE68" s="87">
        <f>VLOOKUP($A68,'Facility Detail'!$A:$U,21,FALSE)</f>
        <v>125</v>
      </c>
    </row>
    <row r="69" spans="1:31" ht="15">
      <c r="A69" s="86" t="str">
        <f>'Facility Detail'!G54</f>
        <v xml:space="preserve">Rock River I </v>
      </c>
      <c r="B69" s="86" t="str">
        <f xml:space="preserve"> IF( 'Facility Detail'!I54 = "", "", 'Facility Detail'!I54 )</f>
        <v>Wind</v>
      </c>
      <c r="C69" s="87">
        <f>VLOOKUP($A69,'Facility Detail'!$C:$T,7,FALSE)</f>
        <v>0</v>
      </c>
      <c r="D69" s="87">
        <f>VLOOKUP($A69,'Facility Detail'!$C:$T,8,FALSE)</f>
        <v>0</v>
      </c>
      <c r="E69" s="87">
        <f>VLOOKUP($A69,'Facility Detail'!$C:$T,9,FALSE)</f>
        <v>0</v>
      </c>
      <c r="F69" s="87">
        <f>VLOOKUP($A69,'Facility Detail'!$C:$T,10,FALSE)</f>
        <v>0</v>
      </c>
      <c r="G69" s="87">
        <f>VLOOKUP($A69,'Facility Detail'!$C:$T,11,FALSE)</f>
        <v>0</v>
      </c>
      <c r="H69" s="87">
        <f>VLOOKUP($A69,'Facility Detail'!$C:$T,12,FALSE)</f>
        <v>0</v>
      </c>
      <c r="I69" s="87">
        <f>VLOOKUP($A69,'Facility Detail'!$C:$T,13,FALSE)</f>
        <v>0</v>
      </c>
      <c r="J69" s="87">
        <f>VLOOKUP($A69,'Facility Detail'!$C:$T,14,FALSE)</f>
        <v>0</v>
      </c>
      <c r="K69" s="87">
        <f>VLOOKUP($A69,'Facility Detail'!$C:$T,15,FALSE)</f>
        <v>0</v>
      </c>
      <c r="L69" s="87">
        <f>VLOOKUP($A69,'Facility Detail'!$C:$T,16,FALSE)</f>
        <v>0</v>
      </c>
      <c r="M69" s="87">
        <f>VLOOKUP($A69,'Facility Detail'!$C:$T,17,FALSE)</f>
        <v>8638</v>
      </c>
      <c r="N69" s="483">
        <f>VLOOKUP($A69,'Facility Detail'!$C:$T,18,FALSE)</f>
        <v>0</v>
      </c>
      <c r="O69" s="87">
        <f>VLOOKUP($A69,'Facility Detail'!$C:$U,19,FALSE)</f>
        <v>0</v>
      </c>
      <c r="Q69" s="86" t="str">
        <f t="shared" si="16"/>
        <v xml:space="preserve">Rock River I </v>
      </c>
      <c r="R69" s="86" t="str">
        <f t="shared" si="17"/>
        <v>Wind</v>
      </c>
      <c r="S69" s="87">
        <f>VLOOKUP($A69,'Facility Detail'!$A:$T,9,FALSE)</f>
        <v>0</v>
      </c>
      <c r="T69" s="87">
        <f>VLOOKUP($A69,'Facility Detail'!$A:$T,10,FALSE)</f>
        <v>0</v>
      </c>
      <c r="U69" s="87">
        <f>VLOOKUP($A69,'Facility Detail'!$A:$T,11,FALSE)</f>
        <v>0</v>
      </c>
      <c r="V69" s="87">
        <f>VLOOKUP($A69,'Facility Detail'!$A:$T,12,FALSE)</f>
        <v>0</v>
      </c>
      <c r="W69" s="87">
        <f>VLOOKUP($A69,'Facility Detail'!$A:$T,13,FALSE)</f>
        <v>0</v>
      </c>
      <c r="X69" s="87">
        <f>VLOOKUP($A69,'Facility Detail'!$A:$T,14,FALSE)</f>
        <v>0</v>
      </c>
      <c r="Y69" s="87">
        <f>VLOOKUP($A69,'Facility Detail'!$A:$T,15,FALSE)</f>
        <v>0</v>
      </c>
      <c r="Z69" s="87">
        <f>VLOOKUP($A69,'Facility Detail'!$A:$T,16,FALSE)</f>
        <v>0</v>
      </c>
      <c r="AA69" s="87">
        <f>VLOOKUP($A69,'Facility Detail'!$A:$T,17,FALSE)</f>
        <v>0</v>
      </c>
      <c r="AB69" s="87">
        <f>VLOOKUP($A69,'Facility Detail'!$A:$T,18,FALSE)</f>
        <v>0</v>
      </c>
      <c r="AC69" s="87">
        <f>VLOOKUP($A69,'Facility Detail'!$A:$T,19,FALSE)</f>
        <v>8638</v>
      </c>
      <c r="AD69" s="87">
        <f>VLOOKUP($A69,'Facility Detail'!$A:$T,20,FALSE)</f>
        <v>0</v>
      </c>
      <c r="AE69" s="87">
        <f>VLOOKUP($A69,'Facility Detail'!$A:$U,21,FALSE)</f>
        <v>0</v>
      </c>
    </row>
    <row r="70" spans="1:31" ht="15">
      <c r="A70" s="86" t="str">
        <f>'Facility Detail'!G55</f>
        <v>Rolling Hills</v>
      </c>
      <c r="B70" s="86" t="str">
        <f xml:space="preserve"> IF( 'Facility Detail'!I55 = "", "", 'Facility Detail'!I55 )</f>
        <v>Wind</v>
      </c>
      <c r="C70" s="87">
        <f>VLOOKUP($A70,'Facility Detail'!$C:$T,7,FALSE)</f>
        <v>0</v>
      </c>
      <c r="D70" s="87">
        <f>VLOOKUP($A70,'Facility Detail'!$C:$T,8,FALSE)</f>
        <v>0</v>
      </c>
      <c r="E70" s="87">
        <f>VLOOKUP($A70,'Facility Detail'!$C:$T,9,FALSE)</f>
        <v>0</v>
      </c>
      <c r="F70" s="87">
        <f>VLOOKUP($A70,'Facility Detail'!$C:$T,10,FALSE)</f>
        <v>0</v>
      </c>
      <c r="G70" s="87">
        <f>VLOOKUP($A70,'Facility Detail'!$C:$T,11,FALSE)</f>
        <v>0</v>
      </c>
      <c r="H70" s="87">
        <f>VLOOKUP($A70,'Facility Detail'!$C:$T,12,FALSE)</f>
        <v>5468</v>
      </c>
      <c r="I70" s="87">
        <f>VLOOKUP($A70,'Facility Detail'!$C:$T,13,FALSE)</f>
        <v>0</v>
      </c>
      <c r="J70" s="87">
        <f>VLOOKUP($A70,'Facility Detail'!$C:$T,14,FALSE)</f>
        <v>0</v>
      </c>
      <c r="K70" s="87">
        <f>VLOOKUP($A70,'Facility Detail'!$C:$T,15,FALSE)</f>
        <v>0</v>
      </c>
      <c r="L70" s="87">
        <f>VLOOKUP($A70,'Facility Detail'!$C:$T,16,FALSE)</f>
        <v>29517</v>
      </c>
      <c r="M70" s="87">
        <f>VLOOKUP($A70,'Facility Detail'!$C:$T,17,FALSE)</f>
        <v>23635</v>
      </c>
      <c r="N70" s="483">
        <f>VLOOKUP($A70,'Facility Detail'!$C:$T,18,FALSE)</f>
        <v>22548</v>
      </c>
      <c r="O70" s="87">
        <f>VLOOKUP($A70,'Facility Detail'!$C:$U,19,FALSE)</f>
        <v>24660</v>
      </c>
      <c r="Q70" s="86" t="str">
        <f t="shared" si="16"/>
        <v>Rolling Hills</v>
      </c>
      <c r="R70" s="86" t="str">
        <f t="shared" si="17"/>
        <v>Wind</v>
      </c>
      <c r="S70" s="87">
        <f>VLOOKUP($A70,'Facility Detail'!$A:$T,9,FALSE)</f>
        <v>0</v>
      </c>
      <c r="T70" s="87">
        <f>VLOOKUP($A70,'Facility Detail'!$A:$T,10,FALSE)</f>
        <v>0</v>
      </c>
      <c r="U70" s="87">
        <f>VLOOKUP($A70,'Facility Detail'!$A:$T,11,FALSE)</f>
        <v>0</v>
      </c>
      <c r="V70" s="87">
        <f>VLOOKUP($A70,'Facility Detail'!$A:$T,12,FALSE)</f>
        <v>0</v>
      </c>
      <c r="W70" s="87">
        <f>VLOOKUP($A70,'Facility Detail'!$A:$T,13,FALSE)</f>
        <v>5468</v>
      </c>
      <c r="X70" s="87">
        <f>VLOOKUP($A70,'Facility Detail'!$A:$T,14,FALSE)</f>
        <v>0</v>
      </c>
      <c r="Y70" s="87">
        <f>VLOOKUP($A70,'Facility Detail'!$A:$T,15,FALSE)</f>
        <v>0</v>
      </c>
      <c r="Z70" s="87">
        <f>VLOOKUP($A70,'Facility Detail'!$A:$T,16,FALSE)</f>
        <v>0</v>
      </c>
      <c r="AA70" s="87">
        <f>VLOOKUP($A70,'Facility Detail'!$A:$T,17,FALSE)</f>
        <v>0</v>
      </c>
      <c r="AB70" s="87">
        <f>VLOOKUP($A70,'Facility Detail'!$A:$T,18,FALSE)</f>
        <v>29517</v>
      </c>
      <c r="AC70" s="87">
        <f>VLOOKUP($A70,'Facility Detail'!$A:$T,19,FALSE)</f>
        <v>23635</v>
      </c>
      <c r="AD70" s="87">
        <f>VLOOKUP($A70,'Facility Detail'!$A:$T,20,FALSE)</f>
        <v>22548</v>
      </c>
      <c r="AE70" s="87">
        <f>VLOOKUP($A70,'Facility Detail'!$A:$U,21,FALSE)</f>
        <v>24660</v>
      </c>
    </row>
    <row r="71" spans="1:31" ht="15">
      <c r="A71" s="86" t="str">
        <f>'Facility Detail'!G56</f>
        <v>Sage Solar I, LLC</v>
      </c>
      <c r="B71" s="86" t="str">
        <f xml:space="preserve"> IF( 'Facility Detail'!I56 = "", "", 'Facility Detail'!I56 )</f>
        <v>Solar</v>
      </c>
      <c r="C71" s="87">
        <f>VLOOKUP($A71,'Facility Detail'!$C:$T,7,FALSE)</f>
        <v>0</v>
      </c>
      <c r="D71" s="87">
        <f>VLOOKUP($A71,'Facility Detail'!$C:$T,8,FALSE)</f>
        <v>0</v>
      </c>
      <c r="E71" s="87">
        <f>VLOOKUP($A71,'Facility Detail'!$C:$T,9,FALSE)</f>
        <v>0</v>
      </c>
      <c r="F71" s="87">
        <f>VLOOKUP($A71,'Facility Detail'!$C:$T,10,FALSE)</f>
        <v>0</v>
      </c>
      <c r="G71" s="87">
        <f>VLOOKUP($A71,'Facility Detail'!$C:$T,11,FALSE)</f>
        <v>0</v>
      </c>
      <c r="H71" s="87">
        <f>VLOOKUP($A71,'Facility Detail'!$C:$T,12,FALSE)</f>
        <v>0</v>
      </c>
      <c r="I71" s="87">
        <f>VLOOKUP($A71,'Facility Detail'!$C:$T,13,FALSE)</f>
        <v>0</v>
      </c>
      <c r="J71" s="87">
        <f>VLOOKUP($A71,'Facility Detail'!$C:$T,14,FALSE)</f>
        <v>0</v>
      </c>
      <c r="K71" s="87">
        <f>VLOOKUP($A71,'Facility Detail'!$C:$T,15,FALSE)</f>
        <v>0</v>
      </c>
      <c r="L71" s="87">
        <f>VLOOKUP($A71,'Facility Detail'!$C:$T,16,FALSE)</f>
        <v>0</v>
      </c>
      <c r="M71" s="87">
        <f>VLOOKUP($A71,'Facility Detail'!$C:$T,17,FALSE)</f>
        <v>0</v>
      </c>
      <c r="N71" s="483">
        <f>VLOOKUP($A71,'Facility Detail'!$C:$T,18,FALSE)</f>
        <v>0</v>
      </c>
      <c r="O71" s="87">
        <f>VLOOKUP($A71,'Facility Detail'!$C:$U,19,FALSE)</f>
        <v>0</v>
      </c>
      <c r="Q71" s="86" t="str">
        <f t="shared" si="16"/>
        <v>Sage Solar I, LLC</v>
      </c>
      <c r="R71" s="86" t="str">
        <f t="shared" si="17"/>
        <v>Solar</v>
      </c>
      <c r="S71" s="87">
        <f>VLOOKUP($A71,'Facility Detail'!$A:$T,9,FALSE)</f>
        <v>0</v>
      </c>
      <c r="T71" s="87">
        <f>VLOOKUP($A71,'Facility Detail'!$A:$T,10,FALSE)</f>
        <v>0</v>
      </c>
      <c r="U71" s="87">
        <f>VLOOKUP($A71,'Facility Detail'!$A:$T,11,FALSE)</f>
        <v>0</v>
      </c>
      <c r="V71" s="87">
        <f>VLOOKUP($A71,'Facility Detail'!$A:$T,12,FALSE)</f>
        <v>0</v>
      </c>
      <c r="W71" s="87">
        <f>VLOOKUP($A71,'Facility Detail'!$A:$T,13,FALSE)</f>
        <v>0</v>
      </c>
      <c r="X71" s="87">
        <f>VLOOKUP($A71,'Facility Detail'!$A:$T,14,FALSE)</f>
        <v>0</v>
      </c>
      <c r="Y71" s="87">
        <f>VLOOKUP($A71,'Facility Detail'!$A:$T,15,FALSE)</f>
        <v>0</v>
      </c>
      <c r="Z71" s="87">
        <f>VLOOKUP($A71,'Facility Detail'!$A:$T,16,FALSE)</f>
        <v>0</v>
      </c>
      <c r="AA71" s="87">
        <f>VLOOKUP($A71,'Facility Detail'!$A:$T,17,FALSE)</f>
        <v>0</v>
      </c>
      <c r="AB71" s="87">
        <f>VLOOKUP($A71,'Facility Detail'!$A:$T,18,FALSE)</f>
        <v>0</v>
      </c>
      <c r="AC71" s="87">
        <f>VLOOKUP($A71,'Facility Detail'!$A:$T,19,FALSE)</f>
        <v>0</v>
      </c>
      <c r="AD71" s="87">
        <f>VLOOKUP($A71,'Facility Detail'!$A:$T,20,FALSE)</f>
        <v>0</v>
      </c>
      <c r="AE71" s="87">
        <f>VLOOKUP($A71,'Facility Detail'!$A:$U,21,FALSE)</f>
        <v>0</v>
      </c>
    </row>
    <row r="72" spans="1:31" ht="15">
      <c r="A72" s="86" t="str">
        <f>'Facility Detail'!G57</f>
        <v>Sage Solar II, LLC</v>
      </c>
      <c r="B72" s="86" t="str">
        <f xml:space="preserve"> IF( 'Facility Detail'!I57 = "", "", 'Facility Detail'!I57 )</f>
        <v>Solar</v>
      </c>
      <c r="C72" s="87">
        <f>VLOOKUP($A72,'Facility Detail'!$C:$T,7,FALSE)</f>
        <v>0</v>
      </c>
      <c r="D72" s="87">
        <f>VLOOKUP($A72,'Facility Detail'!$C:$T,8,FALSE)</f>
        <v>0</v>
      </c>
      <c r="E72" s="87">
        <f>VLOOKUP($A72,'Facility Detail'!$C:$T,9,FALSE)</f>
        <v>0</v>
      </c>
      <c r="F72" s="87">
        <f>VLOOKUP($A72,'Facility Detail'!$C:$T,10,FALSE)</f>
        <v>0</v>
      </c>
      <c r="G72" s="87">
        <f>VLOOKUP($A72,'Facility Detail'!$C:$T,11,FALSE)</f>
        <v>0</v>
      </c>
      <c r="H72" s="87">
        <f>VLOOKUP($A72,'Facility Detail'!$C:$T,12,FALSE)</f>
        <v>0</v>
      </c>
      <c r="I72" s="87">
        <f>VLOOKUP($A72,'Facility Detail'!$C:$T,13,FALSE)</f>
        <v>0</v>
      </c>
      <c r="J72" s="87">
        <f>VLOOKUP($A72,'Facility Detail'!$C:$T,14,FALSE)</f>
        <v>0</v>
      </c>
      <c r="K72" s="87">
        <f>VLOOKUP($A72,'Facility Detail'!$C:$T,15,FALSE)</f>
        <v>0</v>
      </c>
      <c r="L72" s="87">
        <f>VLOOKUP($A72,'Facility Detail'!$C:$T,16,FALSE)</f>
        <v>0</v>
      </c>
      <c r="M72" s="87">
        <f>VLOOKUP($A72,'Facility Detail'!$C:$T,17,FALSE)</f>
        <v>0</v>
      </c>
      <c r="N72" s="483">
        <f>VLOOKUP($A72,'Facility Detail'!$C:$T,18,FALSE)</f>
        <v>0</v>
      </c>
      <c r="O72" s="87">
        <f>VLOOKUP($A72,'Facility Detail'!$C:$U,19,FALSE)</f>
        <v>0</v>
      </c>
      <c r="Q72" s="86" t="str">
        <f t="shared" si="16"/>
        <v>Sage Solar II, LLC</v>
      </c>
      <c r="R72" s="86" t="str">
        <f t="shared" si="17"/>
        <v>Solar</v>
      </c>
      <c r="S72" s="87">
        <f>VLOOKUP($A72,'Facility Detail'!$A:$T,9,FALSE)</f>
        <v>0</v>
      </c>
      <c r="T72" s="87">
        <f>VLOOKUP($A72,'Facility Detail'!$A:$T,10,FALSE)</f>
        <v>0</v>
      </c>
      <c r="U72" s="87">
        <f>VLOOKUP($A72,'Facility Detail'!$A:$T,11,FALSE)</f>
        <v>0</v>
      </c>
      <c r="V72" s="87">
        <f>VLOOKUP($A72,'Facility Detail'!$A:$T,12,FALSE)</f>
        <v>0</v>
      </c>
      <c r="W72" s="87">
        <f>VLOOKUP($A72,'Facility Detail'!$A:$T,13,FALSE)</f>
        <v>0</v>
      </c>
      <c r="X72" s="87">
        <f>VLOOKUP($A72,'Facility Detail'!$A:$T,14,FALSE)</f>
        <v>0</v>
      </c>
      <c r="Y72" s="87">
        <f>VLOOKUP($A72,'Facility Detail'!$A:$T,15,FALSE)</f>
        <v>0</v>
      </c>
      <c r="Z72" s="87">
        <f>VLOOKUP($A72,'Facility Detail'!$A:$T,16,FALSE)</f>
        <v>0</v>
      </c>
      <c r="AA72" s="87">
        <f>VLOOKUP($A72,'Facility Detail'!$A:$T,17,FALSE)</f>
        <v>0</v>
      </c>
      <c r="AB72" s="87">
        <f>VLOOKUP($A72,'Facility Detail'!$A:$T,18,FALSE)</f>
        <v>0</v>
      </c>
      <c r="AC72" s="87">
        <f>VLOOKUP($A72,'Facility Detail'!$A:$T,19,FALSE)</f>
        <v>0</v>
      </c>
      <c r="AD72" s="87">
        <f>VLOOKUP($A72,'Facility Detail'!$A:$T,20,FALSE)</f>
        <v>0</v>
      </c>
      <c r="AE72" s="87">
        <f>VLOOKUP($A72,'Facility Detail'!$A:$U,21,FALSE)</f>
        <v>0</v>
      </c>
    </row>
    <row r="73" spans="1:31" ht="15">
      <c r="A73" s="86" t="str">
        <f>'Facility Detail'!G58</f>
        <v>Sage Solar III, LLC</v>
      </c>
      <c r="B73" s="86" t="str">
        <f xml:space="preserve"> IF( 'Facility Detail'!I58 = "", "", 'Facility Detail'!I58 )</f>
        <v>Solar</v>
      </c>
      <c r="C73" s="87">
        <f>VLOOKUP($A73,'Facility Detail'!$C:$T,7,FALSE)</f>
        <v>0</v>
      </c>
      <c r="D73" s="87">
        <f>VLOOKUP($A73,'Facility Detail'!$C:$T,8,FALSE)</f>
        <v>0</v>
      </c>
      <c r="E73" s="87">
        <f>VLOOKUP($A73,'Facility Detail'!$C:$T,9,FALSE)</f>
        <v>0</v>
      </c>
      <c r="F73" s="87">
        <f>VLOOKUP($A73,'Facility Detail'!$C:$T,10,FALSE)</f>
        <v>0</v>
      </c>
      <c r="G73" s="87">
        <f>VLOOKUP($A73,'Facility Detail'!$C:$T,11,FALSE)</f>
        <v>0</v>
      </c>
      <c r="H73" s="87">
        <f>VLOOKUP($A73,'Facility Detail'!$C:$T,12,FALSE)</f>
        <v>0</v>
      </c>
      <c r="I73" s="87">
        <f>VLOOKUP($A73,'Facility Detail'!$C:$T,13,FALSE)</f>
        <v>0</v>
      </c>
      <c r="J73" s="87">
        <f>VLOOKUP($A73,'Facility Detail'!$C:$T,14,FALSE)</f>
        <v>0</v>
      </c>
      <c r="K73" s="87">
        <f>VLOOKUP($A73,'Facility Detail'!$C:$T,15,FALSE)</f>
        <v>0</v>
      </c>
      <c r="L73" s="87">
        <f>VLOOKUP($A73,'Facility Detail'!$C:$T,16,FALSE)</f>
        <v>0</v>
      </c>
      <c r="M73" s="87">
        <f>VLOOKUP($A73,'Facility Detail'!$C:$T,17,FALSE)</f>
        <v>0</v>
      </c>
      <c r="N73" s="483">
        <f>VLOOKUP($A73,'Facility Detail'!$C:$T,18,FALSE)</f>
        <v>0</v>
      </c>
      <c r="O73" s="87">
        <f>VLOOKUP($A73,'Facility Detail'!$C:$U,19,FALSE)</f>
        <v>0</v>
      </c>
      <c r="Q73" s="86" t="str">
        <f t="shared" si="16"/>
        <v>Sage Solar III, LLC</v>
      </c>
      <c r="R73" s="86" t="str">
        <f t="shared" si="17"/>
        <v>Solar</v>
      </c>
      <c r="S73" s="87">
        <f>VLOOKUP($A73,'Facility Detail'!$A:$T,9,FALSE)</f>
        <v>0</v>
      </c>
      <c r="T73" s="87">
        <f>VLOOKUP($A73,'Facility Detail'!$A:$T,10,FALSE)</f>
        <v>0</v>
      </c>
      <c r="U73" s="87">
        <f>VLOOKUP($A73,'Facility Detail'!$A:$T,11,FALSE)</f>
        <v>0</v>
      </c>
      <c r="V73" s="87">
        <f>VLOOKUP($A73,'Facility Detail'!$A:$T,12,FALSE)</f>
        <v>0</v>
      </c>
      <c r="W73" s="87">
        <f>VLOOKUP($A73,'Facility Detail'!$A:$T,13,FALSE)</f>
        <v>0</v>
      </c>
      <c r="X73" s="87">
        <f>VLOOKUP($A73,'Facility Detail'!$A:$T,14,FALSE)</f>
        <v>0</v>
      </c>
      <c r="Y73" s="87">
        <f>VLOOKUP($A73,'Facility Detail'!$A:$T,15,FALSE)</f>
        <v>0</v>
      </c>
      <c r="Z73" s="87">
        <f>VLOOKUP($A73,'Facility Detail'!$A:$T,16,FALSE)</f>
        <v>0</v>
      </c>
      <c r="AA73" s="87">
        <f>VLOOKUP($A73,'Facility Detail'!$A:$T,17,FALSE)</f>
        <v>0</v>
      </c>
      <c r="AB73" s="87">
        <f>VLOOKUP($A73,'Facility Detail'!$A:$T,18,FALSE)</f>
        <v>0</v>
      </c>
      <c r="AC73" s="87">
        <f>VLOOKUP($A73,'Facility Detail'!$A:$T,19,FALSE)</f>
        <v>0</v>
      </c>
      <c r="AD73" s="87">
        <f>VLOOKUP($A73,'Facility Detail'!$A:$T,20,FALSE)</f>
        <v>0</v>
      </c>
      <c r="AE73" s="87">
        <f>VLOOKUP($A73,'Facility Detail'!$A:$U,21,FALSE)</f>
        <v>0</v>
      </c>
    </row>
    <row r="74" spans="1:31" ht="15">
      <c r="A74" s="86" t="str">
        <f>'Facility Detail'!G59</f>
        <v>Seven Mile Hill I</v>
      </c>
      <c r="B74" s="86" t="str">
        <f xml:space="preserve"> IF( 'Facility Detail'!I59 = "", "", 'Facility Detail'!I59 )</f>
        <v>Wind</v>
      </c>
      <c r="C74" s="87">
        <f>VLOOKUP($A74,'Facility Detail'!$C:$T,7,FALSE)</f>
        <v>0</v>
      </c>
      <c r="D74" s="87">
        <f>VLOOKUP($A74,'Facility Detail'!$C:$T,8,FALSE)</f>
        <v>0</v>
      </c>
      <c r="E74" s="87">
        <f>VLOOKUP($A74,'Facility Detail'!$C:$T,9,FALSE)</f>
        <v>0</v>
      </c>
      <c r="F74" s="87">
        <f>VLOOKUP($A74,'Facility Detail'!$C:$T,10,FALSE)</f>
        <v>0</v>
      </c>
      <c r="G74" s="87">
        <f>VLOOKUP($A74,'Facility Detail'!$C:$T,11,FALSE)</f>
        <v>0</v>
      </c>
      <c r="H74" s="87">
        <f>VLOOKUP($A74,'Facility Detail'!$C:$T,12,FALSE)</f>
        <v>0</v>
      </c>
      <c r="I74" s="87">
        <f>VLOOKUP($A74,'Facility Detail'!$C:$T,13,FALSE)</f>
        <v>4353</v>
      </c>
      <c r="J74" s="87">
        <f>VLOOKUP($A74,'Facility Detail'!$C:$T,14,FALSE)</f>
        <v>11844</v>
      </c>
      <c r="K74" s="87">
        <f>VLOOKUP($A74,'Facility Detail'!$C:$T,15,FALSE)</f>
        <v>13499.627724604894</v>
      </c>
      <c r="L74" s="87">
        <f>VLOOKUP($A74,'Facility Detail'!$C:$T,16,FALSE)</f>
        <v>34771</v>
      </c>
      <c r="M74" s="87">
        <f>VLOOKUP($A74,'Facility Detail'!$C:$T,17,FALSE)</f>
        <v>31592</v>
      </c>
      <c r="N74" s="483">
        <f>VLOOKUP($A74,'Facility Detail'!$C:$T,18,FALSE)</f>
        <v>32525</v>
      </c>
      <c r="O74" s="87">
        <f>VLOOKUP($A74,'Facility Detail'!$C:$U,19,FALSE)</f>
        <v>31343</v>
      </c>
      <c r="Q74" s="86" t="str">
        <f t="shared" si="16"/>
        <v>Seven Mile Hill I</v>
      </c>
      <c r="R74" s="86" t="str">
        <f t="shared" si="17"/>
        <v>Wind</v>
      </c>
      <c r="S74" s="87">
        <f>VLOOKUP($A74,'Facility Detail'!$A:$T,9,FALSE)</f>
        <v>0</v>
      </c>
      <c r="T74" s="87">
        <f>VLOOKUP($A74,'Facility Detail'!$A:$T,10,FALSE)</f>
        <v>0</v>
      </c>
      <c r="U74" s="87">
        <f>VLOOKUP($A74,'Facility Detail'!$A:$T,11,FALSE)</f>
        <v>0</v>
      </c>
      <c r="V74" s="87">
        <f>VLOOKUP($A74,'Facility Detail'!$A:$T,12,FALSE)</f>
        <v>0</v>
      </c>
      <c r="W74" s="87">
        <f>VLOOKUP($A74,'Facility Detail'!$A:$T,13,FALSE)</f>
        <v>0</v>
      </c>
      <c r="X74" s="87">
        <f>VLOOKUP($A74,'Facility Detail'!$A:$T,14,FALSE)</f>
        <v>4353</v>
      </c>
      <c r="Y74" s="87">
        <f>VLOOKUP($A74,'Facility Detail'!$A:$T,15,FALSE)</f>
        <v>0</v>
      </c>
      <c r="Z74" s="87">
        <f>VLOOKUP($A74,'Facility Detail'!$A:$T,16,FALSE)</f>
        <v>11844</v>
      </c>
      <c r="AA74" s="87">
        <f>VLOOKUP($A74,'Facility Detail'!$A:$T,17,FALSE)</f>
        <v>13499.627724604894</v>
      </c>
      <c r="AB74" s="87">
        <f>VLOOKUP($A74,'Facility Detail'!$A:$T,18,FALSE)</f>
        <v>34771</v>
      </c>
      <c r="AC74" s="87">
        <f>VLOOKUP($A74,'Facility Detail'!$A:$T,19,FALSE)</f>
        <v>31592</v>
      </c>
      <c r="AD74" s="87">
        <f>VLOOKUP($A74,'Facility Detail'!$A:$T,20,FALSE)</f>
        <v>32525</v>
      </c>
      <c r="AE74" s="87">
        <f>VLOOKUP($A74,'Facility Detail'!$A:$U,21,FALSE)</f>
        <v>31343</v>
      </c>
    </row>
    <row r="75" spans="1:31" ht="15">
      <c r="A75" s="86" t="str">
        <f>'Facility Detail'!G60</f>
        <v>Seven Mile Hill II</v>
      </c>
      <c r="B75" s="86" t="str">
        <f xml:space="preserve"> IF( 'Facility Detail'!I60 = "", "", 'Facility Detail'!I60 )</f>
        <v>Wind</v>
      </c>
      <c r="C75" s="87">
        <f>VLOOKUP($A75,'Facility Detail'!$C:$T,7,FALSE)</f>
        <v>0</v>
      </c>
      <c r="D75" s="87">
        <f>VLOOKUP($A75,'Facility Detail'!$C:$T,8,FALSE)</f>
        <v>0</v>
      </c>
      <c r="E75" s="87">
        <f>VLOOKUP($A75,'Facility Detail'!$C:$T,9,FALSE)</f>
        <v>0</v>
      </c>
      <c r="F75" s="87">
        <f>VLOOKUP($A75,'Facility Detail'!$C:$T,10,FALSE)</f>
        <v>0</v>
      </c>
      <c r="G75" s="87">
        <f>VLOOKUP($A75,'Facility Detail'!$C:$T,11,FALSE)</f>
        <v>0</v>
      </c>
      <c r="H75" s="87">
        <f>VLOOKUP($A75,'Facility Detail'!$C:$T,12,FALSE)</f>
        <v>0</v>
      </c>
      <c r="I75" s="87">
        <f>VLOOKUP($A75,'Facility Detail'!$C:$T,13,FALSE)</f>
        <v>0</v>
      </c>
      <c r="J75" s="87">
        <f>VLOOKUP($A75,'Facility Detail'!$C:$T,14,FALSE)</f>
        <v>0</v>
      </c>
      <c r="K75" s="87">
        <f>VLOOKUP($A75,'Facility Detail'!$C:$T,15,FALSE)</f>
        <v>0</v>
      </c>
      <c r="L75" s="87">
        <f>VLOOKUP($A75,'Facility Detail'!$C:$T,16,FALSE)</f>
        <v>0</v>
      </c>
      <c r="M75" s="87">
        <f>VLOOKUP($A75,'Facility Detail'!$C:$T,17,FALSE)</f>
        <v>6557</v>
      </c>
      <c r="N75" s="483">
        <f>VLOOKUP($A75,'Facility Detail'!$C:$T,18,FALSE)</f>
        <v>6838</v>
      </c>
      <c r="O75" s="87">
        <f>VLOOKUP($A75,'Facility Detail'!$C:$U,19,FALSE)</f>
        <v>6388</v>
      </c>
      <c r="Q75" s="86" t="str">
        <f t="shared" si="16"/>
        <v>Seven Mile Hill II</v>
      </c>
      <c r="R75" s="86" t="str">
        <f t="shared" si="17"/>
        <v>Wind</v>
      </c>
      <c r="S75" s="87">
        <f>VLOOKUP($A75,'Facility Detail'!$A:$T,9,FALSE)</f>
        <v>0</v>
      </c>
      <c r="T75" s="87">
        <f>VLOOKUP($A75,'Facility Detail'!$A:$T,10,FALSE)</f>
        <v>0</v>
      </c>
      <c r="U75" s="87">
        <f>VLOOKUP($A75,'Facility Detail'!$A:$T,11,FALSE)</f>
        <v>0</v>
      </c>
      <c r="V75" s="87">
        <f>VLOOKUP($A75,'Facility Detail'!$A:$T,12,FALSE)</f>
        <v>0</v>
      </c>
      <c r="W75" s="87">
        <f>VLOOKUP($A75,'Facility Detail'!$A:$T,13,FALSE)</f>
        <v>0</v>
      </c>
      <c r="X75" s="87">
        <f>VLOOKUP($A75,'Facility Detail'!$A:$T,14,FALSE)</f>
        <v>0</v>
      </c>
      <c r="Y75" s="87">
        <f>VLOOKUP($A75,'Facility Detail'!$A:$T,15,FALSE)</f>
        <v>0</v>
      </c>
      <c r="Z75" s="87">
        <f>VLOOKUP($A75,'Facility Detail'!$A:$T,16,FALSE)</f>
        <v>0</v>
      </c>
      <c r="AA75" s="87">
        <f>VLOOKUP($A75,'Facility Detail'!$A:$T,17,FALSE)</f>
        <v>0</v>
      </c>
      <c r="AB75" s="87">
        <f>VLOOKUP($A75,'Facility Detail'!$A:$T,18,FALSE)</f>
        <v>0</v>
      </c>
      <c r="AC75" s="87">
        <f>VLOOKUP($A75,'Facility Detail'!$A:$T,19,FALSE)</f>
        <v>6557</v>
      </c>
      <c r="AD75" s="87">
        <f>VLOOKUP($A75,'Facility Detail'!$A:$T,20,FALSE)</f>
        <v>6838</v>
      </c>
      <c r="AE75" s="87">
        <f>VLOOKUP($A75,'Facility Detail'!$A:$U,21,FALSE)</f>
        <v>6388</v>
      </c>
    </row>
    <row r="76" spans="1:31" ht="15">
      <c r="A76" s="86" t="str">
        <f>'Facility Detail'!G61</f>
        <v>SPI Aberdeen - REC Only</v>
      </c>
      <c r="B76" s="86" t="str">
        <f xml:space="preserve"> IF( 'Facility Detail'!I61 = "", "", 'Facility Detail'!I61 )</f>
        <v>Biomass</v>
      </c>
      <c r="C76" s="87">
        <f>VLOOKUP($A76,'Facility Detail'!$C:$T,7,FALSE)</f>
        <v>0</v>
      </c>
      <c r="D76" s="87">
        <f>VLOOKUP($A76,'Facility Detail'!$C:$T,8,FALSE)</f>
        <v>0</v>
      </c>
      <c r="E76" s="87">
        <f>VLOOKUP($A76,'Facility Detail'!$C:$T,9,FALSE)</f>
        <v>0</v>
      </c>
      <c r="F76" s="87">
        <f>VLOOKUP($A76,'Facility Detail'!$C:$T,10,FALSE)</f>
        <v>0</v>
      </c>
      <c r="G76" s="87">
        <f>VLOOKUP($A76,'Facility Detail'!$C:$T,11,FALSE)</f>
        <v>40000</v>
      </c>
      <c r="H76" s="87">
        <f>VLOOKUP($A76,'Facility Detail'!$C:$T,12,FALSE)</f>
        <v>0</v>
      </c>
      <c r="I76" s="87">
        <f>VLOOKUP($A76,'Facility Detail'!$C:$T,13,FALSE)</f>
        <v>0</v>
      </c>
      <c r="J76" s="87">
        <f>VLOOKUP($A76,'Facility Detail'!$C:$T,14,FALSE)</f>
        <v>0</v>
      </c>
      <c r="K76" s="87">
        <f>VLOOKUP($A76,'Facility Detail'!$C:$T,15,FALSE)</f>
        <v>0</v>
      </c>
      <c r="L76" s="87">
        <f>VLOOKUP($A76,'Facility Detail'!$C:$T,16,FALSE)</f>
        <v>0</v>
      </c>
      <c r="M76" s="87">
        <f>VLOOKUP($A76,'Facility Detail'!$C:$T,17,FALSE)</f>
        <v>0</v>
      </c>
      <c r="N76" s="483">
        <f>VLOOKUP($A76,'Facility Detail'!$C:$T,18,FALSE)</f>
        <v>0</v>
      </c>
      <c r="O76" s="87">
        <f>VLOOKUP($A76,'Facility Detail'!$C:$U,19,FALSE)</f>
        <v>0</v>
      </c>
      <c r="Q76" s="86" t="str">
        <f t="shared" si="16"/>
        <v>SPI Aberdeen - REC Only</v>
      </c>
      <c r="R76" s="86" t="str">
        <f t="shared" si="17"/>
        <v>Biomass</v>
      </c>
      <c r="S76" s="87">
        <f>VLOOKUP($A76,'Facility Detail'!$A:$T,9,FALSE)</f>
        <v>0</v>
      </c>
      <c r="T76" s="87">
        <f>VLOOKUP($A76,'Facility Detail'!$A:$T,10,FALSE)</f>
        <v>0</v>
      </c>
      <c r="U76" s="87">
        <f>VLOOKUP($A76,'Facility Detail'!$A:$T,11,FALSE)</f>
        <v>0</v>
      </c>
      <c r="V76" s="87">
        <f>VLOOKUP($A76,'Facility Detail'!$A:$T,12,FALSE)</f>
        <v>0</v>
      </c>
      <c r="W76" s="87">
        <f>VLOOKUP($A76,'Facility Detail'!$A:$T,13,FALSE)</f>
        <v>40000</v>
      </c>
      <c r="X76" s="87">
        <f>VLOOKUP($A76,'Facility Detail'!$A:$T,14,FALSE)</f>
        <v>0</v>
      </c>
      <c r="Y76" s="87">
        <f>VLOOKUP($A76,'Facility Detail'!$A:$T,15,FALSE)</f>
        <v>0</v>
      </c>
      <c r="Z76" s="87">
        <f>VLOOKUP($A76,'Facility Detail'!$A:$T,16,FALSE)</f>
        <v>0</v>
      </c>
      <c r="AA76" s="87">
        <f>VLOOKUP($A76,'Facility Detail'!$A:$T,17,FALSE)</f>
        <v>0</v>
      </c>
      <c r="AB76" s="87">
        <f>VLOOKUP($A76,'Facility Detail'!$A:$T,18,FALSE)</f>
        <v>0</v>
      </c>
      <c r="AC76" s="87">
        <f>VLOOKUP($A76,'Facility Detail'!$A:$T,19,FALSE)</f>
        <v>0</v>
      </c>
      <c r="AD76" s="87">
        <f>VLOOKUP($A76,'Facility Detail'!$A:$T,20,FALSE)</f>
        <v>0</v>
      </c>
      <c r="AE76" s="87">
        <f>VLOOKUP($A76,'Facility Detail'!$A:$U,21,FALSE)</f>
        <v>0</v>
      </c>
    </row>
    <row r="77" spans="1:31" ht="15">
      <c r="A77" s="86" t="str">
        <f>'Facility Detail'!G62</f>
        <v>Stateline (WA) - FPL Energy Vansycle LLC - REC Only</v>
      </c>
      <c r="B77" s="86" t="str">
        <f xml:space="preserve"> IF( 'Facility Detail'!I62 = "", "", 'Facility Detail'!I62 )</f>
        <v>Wind</v>
      </c>
      <c r="C77" s="87">
        <f>VLOOKUP($A77,'Facility Detail'!$C:$T,7,FALSE)</f>
        <v>0</v>
      </c>
      <c r="D77" s="87">
        <f>VLOOKUP($A77,'Facility Detail'!$C:$T,8,FALSE)</f>
        <v>0</v>
      </c>
      <c r="E77" s="87">
        <f>VLOOKUP($A77,'Facility Detail'!$C:$T,9,FALSE)</f>
        <v>0</v>
      </c>
      <c r="F77" s="87">
        <f>VLOOKUP($A77,'Facility Detail'!$C:$T,10,FALSE)</f>
        <v>0</v>
      </c>
      <c r="G77" s="87">
        <f>VLOOKUP($A77,'Facility Detail'!$C:$T,11,FALSE)</f>
        <v>0</v>
      </c>
      <c r="H77" s="87">
        <f>VLOOKUP($A77,'Facility Detail'!$C:$T,12,FALSE)</f>
        <v>0</v>
      </c>
      <c r="I77" s="87">
        <f>VLOOKUP($A77,'Facility Detail'!$C:$T,13,FALSE)</f>
        <v>12946</v>
      </c>
      <c r="J77" s="87">
        <f>VLOOKUP($A77,'Facility Detail'!$C:$T,14,FALSE)</f>
        <v>0</v>
      </c>
      <c r="K77" s="87">
        <f>VLOOKUP($A77,'Facility Detail'!$C:$T,15,FALSE)</f>
        <v>0</v>
      </c>
      <c r="L77" s="87">
        <f>VLOOKUP($A77,'Facility Detail'!$C:$T,16,FALSE)</f>
        <v>0</v>
      </c>
      <c r="M77" s="87">
        <f>VLOOKUP($A77,'Facility Detail'!$C:$T,17,FALSE)</f>
        <v>0</v>
      </c>
      <c r="N77" s="483">
        <f>VLOOKUP($A77,'Facility Detail'!$C:$T,18,FALSE)</f>
        <v>0</v>
      </c>
      <c r="O77" s="87">
        <f>VLOOKUP($A77,'Facility Detail'!$C:$U,19,FALSE)</f>
        <v>0</v>
      </c>
      <c r="Q77" s="86" t="str">
        <f t="shared" si="16"/>
        <v>Stateline (WA) - FPL Energy Vansycle LLC - REC Only</v>
      </c>
      <c r="R77" s="86" t="str">
        <f t="shared" si="17"/>
        <v>Wind</v>
      </c>
      <c r="S77" s="87">
        <f>VLOOKUP($A77,'Facility Detail'!$A:$T,9,FALSE)</f>
        <v>0</v>
      </c>
      <c r="T77" s="87">
        <f>VLOOKUP($A77,'Facility Detail'!$A:$T,10,FALSE)</f>
        <v>0</v>
      </c>
      <c r="U77" s="87">
        <f>VLOOKUP($A77,'Facility Detail'!$A:$T,11,FALSE)</f>
        <v>0</v>
      </c>
      <c r="V77" s="87">
        <f>VLOOKUP($A77,'Facility Detail'!$A:$T,12,FALSE)</f>
        <v>0</v>
      </c>
      <c r="W77" s="87">
        <f>VLOOKUP($A77,'Facility Detail'!$A:$T,13,FALSE)</f>
        <v>0</v>
      </c>
      <c r="X77" s="87">
        <f>VLOOKUP($A77,'Facility Detail'!$A:$T,14,FALSE)</f>
        <v>12946</v>
      </c>
      <c r="Y77" s="87">
        <f>VLOOKUP($A77,'Facility Detail'!$A:$T,15,FALSE)</f>
        <v>0</v>
      </c>
      <c r="Z77" s="87">
        <f>VLOOKUP($A77,'Facility Detail'!$A:$T,16,FALSE)</f>
        <v>0</v>
      </c>
      <c r="AA77" s="87">
        <f>VLOOKUP($A77,'Facility Detail'!$A:$T,17,FALSE)</f>
        <v>0</v>
      </c>
      <c r="AB77" s="87">
        <f>VLOOKUP($A77,'Facility Detail'!$A:$T,18,FALSE)</f>
        <v>0</v>
      </c>
      <c r="AC77" s="87">
        <f>VLOOKUP($A77,'Facility Detail'!$A:$T,19,FALSE)</f>
        <v>0</v>
      </c>
      <c r="AD77" s="87">
        <f>VLOOKUP($A77,'Facility Detail'!$A:$T,20,FALSE)</f>
        <v>0</v>
      </c>
      <c r="AE77" s="87">
        <f>VLOOKUP($A77,'Facility Detail'!$A:$U,21,FALSE)</f>
        <v>0</v>
      </c>
    </row>
    <row r="78" spans="1:31" ht="15">
      <c r="A78" s="86" t="str">
        <f>'Facility Detail'!G63</f>
        <v>Sweetwater Solar, LLC</v>
      </c>
      <c r="B78" s="86" t="str">
        <f xml:space="preserve"> IF( 'Facility Detail'!I63 = "", "", 'Facility Detail'!I63 )</f>
        <v>Solar</v>
      </c>
      <c r="C78" s="87">
        <f>VLOOKUP($A78,'Facility Detail'!$C:$T,7,FALSE)</f>
        <v>0</v>
      </c>
      <c r="D78" s="87">
        <f>VLOOKUP($A78,'Facility Detail'!$C:$T,8,FALSE)</f>
        <v>0</v>
      </c>
      <c r="E78" s="87">
        <f>VLOOKUP($A78,'Facility Detail'!$C:$T,9,FALSE)</f>
        <v>0</v>
      </c>
      <c r="F78" s="87">
        <f>VLOOKUP($A78,'Facility Detail'!$C:$T,10,FALSE)</f>
        <v>0</v>
      </c>
      <c r="G78" s="87">
        <f>VLOOKUP($A78,'Facility Detail'!$C:$T,11,FALSE)</f>
        <v>0</v>
      </c>
      <c r="H78" s="87">
        <f>VLOOKUP($A78,'Facility Detail'!$C:$T,12,FALSE)</f>
        <v>0</v>
      </c>
      <c r="I78" s="87">
        <f>VLOOKUP($A78,'Facility Detail'!$C:$T,13,FALSE)</f>
        <v>0</v>
      </c>
      <c r="J78" s="87">
        <f>VLOOKUP($A78,'Facility Detail'!$C:$T,14,FALSE)</f>
        <v>0</v>
      </c>
      <c r="K78" s="87">
        <f>VLOOKUP($A78,'Facility Detail'!$C:$T,15,FALSE)</f>
        <v>0</v>
      </c>
      <c r="L78" s="87">
        <f>VLOOKUP($A78,'Facility Detail'!$C:$T,16,FALSE)</f>
        <v>0</v>
      </c>
      <c r="M78" s="87">
        <f>VLOOKUP($A78,'Facility Detail'!$C:$T,17,FALSE)</f>
        <v>0</v>
      </c>
      <c r="N78" s="483">
        <f>VLOOKUP($A78,'Facility Detail'!$C:$T,18,FALSE)</f>
        <v>0</v>
      </c>
      <c r="O78" s="87">
        <f>VLOOKUP($A78,'Facility Detail'!$C:$U,19,FALSE)</f>
        <v>0</v>
      </c>
      <c r="Q78" s="86" t="str">
        <f t="shared" si="16"/>
        <v>Sweetwater Solar, LLC</v>
      </c>
      <c r="R78" s="86" t="str">
        <f t="shared" si="17"/>
        <v>Solar</v>
      </c>
      <c r="S78" s="87">
        <f>VLOOKUP($A78,'Facility Detail'!$A:$T,9,FALSE)</f>
        <v>0</v>
      </c>
      <c r="T78" s="87">
        <f>VLOOKUP($A78,'Facility Detail'!$A:$T,10,FALSE)</f>
        <v>0</v>
      </c>
      <c r="U78" s="87">
        <f>VLOOKUP($A78,'Facility Detail'!$A:$T,11,FALSE)</f>
        <v>0</v>
      </c>
      <c r="V78" s="87">
        <f>VLOOKUP($A78,'Facility Detail'!$A:$T,12,FALSE)</f>
        <v>0</v>
      </c>
      <c r="W78" s="87">
        <f>VLOOKUP($A78,'Facility Detail'!$A:$T,13,FALSE)</f>
        <v>0</v>
      </c>
      <c r="X78" s="87">
        <f>VLOOKUP($A78,'Facility Detail'!$A:$T,14,FALSE)</f>
        <v>0</v>
      </c>
      <c r="Y78" s="87">
        <f>VLOOKUP($A78,'Facility Detail'!$A:$T,15,FALSE)</f>
        <v>0</v>
      </c>
      <c r="Z78" s="87">
        <f>VLOOKUP($A78,'Facility Detail'!$A:$T,16,FALSE)</f>
        <v>0</v>
      </c>
      <c r="AA78" s="87">
        <f>VLOOKUP($A78,'Facility Detail'!$A:$T,17,FALSE)</f>
        <v>0</v>
      </c>
      <c r="AB78" s="87">
        <f>VLOOKUP($A78,'Facility Detail'!$A:$T,18,FALSE)</f>
        <v>0</v>
      </c>
      <c r="AC78" s="87">
        <f>VLOOKUP($A78,'Facility Detail'!$A:$T,19,FALSE)</f>
        <v>0</v>
      </c>
      <c r="AD78" s="87">
        <f>VLOOKUP($A78,'Facility Detail'!$A:$T,20,FALSE)</f>
        <v>0</v>
      </c>
      <c r="AE78" s="87">
        <f>VLOOKUP($A78,'Facility Detail'!$A:$U,21,FALSE)</f>
        <v>0</v>
      </c>
    </row>
    <row r="79" spans="1:31" ht="15">
      <c r="A79" s="86" t="str">
        <f>'Facility Detail'!G64</f>
        <v>Top of the World</v>
      </c>
      <c r="B79" s="86" t="str">
        <f xml:space="preserve"> IF( 'Facility Detail'!I64 = "", "", 'Facility Detail'!I64 )</f>
        <v>Wind</v>
      </c>
      <c r="C79" s="87">
        <f>VLOOKUP($A79,'Facility Detail'!$C:$T,7,FALSE)</f>
        <v>0</v>
      </c>
      <c r="D79" s="87">
        <f>VLOOKUP($A79,'Facility Detail'!$C:$T,8,FALSE)</f>
        <v>0</v>
      </c>
      <c r="E79" s="87">
        <f>VLOOKUP($A79,'Facility Detail'!$C:$T,9,FALSE)</f>
        <v>0</v>
      </c>
      <c r="F79" s="87">
        <f>VLOOKUP($A79,'Facility Detail'!$C:$T,10,FALSE)</f>
        <v>0</v>
      </c>
      <c r="G79" s="87">
        <f>VLOOKUP($A79,'Facility Detail'!$C:$T,11,FALSE)</f>
        <v>0</v>
      </c>
      <c r="H79" s="87">
        <f>VLOOKUP($A79,'Facility Detail'!$C:$T,12,FALSE)</f>
        <v>45911</v>
      </c>
      <c r="I79" s="87">
        <f>VLOOKUP($A79,'Facility Detail'!$C:$T,13,FALSE)</f>
        <v>102623</v>
      </c>
      <c r="J79" s="87">
        <f>VLOOKUP($A79,'Facility Detail'!$C:$T,14,FALSE)</f>
        <v>42284</v>
      </c>
      <c r="K79" s="87">
        <f>VLOOKUP($A79,'Facility Detail'!$C:$T,15,FALSE)</f>
        <v>20249.710123227731</v>
      </c>
      <c r="L79" s="87">
        <f>VLOOKUP($A79,'Facility Detail'!$C:$T,16,FALSE)</f>
        <v>42198.447670147259</v>
      </c>
      <c r="M79" s="87">
        <f>VLOOKUP($A79,'Facility Detail'!$C:$T,17,FALSE)</f>
        <v>31268</v>
      </c>
      <c r="N79" s="483">
        <f>VLOOKUP($A79,'Facility Detail'!$C:$T,18,FALSE)</f>
        <v>31063</v>
      </c>
      <c r="O79" s="87">
        <f>VLOOKUP($A79,'Facility Detail'!$C:$U,19,FALSE)</f>
        <v>42480.460155410867</v>
      </c>
      <c r="Q79" s="86" t="str">
        <f t="shared" si="16"/>
        <v>Top of the World</v>
      </c>
      <c r="R79" s="86" t="str">
        <f t="shared" si="17"/>
        <v>Wind</v>
      </c>
      <c r="S79" s="87">
        <f>VLOOKUP($A79,'Facility Detail'!$A:$T,9,FALSE)</f>
        <v>0</v>
      </c>
      <c r="T79" s="87">
        <f>VLOOKUP($A79,'Facility Detail'!$A:$T,10,FALSE)</f>
        <v>0</v>
      </c>
      <c r="U79" s="87">
        <f>VLOOKUP($A79,'Facility Detail'!$A:$T,11,FALSE)</f>
        <v>0</v>
      </c>
      <c r="V79" s="87">
        <f>VLOOKUP($A79,'Facility Detail'!$A:$T,12,FALSE)</f>
        <v>0</v>
      </c>
      <c r="W79" s="87">
        <f>VLOOKUP($A79,'Facility Detail'!$A:$T,13,FALSE)</f>
        <v>45911</v>
      </c>
      <c r="X79" s="87">
        <f>VLOOKUP($A79,'Facility Detail'!$A:$T,14,FALSE)</f>
        <v>53189</v>
      </c>
      <c r="Y79" s="87">
        <f>VLOOKUP($A79,'Facility Detail'!$A:$T,15,FALSE)</f>
        <v>49434</v>
      </c>
      <c r="Z79" s="87">
        <f>VLOOKUP($A79,'Facility Detail'!$A:$T,16,FALSE)</f>
        <v>42284</v>
      </c>
      <c r="AA79" s="87">
        <f>VLOOKUP($A79,'Facility Detail'!$A:$T,17,FALSE)</f>
        <v>20249.710123227731</v>
      </c>
      <c r="AB79" s="87">
        <f>VLOOKUP($A79,'Facility Detail'!$A:$T,18,FALSE)</f>
        <v>42198.447670147259</v>
      </c>
      <c r="AC79" s="87">
        <f>VLOOKUP($A79,'Facility Detail'!$A:$T,19,FALSE)</f>
        <v>31268</v>
      </c>
      <c r="AD79" s="87">
        <f>VLOOKUP($A79,'Facility Detail'!$A:$T,20,FALSE)</f>
        <v>31063</v>
      </c>
      <c r="AE79" s="87">
        <f>VLOOKUP($A79,'Facility Detail'!$A:$U,21,FALSE)</f>
        <v>42480.460155410867</v>
      </c>
    </row>
    <row r="80" spans="1:31" ht="15">
      <c r="A80" s="86" t="str">
        <f>'Facility Detail'!G65</f>
        <v>TB Flats Wind I</v>
      </c>
      <c r="B80" s="86" t="str">
        <f xml:space="preserve"> IF( 'Facility Detail'!I65 = "", "", 'Facility Detail'!I65 )</f>
        <v>Wind</v>
      </c>
      <c r="C80" s="87">
        <f>VLOOKUP($A80,'Facility Detail'!$C:$T,7,FALSE)</f>
        <v>0</v>
      </c>
      <c r="D80" s="87">
        <f>VLOOKUP($A80,'Facility Detail'!$C:$T,8,FALSE)</f>
        <v>0</v>
      </c>
      <c r="E80" s="87">
        <f>VLOOKUP($A80,'Facility Detail'!$C:$T,9,FALSE)</f>
        <v>0</v>
      </c>
      <c r="F80" s="87">
        <f>VLOOKUP($A80,'Facility Detail'!$C:$T,10,FALSE)</f>
        <v>0</v>
      </c>
      <c r="G80" s="87">
        <f>VLOOKUP($A80,'Facility Detail'!$C:$T,11,FALSE)</f>
        <v>0</v>
      </c>
      <c r="H80" s="87">
        <f>VLOOKUP($A80,'Facility Detail'!$C:$T,12,FALSE)</f>
        <v>0</v>
      </c>
      <c r="I80" s="87">
        <f>VLOOKUP($A80,'Facility Detail'!$C:$T,13,FALSE)</f>
        <v>0</v>
      </c>
      <c r="J80" s="87">
        <f>VLOOKUP($A80,'Facility Detail'!$C:$T,14,FALSE)</f>
        <v>0</v>
      </c>
      <c r="K80" s="87">
        <f>VLOOKUP($A80,'Facility Detail'!$C:$T,15,FALSE)</f>
        <v>0</v>
      </c>
      <c r="L80" s="87">
        <f>VLOOKUP($A80,'Facility Detail'!$C:$T,16,FALSE)</f>
        <v>0</v>
      </c>
      <c r="M80" s="87">
        <f>VLOOKUP($A80,'Facility Detail'!$C:$T,17,FALSE)</f>
        <v>60938</v>
      </c>
      <c r="N80" s="483">
        <f>VLOOKUP($A80,'Facility Detail'!$C:$T,18,FALSE)</f>
        <v>68821</v>
      </c>
      <c r="O80" s="87">
        <f>VLOOKUP($A80,'Facility Detail'!$C:$U,19,FALSE)</f>
        <v>64572.234532519287</v>
      </c>
      <c r="Q80" s="86" t="str">
        <f t="shared" si="16"/>
        <v>TB Flats Wind I</v>
      </c>
      <c r="R80" s="86" t="str">
        <f t="shared" si="17"/>
        <v>Wind</v>
      </c>
      <c r="S80" s="87">
        <f>VLOOKUP($A80,'Facility Detail'!$A:$T,9,FALSE)</f>
        <v>0</v>
      </c>
      <c r="T80" s="87">
        <f>VLOOKUP($A80,'Facility Detail'!$A:$T,10,FALSE)</f>
        <v>0</v>
      </c>
      <c r="U80" s="87">
        <f>VLOOKUP($A80,'Facility Detail'!$A:$T,11,FALSE)</f>
        <v>0</v>
      </c>
      <c r="V80" s="87">
        <f>VLOOKUP($A80,'Facility Detail'!$A:$T,12,FALSE)</f>
        <v>0</v>
      </c>
      <c r="W80" s="87">
        <f>VLOOKUP($A80,'Facility Detail'!$A:$T,13,FALSE)</f>
        <v>0</v>
      </c>
      <c r="X80" s="87">
        <f>VLOOKUP($A80,'Facility Detail'!$A:$T,14,FALSE)</f>
        <v>0</v>
      </c>
      <c r="Y80" s="87">
        <f>VLOOKUP($A80,'Facility Detail'!$A:$T,15,FALSE)</f>
        <v>0</v>
      </c>
      <c r="Z80" s="87">
        <f>VLOOKUP($A80,'Facility Detail'!$A:$T,16,FALSE)</f>
        <v>0</v>
      </c>
      <c r="AA80" s="87">
        <f>VLOOKUP($A80,'Facility Detail'!$A:$T,17,FALSE)</f>
        <v>0</v>
      </c>
      <c r="AB80" s="87">
        <f>VLOOKUP($A80,'Facility Detail'!$A:$T,18,FALSE)</f>
        <v>0</v>
      </c>
      <c r="AC80" s="87">
        <f>VLOOKUP($A80,'Facility Detail'!$A:$T,19,FALSE)</f>
        <v>60938</v>
      </c>
      <c r="AD80" s="87">
        <f>VLOOKUP($A80,'Facility Detail'!$A:$T,20,FALSE)</f>
        <v>68821</v>
      </c>
      <c r="AE80" s="87">
        <f>VLOOKUP($A80,'Facility Detail'!$A:$U,21,FALSE)</f>
        <v>64572.234532519287</v>
      </c>
    </row>
    <row r="81" spans="1:31" ht="15">
      <c r="A81" s="86" t="str">
        <f>'Facility Detail'!G66</f>
        <v>TB Flats Wind II</v>
      </c>
      <c r="B81" s="86" t="str">
        <f xml:space="preserve"> IF( 'Facility Detail'!I66 = "", "", 'Facility Detail'!I66 )</f>
        <v>Wind</v>
      </c>
      <c r="C81" s="87">
        <f>VLOOKUP($A81,'Facility Detail'!$C:$T,7,FALSE)</f>
        <v>0</v>
      </c>
      <c r="D81" s="87">
        <f>VLOOKUP($A81,'Facility Detail'!$C:$T,8,FALSE)</f>
        <v>0</v>
      </c>
      <c r="E81" s="87">
        <f>VLOOKUP($A81,'Facility Detail'!$C:$T,9,FALSE)</f>
        <v>0</v>
      </c>
      <c r="F81" s="87">
        <f>VLOOKUP($A81,'Facility Detail'!$C:$T,10,FALSE)</f>
        <v>0</v>
      </c>
      <c r="G81" s="87">
        <f>VLOOKUP($A81,'Facility Detail'!$C:$T,11,FALSE)</f>
        <v>0</v>
      </c>
      <c r="H81" s="87">
        <f>VLOOKUP($A81,'Facility Detail'!$C:$T,12,FALSE)</f>
        <v>0</v>
      </c>
      <c r="I81" s="87">
        <f>VLOOKUP($A81,'Facility Detail'!$C:$T,13,FALSE)</f>
        <v>0</v>
      </c>
      <c r="J81" s="87">
        <f>VLOOKUP($A81,'Facility Detail'!$C:$T,14,FALSE)</f>
        <v>0</v>
      </c>
      <c r="K81" s="87">
        <f>VLOOKUP($A81,'Facility Detail'!$C:$T,15,FALSE)</f>
        <v>0</v>
      </c>
      <c r="L81" s="87">
        <f>VLOOKUP($A81,'Facility Detail'!$C:$T,16,FALSE)</f>
        <v>0</v>
      </c>
      <c r="M81" s="87">
        <f>VLOOKUP($A81,'Facility Detail'!$C:$T,17,FALSE)</f>
        <v>25128</v>
      </c>
      <c r="N81" s="483">
        <f>VLOOKUP($A81,'Facility Detail'!$C:$T,18,FALSE)</f>
        <v>48420</v>
      </c>
      <c r="O81" s="87">
        <f>VLOOKUP($A81,'Facility Detail'!$C:$U,19,FALSE)</f>
        <v>55221.595196033748</v>
      </c>
      <c r="Q81" s="86" t="str">
        <f t="shared" si="16"/>
        <v>TB Flats Wind II</v>
      </c>
      <c r="R81" s="86" t="str">
        <f t="shared" si="17"/>
        <v>Wind</v>
      </c>
      <c r="S81" s="87">
        <f>VLOOKUP($A81,'Facility Detail'!$A:$T,9,FALSE)</f>
        <v>0</v>
      </c>
      <c r="T81" s="87">
        <f>VLOOKUP($A81,'Facility Detail'!$A:$T,10,FALSE)</f>
        <v>0</v>
      </c>
      <c r="U81" s="87">
        <f>VLOOKUP($A81,'Facility Detail'!$A:$T,11,FALSE)</f>
        <v>0</v>
      </c>
      <c r="V81" s="87">
        <f>VLOOKUP($A81,'Facility Detail'!$A:$T,12,FALSE)</f>
        <v>0</v>
      </c>
      <c r="W81" s="87">
        <f>VLOOKUP($A81,'Facility Detail'!$A:$T,13,FALSE)</f>
        <v>0</v>
      </c>
      <c r="X81" s="87">
        <f>VLOOKUP($A81,'Facility Detail'!$A:$T,14,FALSE)</f>
        <v>0</v>
      </c>
      <c r="Y81" s="87">
        <f>VLOOKUP($A81,'Facility Detail'!$A:$T,15,FALSE)</f>
        <v>0</v>
      </c>
      <c r="Z81" s="87">
        <f>VLOOKUP($A81,'Facility Detail'!$A:$T,16,FALSE)</f>
        <v>0</v>
      </c>
      <c r="AA81" s="87">
        <f>VLOOKUP($A81,'Facility Detail'!$A:$T,17,FALSE)</f>
        <v>0</v>
      </c>
      <c r="AB81" s="87">
        <f>VLOOKUP($A81,'Facility Detail'!$A:$T,18,FALSE)</f>
        <v>0</v>
      </c>
      <c r="AC81" s="87">
        <f>VLOOKUP($A81,'Facility Detail'!$A:$T,19,FALSE)</f>
        <v>25128</v>
      </c>
      <c r="AD81" s="87">
        <f>VLOOKUP($A81,'Facility Detail'!$A:$T,20,FALSE)</f>
        <v>48420</v>
      </c>
      <c r="AE81" s="87">
        <f>VLOOKUP($A81,'Facility Detail'!$A:$U,21,FALSE)</f>
        <v>55221.595196033748</v>
      </c>
    </row>
    <row r="82" spans="1:31" ht="15">
      <c r="A82" s="86" t="str">
        <f>'Facility Detail'!G67</f>
        <v>*Tuana Springs - REC Only</v>
      </c>
      <c r="B82" s="86" t="str">
        <f xml:space="preserve"> IF( 'Facility Detail'!I67 = "", "", 'Facility Detail'!I67 )</f>
        <v>Wind</v>
      </c>
      <c r="C82" s="87">
        <f>VLOOKUP($A82,'Facility Detail'!$C:$T,7,FALSE)</f>
        <v>0</v>
      </c>
      <c r="D82" s="87">
        <f>VLOOKUP($A82,'Facility Detail'!$C:$T,8,FALSE)</f>
        <v>12253</v>
      </c>
      <c r="E82" s="87">
        <f>VLOOKUP($A82,'Facility Detail'!$C:$T,9,FALSE)</f>
        <v>43002</v>
      </c>
      <c r="F82" s="87">
        <f>VLOOKUP($A82,'Facility Detail'!$C:$T,10,FALSE)</f>
        <v>41752</v>
      </c>
      <c r="G82" s="87">
        <f>VLOOKUP($A82,'Facility Detail'!$C:$T,11,FALSE)</f>
        <v>0</v>
      </c>
      <c r="H82" s="87">
        <f>VLOOKUP($A82,'Facility Detail'!$C:$T,12,FALSE)</f>
        <v>0</v>
      </c>
      <c r="I82" s="87">
        <f>VLOOKUP($A82,'Facility Detail'!$C:$T,13,FALSE)</f>
        <v>0</v>
      </c>
      <c r="J82" s="87">
        <f>VLOOKUP($A82,'Facility Detail'!$C:$T,14,FALSE)</f>
        <v>0</v>
      </c>
      <c r="K82" s="87">
        <f>VLOOKUP($A82,'Facility Detail'!$C:$T,15,FALSE)</f>
        <v>0</v>
      </c>
      <c r="L82" s="87">
        <f>VLOOKUP($A82,'Facility Detail'!$C:$T,16,FALSE)</f>
        <v>0</v>
      </c>
      <c r="M82" s="87">
        <f>VLOOKUP($A82,'Facility Detail'!$C:$T,17,FALSE)</f>
        <v>0</v>
      </c>
      <c r="N82" s="483">
        <f>VLOOKUP($A82,'Facility Detail'!$C:$T,18,FALSE)</f>
        <v>0</v>
      </c>
      <c r="O82" s="87">
        <f>VLOOKUP($A82,'Facility Detail'!$C:$U,19,FALSE)</f>
        <v>0</v>
      </c>
      <c r="Q82" s="86" t="str">
        <f t="shared" si="16"/>
        <v>*Tuana Springs - REC Only</v>
      </c>
      <c r="R82" s="86" t="str">
        <f t="shared" si="17"/>
        <v>Wind</v>
      </c>
      <c r="S82" s="87">
        <f>VLOOKUP($A82,'Facility Detail'!$A:$T,9,FALSE)</f>
        <v>0</v>
      </c>
      <c r="T82" s="87">
        <f>VLOOKUP($A82,'Facility Detail'!$A:$T,10,FALSE)</f>
        <v>29430</v>
      </c>
      <c r="U82" s="87">
        <f>VLOOKUP($A82,'Facility Detail'!$A:$T,11,FALSE)</f>
        <v>32556</v>
      </c>
      <c r="V82" s="87">
        <f>VLOOKUP($A82,'Facility Detail'!$A:$T,12,FALSE)</f>
        <v>35021</v>
      </c>
      <c r="W82" s="87">
        <f>VLOOKUP($A82,'Facility Detail'!$A:$T,13,FALSE)</f>
        <v>0</v>
      </c>
      <c r="X82" s="87">
        <f>VLOOKUP($A82,'Facility Detail'!$A:$T,14,FALSE)</f>
        <v>0</v>
      </c>
      <c r="Y82" s="87">
        <f>VLOOKUP($A82,'Facility Detail'!$A:$T,15,FALSE)</f>
        <v>0</v>
      </c>
      <c r="Z82" s="87">
        <f>VLOOKUP($A82,'Facility Detail'!$A:$T,16,FALSE)</f>
        <v>0</v>
      </c>
      <c r="AA82" s="87">
        <f>VLOOKUP($A82,'Facility Detail'!$A:$T,17,FALSE)</f>
        <v>0</v>
      </c>
      <c r="AB82" s="87">
        <f>VLOOKUP($A82,'Facility Detail'!$A:$T,18,FALSE)</f>
        <v>0</v>
      </c>
      <c r="AC82" s="87">
        <f>VLOOKUP($A82,'Facility Detail'!$A:$T,19,FALSE)</f>
        <v>0</v>
      </c>
      <c r="AD82" s="87">
        <f>VLOOKUP($A82,'Facility Detail'!$A:$T,20,FALSE)</f>
        <v>0</v>
      </c>
      <c r="AE82" s="87">
        <f>VLOOKUP($A82,'Facility Detail'!$A:$U,21,FALSE)</f>
        <v>0</v>
      </c>
    </row>
    <row r="83" spans="1:31" ht="15">
      <c r="A83" s="86" t="str">
        <f>'Facility Detail'!G68</f>
        <v>Wanapum (Upgrade)</v>
      </c>
      <c r="B83" s="86" t="str">
        <f xml:space="preserve"> IF( 'Facility Detail'!I68 = "", "", 'Facility Detail'!I68 )</f>
        <v>Water (Incremental Hydro)</v>
      </c>
      <c r="C83" s="87">
        <f>VLOOKUP($A83,'Facility Detail'!$C:$T,7,FALSE)</f>
        <v>0</v>
      </c>
      <c r="D83" s="87">
        <f>VLOOKUP($A83,'Facility Detail'!$C:$T,8,FALSE)</f>
        <v>678</v>
      </c>
      <c r="E83" s="87">
        <f>VLOOKUP($A83,'Facility Detail'!$C:$T,9,FALSE)</f>
        <v>631</v>
      </c>
      <c r="F83" s="87">
        <f>VLOOKUP($A83,'Facility Detail'!$C:$T,10,FALSE)</f>
        <v>0</v>
      </c>
      <c r="G83" s="87">
        <f>VLOOKUP($A83,'Facility Detail'!$C:$T,11,FALSE)</f>
        <v>0</v>
      </c>
      <c r="H83" s="87">
        <f>VLOOKUP($A83,'Facility Detail'!$C:$T,12,FALSE)</f>
        <v>0</v>
      </c>
      <c r="I83" s="87">
        <f>VLOOKUP($A83,'Facility Detail'!$C:$T,13,FALSE)</f>
        <v>0</v>
      </c>
      <c r="J83" s="87">
        <f>VLOOKUP($A83,'Facility Detail'!$C:$T,14,FALSE)</f>
        <v>0</v>
      </c>
      <c r="K83" s="87">
        <f>VLOOKUP($A83,'Facility Detail'!$C:$T,15,FALSE)</f>
        <v>0</v>
      </c>
      <c r="L83" s="87">
        <f>VLOOKUP($A83,'Facility Detail'!$C:$T,16,FALSE)</f>
        <v>0</v>
      </c>
      <c r="M83" s="87">
        <f>VLOOKUP($A83,'Facility Detail'!$C:$T,17,FALSE)</f>
        <v>0</v>
      </c>
      <c r="N83" s="483">
        <f>VLOOKUP($A83,'Facility Detail'!$C:$T,18,FALSE)</f>
        <v>0</v>
      </c>
      <c r="O83" s="87">
        <f>VLOOKUP($A83,'Facility Detail'!$C:$U,19,FALSE)</f>
        <v>0</v>
      </c>
      <c r="Q83" s="86" t="str">
        <f t="shared" si="16"/>
        <v>Wanapum (Upgrade)</v>
      </c>
      <c r="R83" s="86" t="str">
        <f t="shared" si="17"/>
        <v>Water (Incremental Hydro)</v>
      </c>
      <c r="S83" s="87">
        <f>VLOOKUP($A83,'Facility Detail'!$A:$T,9,FALSE)</f>
        <v>0</v>
      </c>
      <c r="T83" s="87">
        <f>VLOOKUP($A83,'Facility Detail'!$A:$T,10,FALSE)</f>
        <v>678</v>
      </c>
      <c r="U83" s="87">
        <f>VLOOKUP($A83,'Facility Detail'!$A:$T,11,FALSE)</f>
        <v>631</v>
      </c>
      <c r="V83" s="87">
        <f>VLOOKUP($A83,'Facility Detail'!$A:$T,12,FALSE)</f>
        <v>0</v>
      </c>
      <c r="W83" s="87">
        <f>VLOOKUP($A83,'Facility Detail'!$A:$T,13,FALSE)</f>
        <v>0</v>
      </c>
      <c r="X83" s="87">
        <f>VLOOKUP($A83,'Facility Detail'!$A:$T,14,FALSE)</f>
        <v>0</v>
      </c>
      <c r="Y83" s="87">
        <f>VLOOKUP($A83,'Facility Detail'!$A:$T,15,FALSE)</f>
        <v>0</v>
      </c>
      <c r="Z83" s="87">
        <f>VLOOKUP($A83,'Facility Detail'!$A:$T,16,FALSE)</f>
        <v>0</v>
      </c>
      <c r="AA83" s="87">
        <f>VLOOKUP($A83,'Facility Detail'!$A:$T,17,FALSE)</f>
        <v>0</v>
      </c>
      <c r="AB83" s="87">
        <f>VLOOKUP($A83,'Facility Detail'!$A:$T,18,FALSE)</f>
        <v>0</v>
      </c>
      <c r="AC83" s="87">
        <f>VLOOKUP($A83,'Facility Detail'!$A:$T,19,FALSE)</f>
        <v>0</v>
      </c>
      <c r="AD83" s="87">
        <f>VLOOKUP($A83,'Facility Detail'!$A:$T,20,FALSE)</f>
        <v>0</v>
      </c>
      <c r="AE83" s="87">
        <f>VLOOKUP($A83,'Facility Detail'!$A:$U,21,FALSE)</f>
        <v>0</v>
      </c>
    </row>
    <row r="84" spans="1:31" ht="15">
      <c r="A84" s="86" t="str">
        <f>'Facility Detail'!G69</f>
        <v xml:space="preserve">Wolverine Creek </v>
      </c>
      <c r="B84" s="86" t="str">
        <f xml:space="preserve"> IF( 'Facility Detail'!I69 = "", "", 'Facility Detail'!I69 )</f>
        <v>Wind</v>
      </c>
      <c r="C84" s="87">
        <f>VLOOKUP($A84,'Facility Detail'!$C:$T,7,FALSE)</f>
        <v>0</v>
      </c>
      <c r="D84" s="87">
        <f>VLOOKUP($A84,'Facility Detail'!$C:$T,8,FALSE)</f>
        <v>0</v>
      </c>
      <c r="E84" s="87">
        <f>VLOOKUP($A84,'Facility Detail'!$C:$T,9,FALSE)</f>
        <v>0</v>
      </c>
      <c r="F84" s="87">
        <f>VLOOKUP($A84,'Facility Detail'!$C:$T,10,FALSE)</f>
        <v>0</v>
      </c>
      <c r="G84" s="87">
        <f>VLOOKUP($A84,'Facility Detail'!$C:$T,11,FALSE)</f>
        <v>0</v>
      </c>
      <c r="H84" s="87">
        <f>VLOOKUP($A84,'Facility Detail'!$C:$T,12,FALSE)</f>
        <v>0</v>
      </c>
      <c r="I84" s="87">
        <f>VLOOKUP($A84,'Facility Detail'!$C:$T,13,FALSE)</f>
        <v>0</v>
      </c>
      <c r="J84" s="87">
        <f>VLOOKUP($A84,'Facility Detail'!$C:$T,14,FALSE)</f>
        <v>0</v>
      </c>
      <c r="K84" s="87">
        <f>VLOOKUP($A84,'Facility Detail'!$C:$T,15,FALSE)</f>
        <v>0</v>
      </c>
      <c r="L84" s="87">
        <f>VLOOKUP($A84,'Facility Detail'!$C:$T,16,FALSE)</f>
        <v>0</v>
      </c>
      <c r="M84" s="87">
        <f>VLOOKUP($A84,'Facility Detail'!$C:$T,17,FALSE)</f>
        <v>13452</v>
      </c>
      <c r="N84" s="483">
        <f>VLOOKUP($A84,'Facility Detail'!$C:$T,18,FALSE)</f>
        <v>11491</v>
      </c>
      <c r="O84" s="87">
        <f>VLOOKUP($A84,'Facility Detail'!$C:$U,19,FALSE)</f>
        <v>12923.902847069025</v>
      </c>
      <c r="Q84" s="86" t="str">
        <f t="shared" si="16"/>
        <v xml:space="preserve">Wolverine Creek </v>
      </c>
      <c r="R84" s="86" t="str">
        <f t="shared" si="17"/>
        <v>Wind</v>
      </c>
      <c r="S84" s="87">
        <f>VLOOKUP($A84,'Facility Detail'!$A:$T,9,FALSE)</f>
        <v>0</v>
      </c>
      <c r="T84" s="87">
        <f>VLOOKUP($A84,'Facility Detail'!$A:$T,10,FALSE)</f>
        <v>0</v>
      </c>
      <c r="U84" s="87">
        <f>VLOOKUP($A84,'Facility Detail'!$A:$T,11,FALSE)</f>
        <v>0</v>
      </c>
      <c r="V84" s="87">
        <f>VLOOKUP($A84,'Facility Detail'!$A:$T,12,FALSE)</f>
        <v>0</v>
      </c>
      <c r="W84" s="87">
        <f>VLOOKUP($A84,'Facility Detail'!$A:$T,13,FALSE)</f>
        <v>0</v>
      </c>
      <c r="X84" s="87">
        <f>VLOOKUP($A84,'Facility Detail'!$A:$T,14,FALSE)</f>
        <v>0</v>
      </c>
      <c r="Y84" s="87">
        <f>VLOOKUP($A84,'Facility Detail'!$A:$T,15,FALSE)</f>
        <v>0</v>
      </c>
      <c r="Z84" s="87">
        <f>VLOOKUP($A84,'Facility Detail'!$A:$T,16,FALSE)</f>
        <v>0</v>
      </c>
      <c r="AA84" s="87">
        <f>VLOOKUP($A84,'Facility Detail'!$A:$T,17,FALSE)</f>
        <v>0</v>
      </c>
      <c r="AB84" s="87">
        <f>VLOOKUP($A84,'Facility Detail'!$A:$T,18,FALSE)</f>
        <v>0</v>
      </c>
      <c r="AC84" s="87">
        <f>VLOOKUP($A84,'Facility Detail'!$A:$T,19,FALSE)</f>
        <v>13452</v>
      </c>
      <c r="AD84" s="87">
        <f>VLOOKUP($A84,'Facility Detail'!$A:$T,20,FALSE)</f>
        <v>11491</v>
      </c>
      <c r="AE84" s="87">
        <f>VLOOKUP($A84,'Facility Detail'!$A:$U,21,FALSE)</f>
        <v>12923.902847069025</v>
      </c>
    </row>
    <row r="85" spans="1:31" ht="15">
      <c r="A85" s="86"/>
      <c r="B85" s="86" t="str">
        <f xml:space="preserve"> IF( 'Facility Detail'!I70 = "", "", 'Facility Detail'!I70 )</f>
        <v/>
      </c>
      <c r="C85" s="87"/>
      <c r="D85" s="87"/>
      <c r="E85" s="87"/>
      <c r="F85" s="87"/>
      <c r="G85" s="87"/>
      <c r="H85" s="87"/>
      <c r="I85" s="87"/>
      <c r="J85" s="87"/>
      <c r="K85" s="87"/>
      <c r="L85" s="87"/>
      <c r="M85" s="87"/>
      <c r="N85" s="87"/>
      <c r="O85" s="87"/>
      <c r="Q85" s="86"/>
      <c r="R85" s="86" t="str">
        <f t="shared" si="17"/>
        <v/>
      </c>
      <c r="S85" s="87" t="e">
        <f>VLOOKUP($A85,'Facility Detail'!$A:$T,9,FALSE)</f>
        <v>#N/A</v>
      </c>
      <c r="T85" s="87" t="e">
        <f>VLOOKUP($A85,'Facility Detail'!$A:$T,10,FALSE)</f>
        <v>#N/A</v>
      </c>
      <c r="U85" s="87" t="e">
        <f>VLOOKUP($A85,'Facility Detail'!$A:$T,11,FALSE)</f>
        <v>#N/A</v>
      </c>
      <c r="V85" s="87" t="e">
        <f>VLOOKUP($A85,'Facility Detail'!$A:$T,12,FALSE)</f>
        <v>#N/A</v>
      </c>
      <c r="W85" s="87" t="e">
        <f>VLOOKUP($A85,'Facility Detail'!$A:$T,13,FALSE)</f>
        <v>#N/A</v>
      </c>
      <c r="X85" s="87" t="e">
        <f>VLOOKUP($A85,'Facility Detail'!$A:$T,14,FALSE)</f>
        <v>#N/A</v>
      </c>
      <c r="Y85" s="87" t="e">
        <f>VLOOKUP($A85,'Facility Detail'!$A:$T,15,FALSE)</f>
        <v>#N/A</v>
      </c>
      <c r="Z85" s="87" t="e">
        <f>VLOOKUP($A85,'Facility Detail'!$A:$T,16,FALSE)</f>
        <v>#N/A</v>
      </c>
      <c r="AA85" s="87" t="e">
        <f>VLOOKUP($A85,'Facility Detail'!$A:$T,17,FALSE)</f>
        <v>#N/A</v>
      </c>
      <c r="AB85" s="87" t="e">
        <f>VLOOKUP($A85,'Facility Detail'!$A:$T,18,FALSE)</f>
        <v>#N/A</v>
      </c>
      <c r="AC85" s="87" t="e">
        <f>VLOOKUP($A85,'Facility Detail'!$A:$T,19,FALSE)</f>
        <v>#N/A</v>
      </c>
      <c r="AD85" s="87" t="e">
        <f>VLOOKUP($A85,'Facility Detail'!$A:$T,19,FALSE)</f>
        <v>#N/A</v>
      </c>
      <c r="AE85" s="87" t="e">
        <f>VLOOKUP($A85,'Facility Detail'!$A:$U,21,FALSE)</f>
        <v>#N/A</v>
      </c>
    </row>
  </sheetData>
  <printOptions horizontalCentered="1"/>
  <pageMargins left="0.7" right="0.7" top="0.75" bottom="0.75" header="0.3" footer="0.3"/>
  <pageSetup scale="71" fitToHeight="0" orientation="landscape"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1A7301E3A4AB43894BB5006A0F968D" ma:contentTypeVersion="24" ma:contentTypeDescription="" ma:contentTypeScope="" ma:versionID="a06b5f336ef72af1331b50685d6735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2023-06-01T07:00:00+00:00</OpenedDate>
    <SignificantOrder xmlns="dc463f71-b30c-4ab2-9473-d307f9d35888">false</SignificantOrder>
    <Date1 xmlns="dc463f71-b30c-4ab2-9473-d307f9d35888">2023-06-01T07:00:00+00:00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230415</DocketNumber>
    <DelegatedOrder xmlns="dc463f71-b30c-4ab2-9473-d307f9d35888">false</DelegatedOrder>
  </documentManagement>
</p:properties>
</file>

<file path=customXml/itemProps1.xml><?xml version="1.0" encoding="utf-8"?>
<ds:datastoreItem xmlns:ds="http://schemas.openxmlformats.org/officeDocument/2006/customXml" ds:itemID="{8EFCD3C4-B5C1-4200-B4E2-E2E836D8BA03}"/>
</file>

<file path=customXml/itemProps2.xml><?xml version="1.0" encoding="utf-8"?>
<ds:datastoreItem xmlns:ds="http://schemas.openxmlformats.org/officeDocument/2006/customXml" ds:itemID="{11A9C0AA-07D7-48BD-9C25-DFF1723609E4}"/>
</file>

<file path=customXml/itemProps3.xml><?xml version="1.0" encoding="utf-8"?>
<ds:datastoreItem xmlns:ds="http://schemas.openxmlformats.org/officeDocument/2006/customXml" ds:itemID="{AAF804A5-981F-425C-8614-64E45C9DAF8F}"/>
</file>

<file path=customXml/itemProps4.xml><?xml version="1.0" encoding="utf-8"?>
<ds:datastoreItem xmlns:ds="http://schemas.openxmlformats.org/officeDocument/2006/customXml" ds:itemID="{4CA2865C-7CED-4007-A838-A79E5E9A5E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Booth, Avery (UTC)</cp:lastModifiedBy>
  <cp:lastPrinted>2022-05-26T17:18:41Z</cp:lastPrinted>
  <dcterms:created xsi:type="dcterms:W3CDTF">2011-06-02T16:07:19Z</dcterms:created>
  <dcterms:modified xsi:type="dcterms:W3CDTF">2023-06-01T20:41:08Z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0x0101006E56B4D1795A2E4DB2F0B01679ED314A00A01A7301E3A4AB43894BB5006A0F968D</vt:lpwstr>
  </property>
  <property fmtid="{D5CDD505-2E9C-101B-9397-08002B2CF9AE}" pid="3" name="_docset_NoMedatataSyncRequired">
    <vt:lpwstr>False</vt:lpwstr>
  </property>
</Properties>
</file>