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43C8F287-FEB6-42C4-AE9C-F422284B491B}" xr6:coauthVersionLast="47" xr6:coauthVersionMax="47" xr10:uidLastSave="{00000000-0000-0000-0000-000000000000}"/>
  <bookViews>
    <workbookView xWindow="2205" yWindow="1470" windowWidth="15375" windowHeight="7875" tabRatio="850" xr2:uid="{00000000-000D-0000-FFFF-FFFF00000000}"/>
  </bookViews>
  <sheets>
    <sheet name="Sch. 140 Rates" sheetId="1" r:id="rId1"/>
    <sheet name="Allocation Factors" sheetId="34" r:id="rId2"/>
    <sheet name="Rate Impacts--&gt;" sheetId="19" r:id="rId3"/>
    <sheet name="Rate Impacts Sch 140" sheetId="61" r:id="rId4"/>
    <sheet name="Typical Res Bill Sch 140" sheetId="62" r:id="rId5"/>
    <sheet name="Sch. 140" sheetId="63" r:id="rId6"/>
    <sheet name="Workpapers--&gt;" sheetId="33" r:id="rId7"/>
    <sheet name="2023 FINAL Rev Req" sheetId="64" r:id="rId8"/>
    <sheet name="Therm Forecast" sheetId="18" r:id="rId9"/>
  </sheets>
  <definedNames>
    <definedName name="_xlnm.Print_Area" localSheetId="1">'Allocation Factors'!$A$1:$F$21</definedName>
    <definedName name="_xlnm.Print_Area" localSheetId="3">'Rate Impacts Sch 140'!$B$1:$U$37</definedName>
    <definedName name="_xlnm.Print_Area" localSheetId="5">'Sch. 140'!$A$1:$I$22</definedName>
    <definedName name="_xlnm.Print_Area" localSheetId="0">'Sch. 140 Rates'!$A$1:$N$23</definedName>
    <definedName name="_xlnm.Print_Area" localSheetId="8">'Therm Forecast'!$A$1:$N$25</definedName>
    <definedName name="_xlnm.Print_Area" localSheetId="4">'Typical Res Bill Sch 140'!$B$1:$H$41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A31" i="64"/>
  <c r="A32" i="64" s="1"/>
  <c r="A33" i="64" s="1"/>
  <c r="A34" i="64" s="1"/>
  <c r="I27" i="64"/>
  <c r="H27" i="64"/>
  <c r="J27" i="64" s="1"/>
  <c r="F27" i="64"/>
  <c r="I19" i="64"/>
  <c r="F19" i="64"/>
  <c r="H10" i="64"/>
  <c r="J10" i="64" s="1"/>
  <c r="E10" i="64"/>
  <c r="D10" i="64"/>
  <c r="F10" i="64" s="1"/>
  <c r="D13" i="64"/>
  <c r="D15" i="64" s="1"/>
  <c r="I10" i="64"/>
  <c r="I11" i="64" l="1"/>
  <c r="E13" i="64"/>
  <c r="E15" i="64" s="1"/>
  <c r="H11" i="64"/>
  <c r="F11" i="64"/>
  <c r="F26" i="64"/>
  <c r="H19" i="64"/>
  <c r="J19" i="64" s="1"/>
  <c r="H9" i="64"/>
  <c r="E28" i="64"/>
  <c r="F6" i="64"/>
  <c r="I9" i="64"/>
  <c r="J6" i="64"/>
  <c r="F9" i="64"/>
  <c r="D18" i="62"/>
  <c r="F15" i="64" l="1"/>
  <c r="I13" i="64"/>
  <c r="I15" i="64" s="1"/>
  <c r="F13" i="64"/>
  <c r="E29" i="64"/>
  <c r="J9" i="64"/>
  <c r="H13" i="64"/>
  <c r="D28" i="64"/>
  <c r="D29" i="64" s="1"/>
  <c r="F25" i="64"/>
  <c r="F28" i="64" s="1"/>
  <c r="D21" i="64"/>
  <c r="H18" i="64"/>
  <c r="F18" i="64"/>
  <c r="J11" i="64"/>
  <c r="F22" i="61"/>
  <c r="H22" i="61" s="1"/>
  <c r="F21" i="61"/>
  <c r="H21" i="61" s="1"/>
  <c r="F17" i="61"/>
  <c r="H17" i="61" s="1"/>
  <c r="F16" i="61"/>
  <c r="H16" i="61" s="1"/>
  <c r="F15" i="61"/>
  <c r="H15" i="61" s="1"/>
  <c r="F13" i="61"/>
  <c r="H13" i="61" s="1"/>
  <c r="F11" i="61"/>
  <c r="H11" i="61" s="1"/>
  <c r="F18" i="61"/>
  <c r="H18" i="61" s="1"/>
  <c r="F14" i="61"/>
  <c r="H14" i="61" s="1"/>
  <c r="H28" i="64" l="1"/>
  <c r="J25" i="64"/>
  <c r="H21" i="64"/>
  <c r="F21" i="64"/>
  <c r="I28" i="64"/>
  <c r="F29" i="64"/>
  <c r="J26" i="64"/>
  <c r="J13" i="64"/>
  <c r="H15" i="64"/>
  <c r="J15" i="64" s="1"/>
  <c r="E21" i="64"/>
  <c r="I18" i="64"/>
  <c r="F20" i="61"/>
  <c r="H20" i="61" s="1"/>
  <c r="F12" i="61"/>
  <c r="H12" i="61" s="1"/>
  <c r="F19" i="61"/>
  <c r="H19" i="61" s="1"/>
  <c r="F23" i="61"/>
  <c r="H23" i="61" s="1"/>
  <c r="F21" i="63"/>
  <c r="M23" i="61" s="1"/>
  <c r="M33" i="61" s="1"/>
  <c r="F17" i="63"/>
  <c r="M19" i="61" s="1"/>
  <c r="F15" i="63"/>
  <c r="M17" i="61" s="1"/>
  <c r="F13" i="63"/>
  <c r="M15" i="61" s="1"/>
  <c r="F10" i="63"/>
  <c r="G31" i="62"/>
  <c r="G28" i="62"/>
  <c r="H28" i="62" s="1"/>
  <c r="G25" i="62"/>
  <c r="G24" i="62"/>
  <c r="G23" i="62"/>
  <c r="G22" i="62"/>
  <c r="G21" i="62"/>
  <c r="G20" i="62"/>
  <c r="G19" i="62"/>
  <c r="G17" i="62"/>
  <c r="G12" i="62"/>
  <c r="H12" i="62" s="1"/>
  <c r="H13" i="62" s="1"/>
  <c r="D13" i="62"/>
  <c r="B4" i="62"/>
  <c r="B2" i="62"/>
  <c r="R33" i="61"/>
  <c r="L33" i="61"/>
  <c r="K33" i="61"/>
  <c r="J33" i="61"/>
  <c r="I33" i="61"/>
  <c r="R32" i="61"/>
  <c r="R30" i="61"/>
  <c r="Q33" i="61"/>
  <c r="P33" i="61"/>
  <c r="O33" i="61"/>
  <c r="N33" i="61"/>
  <c r="G33" i="61"/>
  <c r="E33" i="61"/>
  <c r="D33" i="61"/>
  <c r="N32" i="61"/>
  <c r="L32" i="61"/>
  <c r="K32" i="61"/>
  <c r="J32" i="61"/>
  <c r="I32" i="61"/>
  <c r="D32" i="61"/>
  <c r="O31" i="61"/>
  <c r="K31" i="61"/>
  <c r="J31" i="61"/>
  <c r="I31" i="61"/>
  <c r="L30" i="61"/>
  <c r="K30" i="61"/>
  <c r="J30" i="61"/>
  <c r="I30" i="61"/>
  <c r="D30" i="61"/>
  <c r="R29" i="61"/>
  <c r="P29" i="61"/>
  <c r="O29" i="61"/>
  <c r="N29" i="61"/>
  <c r="K29" i="61"/>
  <c r="J29" i="61"/>
  <c r="I29" i="61"/>
  <c r="G29" i="61"/>
  <c r="E29" i="61"/>
  <c r="D29" i="61"/>
  <c r="R28" i="61"/>
  <c r="P28" i="61"/>
  <c r="O28" i="61"/>
  <c r="N28" i="61"/>
  <c r="L28" i="61"/>
  <c r="K28" i="61"/>
  <c r="J28" i="61"/>
  <c r="I28" i="61"/>
  <c r="G28" i="61"/>
  <c r="R27" i="61"/>
  <c r="J27" i="61"/>
  <c r="I27" i="61"/>
  <c r="E27" i="61"/>
  <c r="E7" i="61"/>
  <c r="I21" i="64" l="1"/>
  <c r="F20" i="1"/>
  <c r="I31" i="64"/>
  <c r="I32" i="64" s="1"/>
  <c r="I29" i="64"/>
  <c r="J21" i="64"/>
  <c r="J18" i="64"/>
  <c r="J28" i="64"/>
  <c r="J29" i="64" s="1"/>
  <c r="H29" i="64"/>
  <c r="H31" i="64"/>
  <c r="H32" i="64" s="1"/>
  <c r="F33" i="61"/>
  <c r="G24" i="61"/>
  <c r="L24" i="61"/>
  <c r="Q27" i="61"/>
  <c r="D28" i="61"/>
  <c r="E28" i="62"/>
  <c r="F14" i="63"/>
  <c r="M16" i="61" s="1"/>
  <c r="S16" i="61" s="1"/>
  <c r="F19" i="63"/>
  <c r="M21" i="61" s="1"/>
  <c r="P30" i="61"/>
  <c r="L29" i="61"/>
  <c r="Q29" i="61"/>
  <c r="G30" i="61"/>
  <c r="G31" i="61"/>
  <c r="H30" i="61"/>
  <c r="H28" i="61"/>
  <c r="P31" i="61"/>
  <c r="D26" i="62"/>
  <c r="D39" i="62" s="1"/>
  <c r="F18" i="63"/>
  <c r="M20" i="61" s="1"/>
  <c r="M30" i="61" s="1"/>
  <c r="J34" i="61"/>
  <c r="F29" i="61"/>
  <c r="D31" i="61"/>
  <c r="Q31" i="61"/>
  <c r="P32" i="61"/>
  <c r="D32" i="62"/>
  <c r="E32" i="62" s="1"/>
  <c r="F16" i="63"/>
  <c r="M18" i="61" s="1"/>
  <c r="N27" i="61"/>
  <c r="Q30" i="61"/>
  <c r="L31" i="61"/>
  <c r="S17" i="61"/>
  <c r="O32" i="61"/>
  <c r="F12" i="63"/>
  <c r="M14" i="61" s="1"/>
  <c r="M29" i="61" s="1"/>
  <c r="D24" i="61"/>
  <c r="O24" i="61"/>
  <c r="N30" i="61"/>
  <c r="G32" i="61"/>
  <c r="C22" i="63"/>
  <c r="F11" i="63"/>
  <c r="M13" i="61" s="1"/>
  <c r="M28" i="61" s="1"/>
  <c r="K24" i="61"/>
  <c r="P24" i="61"/>
  <c r="Q28" i="61"/>
  <c r="Q34" i="61" s="1"/>
  <c r="O30" i="61"/>
  <c r="E31" i="61"/>
  <c r="N31" i="61"/>
  <c r="R31" i="61"/>
  <c r="R34" i="61" s="1"/>
  <c r="Q32" i="61"/>
  <c r="S19" i="61"/>
  <c r="G30" i="62"/>
  <c r="G32" i="62" s="1"/>
  <c r="H32" i="62" s="1"/>
  <c r="H32" i="61"/>
  <c r="S15" i="61"/>
  <c r="M12" i="61"/>
  <c r="E26" i="62"/>
  <c r="I34" i="61"/>
  <c r="E24" i="61"/>
  <c r="I24" i="61"/>
  <c r="Q24" i="61"/>
  <c r="G27" i="61"/>
  <c r="K27" i="61"/>
  <c r="K34" i="61" s="1"/>
  <c r="O27" i="61"/>
  <c r="E28" i="61"/>
  <c r="E30" i="61"/>
  <c r="F30" i="61" s="1"/>
  <c r="E32" i="61"/>
  <c r="F32" i="61" s="1"/>
  <c r="E12" i="62"/>
  <c r="E13" i="62" s="1"/>
  <c r="G16" i="62"/>
  <c r="J24" i="61"/>
  <c r="N24" i="61"/>
  <c r="R24" i="61"/>
  <c r="D27" i="61"/>
  <c r="L27" i="61"/>
  <c r="P27" i="61"/>
  <c r="G13" i="62"/>
  <c r="F20" i="63"/>
  <c r="M22" i="61" s="1"/>
  <c r="M32" i="61" s="1"/>
  <c r="F9" i="63"/>
  <c r="F28" i="61" l="1"/>
  <c r="F31" i="61"/>
  <c r="S14" i="61"/>
  <c r="E33" i="62"/>
  <c r="E35" i="62" s="1"/>
  <c r="D34" i="61"/>
  <c r="S12" i="61"/>
  <c r="S29" i="61"/>
  <c r="H29" i="61"/>
  <c r="L34" i="61"/>
  <c r="G34" i="61"/>
  <c r="S20" i="61"/>
  <c r="S30" i="61" s="1"/>
  <c r="O34" i="61"/>
  <c r="N34" i="61"/>
  <c r="S21" i="61"/>
  <c r="S31" i="61" s="1"/>
  <c r="M31" i="61"/>
  <c r="D33" i="62"/>
  <c r="S18" i="61"/>
  <c r="P34" i="61"/>
  <c r="F24" i="61"/>
  <c r="S13" i="61"/>
  <c r="H31" i="61"/>
  <c r="F27" i="61"/>
  <c r="E34" i="61"/>
  <c r="F22" i="63"/>
  <c r="M11" i="61"/>
  <c r="S11" i="61" s="1"/>
  <c r="H24" i="61"/>
  <c r="H27" i="61"/>
  <c r="H33" i="61"/>
  <c r="S23" i="61"/>
  <c r="S33" i="61" s="1"/>
  <c r="S22" i="61"/>
  <c r="S32" i="61" s="1"/>
  <c r="F34" i="61" l="1"/>
  <c r="S28" i="61"/>
  <c r="H34" i="61"/>
  <c r="S24" i="61"/>
  <c r="S27" i="61"/>
  <c r="M27" i="61"/>
  <c r="M34" i="61" s="1"/>
  <c r="M24" i="61"/>
  <c r="S34" i="61" l="1"/>
  <c r="E8" i="1" l="1"/>
  <c r="D7" i="1"/>
  <c r="A4" i="34" l="1"/>
  <c r="A2" i="34"/>
  <c r="C7" i="18" l="1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E9" i="1" s="1"/>
  <c r="A4" i="18" l="1"/>
  <c r="A2" i="18"/>
  <c r="D19" i="34" l="1"/>
  <c r="E12" i="34" l="1"/>
  <c r="D11" i="1" s="1"/>
  <c r="E14" i="34"/>
  <c r="D13" i="1" s="1"/>
  <c r="E13" i="34"/>
  <c r="D12" i="1" s="1"/>
  <c r="E18" i="34"/>
  <c r="D17" i="1" s="1"/>
  <c r="E16" i="34"/>
  <c r="D15" i="1" s="1"/>
  <c r="E17" i="34"/>
  <c r="D16" i="1" s="1"/>
  <c r="E15" i="34"/>
  <c r="D14" i="1" s="1"/>
  <c r="A13" i="34" l="1"/>
  <c r="A14" i="34" s="1"/>
  <c r="A15" i="34" s="1"/>
  <c r="A16" i="34" s="1"/>
  <c r="A17" i="34" s="1"/>
  <c r="A18" i="34" s="1"/>
  <c r="A19" i="34" s="1"/>
  <c r="D18" i="1"/>
  <c r="F11" i="1" l="1"/>
  <c r="E19" i="34"/>
  <c r="G12" i="1" l="1"/>
  <c r="G13" i="1"/>
  <c r="G14" i="1"/>
  <c r="G15" i="1"/>
  <c r="G16" i="1"/>
  <c r="G17" i="1"/>
  <c r="G11" i="1"/>
  <c r="G18" i="1" l="1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E11" i="1" s="1"/>
  <c r="A12" i="1"/>
  <c r="A13" i="1" s="1"/>
  <c r="A14" i="1" s="1"/>
  <c r="A15" i="1" s="1"/>
  <c r="A16" i="1" s="1"/>
  <c r="A17" i="1" s="1"/>
  <c r="A18" i="1" s="1"/>
  <c r="A19" i="1" s="1"/>
  <c r="A20" i="1" s="1"/>
  <c r="E14" i="1" l="1"/>
  <c r="N22" i="18"/>
  <c r="E15" i="1"/>
  <c r="E12" i="1"/>
  <c r="E18" i="1" s="1"/>
  <c r="E16" i="1"/>
  <c r="E13" i="1"/>
  <c r="E17" i="1"/>
  <c r="F17" i="1" l="1"/>
  <c r="H17" i="1" s="1"/>
  <c r="F16" i="1"/>
  <c r="H16" i="1" s="1"/>
  <c r="F15" i="1"/>
  <c r="H15" i="1" s="1"/>
  <c r="F14" i="1"/>
  <c r="H14" i="1" s="1"/>
  <c r="F13" i="1"/>
  <c r="H13" i="1" s="1"/>
  <c r="F12" i="1"/>
  <c r="H11" i="1"/>
  <c r="H20" i="1"/>
  <c r="H12" i="1" l="1"/>
  <c r="F18" i="1"/>
  <c r="J12" i="1" l="1"/>
  <c r="J17" i="1"/>
  <c r="I15" i="1"/>
  <c r="J16" i="1"/>
  <c r="I16" i="1"/>
  <c r="I17" i="1" l="1"/>
  <c r="K17" i="1" s="1"/>
  <c r="E21" i="63" s="1"/>
  <c r="G21" i="63" s="1"/>
  <c r="H21" i="63" s="1"/>
  <c r="J15" i="1"/>
  <c r="K15" i="1" s="1"/>
  <c r="I12" i="1"/>
  <c r="K12" i="1" s="1"/>
  <c r="K16" i="1"/>
  <c r="J13" i="1"/>
  <c r="I13" i="1"/>
  <c r="J11" i="1"/>
  <c r="M11" i="1" s="1"/>
  <c r="I11" i="1"/>
  <c r="J14" i="1"/>
  <c r="I14" i="1"/>
  <c r="E15" i="63" l="1"/>
  <c r="G15" i="63" s="1"/>
  <c r="H15" i="63" s="1"/>
  <c r="E20" i="63"/>
  <c r="G20" i="63" s="1"/>
  <c r="H20" i="63" s="1"/>
  <c r="E16" i="63"/>
  <c r="G16" i="63" s="1"/>
  <c r="H16" i="63" s="1"/>
  <c r="E11" i="63"/>
  <c r="G11" i="63" s="1"/>
  <c r="H11" i="63" s="1"/>
  <c r="E19" i="63"/>
  <c r="G19" i="63" s="1"/>
  <c r="H19" i="63" s="1"/>
  <c r="E14" i="63"/>
  <c r="G14" i="63" s="1"/>
  <c r="H14" i="63" s="1"/>
  <c r="I21" i="63"/>
  <c r="T23" i="61"/>
  <c r="K14" i="1"/>
  <c r="K13" i="1"/>
  <c r="K11" i="1"/>
  <c r="L11" i="1"/>
  <c r="N11" i="1" s="1"/>
  <c r="T33" i="61" l="1"/>
  <c r="U33" i="61" s="1"/>
  <c r="U23" i="61"/>
  <c r="E9" i="63"/>
  <c r="E10" i="63"/>
  <c r="G10" i="63" s="1"/>
  <c r="H10" i="63" s="1"/>
  <c r="I16" i="63"/>
  <c r="T18" i="61"/>
  <c r="U18" i="61" s="1"/>
  <c r="T13" i="61"/>
  <c r="I11" i="63"/>
  <c r="E17" i="63"/>
  <c r="G17" i="63" s="1"/>
  <c r="H17" i="63" s="1"/>
  <c r="E12" i="63"/>
  <c r="G12" i="63" s="1"/>
  <c r="H12" i="63" s="1"/>
  <c r="I14" i="63"/>
  <c r="T16" i="61"/>
  <c r="T22" i="61"/>
  <c r="U22" i="61" s="1"/>
  <c r="I20" i="63"/>
  <c r="E13" i="63"/>
  <c r="G13" i="63" s="1"/>
  <c r="H13" i="63" s="1"/>
  <c r="E18" i="63"/>
  <c r="G18" i="63" s="1"/>
  <c r="H18" i="63" s="1"/>
  <c r="T21" i="61"/>
  <c r="U21" i="61" s="1"/>
  <c r="I19" i="63"/>
  <c r="I15" i="63"/>
  <c r="T17" i="61"/>
  <c r="H18" i="1"/>
  <c r="U17" i="61" l="1"/>
  <c r="T32" i="61"/>
  <c r="U32" i="61" s="1"/>
  <c r="T12" i="61"/>
  <c r="U12" i="61" s="1"/>
  <c r="I10" i="63"/>
  <c r="T15" i="61"/>
  <c r="I13" i="63"/>
  <c r="T28" i="61"/>
  <c r="U28" i="61" s="1"/>
  <c r="U13" i="61"/>
  <c r="G18" i="62"/>
  <c r="G26" i="62" s="1"/>
  <c r="G9" i="63"/>
  <c r="U16" i="61"/>
  <c r="T31" i="61"/>
  <c r="U31" i="61" s="1"/>
  <c r="I18" i="63"/>
  <c r="T20" i="61"/>
  <c r="U20" i="61" s="1"/>
  <c r="T14" i="61"/>
  <c r="I12" i="63"/>
  <c r="T19" i="61"/>
  <c r="U19" i="61" s="1"/>
  <c r="I17" i="63"/>
  <c r="G39" i="62" l="1"/>
  <c r="G33" i="62"/>
  <c r="H26" i="62"/>
  <c r="H33" i="62" s="1"/>
  <c r="H35" i="62" s="1"/>
  <c r="H36" i="62" s="1"/>
  <c r="H37" i="62" s="1"/>
  <c r="U15" i="61"/>
  <c r="T30" i="61"/>
  <c r="U30" i="61" s="1"/>
  <c r="U14" i="61"/>
  <c r="T29" i="61"/>
  <c r="U29" i="61" s="1"/>
  <c r="H9" i="63"/>
  <c r="G22" i="63"/>
  <c r="T11" i="61" l="1"/>
  <c r="I9" i="63"/>
  <c r="H22" i="63"/>
  <c r="I22" i="63" s="1"/>
  <c r="U11" i="61" l="1"/>
  <c r="T24" i="61"/>
  <c r="U24" i="61" s="1"/>
  <c r="T27" i="61"/>
  <c r="T34" i="61" l="1"/>
  <c r="U34" i="61" s="1"/>
  <c r="U27" i="61"/>
</calcChain>
</file>

<file path=xl/sharedStrings.xml><?xml version="1.0" encoding="utf-8"?>
<sst xmlns="http://schemas.openxmlformats.org/spreadsheetml/2006/main" count="343" uniqueCount="202">
  <si>
    <t>Puget Sound Energy</t>
  </si>
  <si>
    <t>Calculation of Schedule 140 Rates</t>
  </si>
  <si>
    <t>Proposed</t>
  </si>
  <si>
    <t>Property Tax</t>
  </si>
  <si>
    <t>Monthly</t>
  </si>
  <si>
    <t>Plant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</si>
  <si>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</si>
  <si>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</si>
  <si>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</si>
  <si>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</si>
  <si>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</si>
  <si>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</si>
  <si>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</si>
  <si>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</si>
  <si>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</si>
  <si>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</si>
  <si>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</si>
  <si>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</si>
  <si>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</si>
  <si>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</si>
  <si>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</si>
  <si>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</si>
  <si>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</si>
  <si>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</si>
  <si>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</si>
  <si>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</si>
  <si>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</si>
  <si>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Total</t>
  </si>
  <si>
    <t>Proposed Revenue Requirement</t>
  </si>
  <si>
    <t>Current</t>
  </si>
  <si>
    <t>Schedule</t>
  </si>
  <si>
    <t>41T</t>
  </si>
  <si>
    <t>85T</t>
  </si>
  <si>
    <t>87T</t>
  </si>
  <si>
    <t>Deferral</t>
  </si>
  <si>
    <t xml:space="preserve">Therm </t>
  </si>
  <si>
    <t xml:space="preserve">Deferral  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</si>
  <si>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</si>
  <si>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</si>
  <si>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</si>
  <si>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</si>
  <si>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</si>
  <si>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</si>
  <si>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</si>
  <si>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</si>
  <si>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</si>
  <si>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</si>
  <si>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Components of Revenue Requirement Increase:</t>
  </si>
  <si>
    <t>Add Increment to New Cash Payment</t>
  </si>
  <si>
    <t>Net Change in Load True-Up</t>
  </si>
  <si>
    <t>31T</t>
  </si>
  <si>
    <t>86T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</si>
  <si>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</si>
  <si>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</si>
  <si>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</si>
  <si>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</si>
  <si>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(a)</t>
  </si>
  <si>
    <t>(b)</t>
  </si>
  <si>
    <t>(c)</t>
  </si>
  <si>
    <t>(d)</t>
  </si>
  <si>
    <t>Line</t>
  </si>
  <si>
    <t>No.</t>
  </si>
  <si>
    <t>Forecasted Therm Volumes</t>
  </si>
  <si>
    <t>Revenue Requirement Increase / (Decrease)</t>
  </si>
  <si>
    <t>= 7 - 9</t>
  </si>
  <si>
    <t>(h) = (f) + (g)</t>
  </si>
  <si>
    <t>(i) = (f) / (d)</t>
  </si>
  <si>
    <t>(j) = (g) / (d)</t>
  </si>
  <si>
    <t>(k) = (i) + (j)</t>
  </si>
  <si>
    <t>(l) = (i) * 19</t>
  </si>
  <si>
    <t>(m) = (j) * 19</t>
  </si>
  <si>
    <t>(n) = (l) + (m)</t>
  </si>
  <si>
    <t>TOTAL</t>
  </si>
  <si>
    <t>Forecasted</t>
  </si>
  <si>
    <t>Development of Allocation Factors</t>
  </si>
  <si>
    <t>Allocation</t>
  </si>
  <si>
    <t>Factors</t>
  </si>
  <si>
    <r>
      <t xml:space="preserve">Allocation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</si>
  <si>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In Service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</si>
  <si>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Rate Change Impacts by Rate Schedule</t>
  </si>
  <si>
    <t>Therms</t>
  </si>
  <si>
    <t>Sch. 140</t>
  </si>
  <si>
    <t>Rate</t>
  </si>
  <si>
    <t>Volume</t>
  </si>
  <si>
    <t>Sched 140</t>
  </si>
  <si>
    <t>Total Forecasted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</si>
  <si>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</si>
  <si>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</si>
  <si>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</si>
  <si>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</si>
  <si>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</si>
  <si>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</si>
  <si>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</si>
  <si>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</si>
  <si>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</si>
  <si>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</si>
  <si>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</si>
  <si>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</si>
  <si>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</si>
  <si>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</si>
  <si>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</si>
  <si>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</si>
  <si>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</si>
  <si>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</si>
  <si>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</si>
  <si>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</si>
  <si>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</si>
  <si>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</si>
  <si>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</si>
  <si>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</si>
  <si>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</si>
  <si>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</si>
  <si>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</si>
  <si>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</si>
  <si>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</si>
  <si>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Typical Residential Bill Impacts</t>
  </si>
  <si>
    <t>Current Rates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</si>
  <si>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</si>
  <si>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</si>
  <si>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</si>
  <si>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</si>
  <si>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</si>
  <si>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</si>
  <si>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</si>
  <si>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</si>
  <si>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</si>
  <si>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</si>
  <si>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</si>
  <si>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Gas Schedule 140</t>
  </si>
  <si>
    <t>Volume (Therms)</t>
  </si>
  <si>
    <t>Proposed Rates</t>
  </si>
  <si>
    <t>(f) = (c) * [Ln. 10]</t>
  </si>
  <si>
    <t>(g) = (c) * [Ln. 10]</t>
  </si>
  <si>
    <r>
      <t xml:space="preserve">Therms </t>
    </r>
    <r>
      <rPr>
        <vertAlign val="superscript"/>
        <sz val="11"/>
        <color theme="1"/>
        <rFont val="Calibri"/>
        <family val="2"/>
        <scheme val="minor"/>
      </rPr>
      <t>(2)</t>
    </r>
  </si>
  <si>
    <t>Base Sch.</t>
  </si>
  <si>
    <t>Base Schedule</t>
  </si>
  <si>
    <t>Sch. 101</t>
  </si>
  <si>
    <t>Sch. 106</t>
  </si>
  <si>
    <t>Sch. 120</t>
  </si>
  <si>
    <t>Sch. 129</t>
  </si>
  <si>
    <t>Sch. 141Z</t>
  </si>
  <si>
    <t>Sch. 142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</si>
  <si>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</si>
  <si>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</si>
  <si>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</si>
  <si>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</si>
  <si>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</si>
  <si>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</si>
  <si>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</si>
  <si>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</si>
  <si>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</si>
  <si>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</si>
  <si>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Schedule 140 Property Tax</t>
  </si>
  <si>
    <t>Rate Change</t>
  </si>
  <si>
    <t>Basic charge (Sch. 23)</t>
  </si>
  <si>
    <t>Delivery charge (Sch. 23)</t>
  </si>
  <si>
    <t>Low income charge (Sch. 129)</t>
  </si>
  <si>
    <t>Property tax charge (Sch. 140)</t>
  </si>
  <si>
    <t>EDIT adjusting charge (Sch. 141X)</t>
  </si>
  <si>
    <t>UP EDIT adjusting charge (Sch. 141Z)</t>
  </si>
  <si>
    <t>Decoupling charge (Sch. 142)</t>
  </si>
  <si>
    <t>CRM Charge (Sch. 149)</t>
  </si>
  <si>
    <t>Conservation charge (Sch. 120)</t>
  </si>
  <si>
    <t>Gas cost charge (Sch. 101)</t>
  </si>
  <si>
    <t>Gas cost amort. charge (Sch. 106)</t>
  </si>
  <si>
    <t>Property Tax Tracker</t>
  </si>
  <si>
    <t>&lt;==Check Load</t>
  </si>
  <si>
    <t xml:space="preserve">Source: F2022 Load Forecast Calendar Month Therms (2-25-2022)  </t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</si>
  <si>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Forecasted rate year normalized volume from F2022 Load Forecast.</t>
    </r>
  </si>
  <si>
    <t>2023 Gas Schedule 140 Property Tax Tracker Filing</t>
  </si>
  <si>
    <t>Proposed Effective May 1, 2023</t>
  </si>
  <si>
    <t>Proposed Rates Effective May 1, 2023</t>
  </si>
  <si>
    <t>12ME Apr. 2024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</si>
  <si>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Plant in service from most recent approved cost of service study (2022 GRC UG-220067).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</si>
  <si>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Allocation of plant in service from most recent approved cost of service study (UG-220067).</t>
    </r>
  </si>
  <si>
    <r>
      <t xml:space="preserve">Property Tax Revenue Requirement - </t>
    </r>
    <r>
      <rPr>
        <b/>
        <sz val="14"/>
        <rFont val="Calibri"/>
        <family val="2"/>
      </rPr>
      <t>FINAL</t>
    </r>
    <r>
      <rPr>
        <b/>
        <sz val="14"/>
        <rFont val="Calibri"/>
        <family val="2"/>
        <scheme val="minor"/>
      </rPr>
      <t xml:space="preserve"> Filing - March, 2023</t>
    </r>
  </si>
  <si>
    <t>Revenue Requirement from 2022 Filing</t>
  </si>
  <si>
    <t>Cash Payment expected to be made 2023</t>
  </si>
  <si>
    <t>True-up for 2022 Load Variance</t>
  </si>
  <si>
    <t xml:space="preserve">Property Tax Revenue Requirement (without 141X) </t>
  </si>
  <si>
    <t>One time transfer of Schedule 141X residual balance</t>
  </si>
  <si>
    <t>Change in Revenue Requirement (including 141X)</t>
  </si>
  <si>
    <t>UG-220067</t>
  </si>
  <si>
    <t>May 2023 -</t>
  </si>
  <si>
    <t>Sch. 141D</t>
  </si>
  <si>
    <t>Sch. 141N</t>
  </si>
  <si>
    <t>Sch. 141R</t>
  </si>
  <si>
    <t>Apr. 2024</t>
  </si>
  <si>
    <t>Q</t>
  </si>
  <si>
    <t>R = sum(G:Q)</t>
  </si>
  <si>
    <t xml:space="preserve">S </t>
  </si>
  <si>
    <t>T= S/R</t>
  </si>
  <si>
    <t>Residential Gas Lights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</si>
  <si>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</si>
  <si>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7, 2023.</t>
    </r>
  </si>
  <si>
    <t>Dist. Pipeline Provisional (Sch. 141D)</t>
  </si>
  <si>
    <t>Rates Not Subject to Refund (Sch. 141N)</t>
  </si>
  <si>
    <t>Rates Subject to Refund (Sch. 141R)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</si>
  <si>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7, 2023</t>
    </r>
  </si>
  <si>
    <t>Deferral Revenue Requirement (140B) (with 141X residual  balance)</t>
  </si>
  <si>
    <t>= 8 + 9</t>
  </si>
  <si>
    <t>2023 Gas Schedule 140 Property Tax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</si>
</sst>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_);_(&quot;$&quot;* \(#,##0.00\);_(&quot;$&quot;* &quot;-&quot;_);_(@_)"/>
    <numFmt numFmtId="169" formatCode="_(&quot;$&quot;* #,##0.00000_);_(&quot;$&quot;* \(#,##0.00000\);_(&quot;$&quot;* &quot;-&quot;?????_);_(@_)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sz val="11"/>
      <color rgb="FF00808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 applyAlignment="1">
      <alignment horizontal="center"/>
    </xf>
    <xf numFmtId="42" fontId="0" fillId="0" borderId="0" xfId="0" applyNumberFormat="1"/>
    <xf numFmtId="164" fontId="0" fillId="0" borderId="2" xfId="0" applyNumberFormat="1" applyBorder="1"/>
    <xf numFmtId="164" fontId="0" fillId="0" borderId="0" xfId="0" applyNumberFormat="1"/>
    <xf numFmtId="42" fontId="4" fillId="0" borderId="0" xfId="0" applyNumberFormat="1" applyFon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44" fontId="0" fillId="0" borderId="0" xfId="0" applyNumberFormat="1"/>
    <xf numFmtId="3" fontId="0" fillId="0" borderId="2" xfId="0" applyNumberFormat="1" applyBorder="1"/>
    <xf numFmtId="42" fontId="0" fillId="0" borderId="2" xfId="0" applyNumberFormat="1" applyBorder="1"/>
    <xf numFmtId="3" fontId="0" fillId="0" borderId="0" xfId="0" applyNumberFormat="1"/>
    <xf numFmtId="41" fontId="0" fillId="0" borderId="0" xfId="0" applyNumberFormat="1"/>
    <xf numFmtId="0" fontId="0" fillId="0" borderId="2" xfId="0" applyBorder="1"/>
    <xf numFmtId="42" fontId="0" fillId="0" borderId="4" xfId="0" applyNumberFormat="1" applyBorder="1"/>
    <xf numFmtId="165" fontId="0" fillId="0" borderId="0" xfId="0" applyNumberFormat="1"/>
    <xf numFmtId="0" fontId="0" fillId="0" borderId="0" xfId="0" applyAlignment="1">
      <alignment horizontal="left"/>
    </xf>
    <xf numFmtId="41" fontId="9" fillId="0" borderId="2" xfId="0" applyNumberFormat="1" applyFont="1" applyBorder="1"/>
    <xf numFmtId="0" fontId="9" fillId="0" borderId="2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2" xfId="0" applyNumberFormat="1" applyFont="1" applyBorder="1"/>
    <xf numFmtId="3" fontId="5" fillId="0" borderId="0" xfId="0" applyNumberFormat="1" applyFont="1"/>
    <xf numFmtId="167" fontId="12" fillId="0" borderId="2" xfId="0" applyNumberFormat="1" applyFont="1" applyBorder="1"/>
    <xf numFmtId="0" fontId="6" fillId="0" borderId="0" xfId="0" applyFont="1"/>
    <xf numFmtId="0" fontId="2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42" fontId="0" fillId="0" borderId="0" xfId="0" applyNumberFormat="1" applyAlignment="1">
      <alignment horizontal="center"/>
    </xf>
    <xf numFmtId="42" fontId="5" fillId="0" borderId="0" xfId="0" applyNumberFormat="1" applyFont="1"/>
    <xf numFmtId="42" fontId="3" fillId="0" borderId="0" xfId="0" applyNumberFormat="1" applyFont="1"/>
    <xf numFmtId="165" fontId="0" fillId="0" borderId="1" xfId="0" applyNumberFormat="1" applyBorder="1"/>
    <xf numFmtId="42" fontId="4" fillId="0" borderId="2" xfId="0" applyNumberFormat="1" applyFont="1" applyBorder="1"/>
    <xf numFmtId="10" fontId="0" fillId="0" borderId="0" xfId="0" applyNumberFormat="1"/>
    <xf numFmtId="0" fontId="15" fillId="0" borderId="0" xfId="0" applyFont="1" applyAlignment="1">
      <alignment horizontal="left"/>
    </xf>
    <xf numFmtId="3" fontId="16" fillId="0" borderId="0" xfId="0" applyNumberFormat="1" applyFont="1"/>
    <xf numFmtId="42" fontId="16" fillId="0" borderId="0" xfId="0" applyNumberFormat="1" applyFont="1"/>
    <xf numFmtId="0" fontId="16" fillId="0" borderId="0" xfId="0" applyFont="1"/>
    <xf numFmtId="10" fontId="16" fillId="0" borderId="0" xfId="0" applyNumberFormat="1" applyFont="1"/>
    <xf numFmtId="167" fontId="16" fillId="0" borderId="0" xfId="0" applyNumberFormat="1" applyFont="1"/>
    <xf numFmtId="0" fontId="16" fillId="0" borderId="0" xfId="0" applyFont="1" applyAlignment="1">
      <alignment horizontal="left" vertical="center" textRotation="180"/>
    </xf>
    <xf numFmtId="0" fontId="16" fillId="0" borderId="0" xfId="0" applyFont="1" applyAlignment="1">
      <alignment horizontal="left"/>
    </xf>
    <xf numFmtId="167" fontId="16" fillId="0" borderId="2" xfId="0" applyNumberFormat="1" applyFont="1" applyBorder="1"/>
    <xf numFmtId="44" fontId="1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/>
    <xf numFmtId="168" fontId="4" fillId="0" borderId="0" xfId="0" applyNumberFormat="1" applyFont="1"/>
    <xf numFmtId="44" fontId="18" fillId="0" borderId="0" xfId="0" applyNumberFormat="1" applyFont="1"/>
    <xf numFmtId="44" fontId="4" fillId="0" borderId="0" xfId="0" applyNumberFormat="1" applyFont="1"/>
    <xf numFmtId="44" fontId="4" fillId="0" borderId="2" xfId="0" applyNumberFormat="1" applyFont="1" applyBorder="1"/>
    <xf numFmtId="169" fontId="5" fillId="0" borderId="0" xfId="0" applyNumberFormat="1" applyFont="1"/>
    <xf numFmtId="169" fontId="18" fillId="0" borderId="0" xfId="0" applyNumberFormat="1" applyFont="1"/>
    <xf numFmtId="169" fontId="4" fillId="0" borderId="0" xfId="0" applyNumberFormat="1" applyFont="1"/>
    <xf numFmtId="169" fontId="0" fillId="0" borderId="0" xfId="0" applyNumberFormat="1"/>
    <xf numFmtId="169" fontId="4" fillId="0" borderId="2" xfId="0" applyNumberFormat="1" applyFont="1" applyBorder="1"/>
    <xf numFmtId="168" fontId="4" fillId="0" borderId="2" xfId="0" applyNumberFormat="1" applyFont="1" applyBorder="1"/>
    <xf numFmtId="164" fontId="4" fillId="0" borderId="0" xfId="0" applyNumberFormat="1" applyFont="1"/>
    <xf numFmtId="0" fontId="4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0" fontId="2" fillId="0" borderId="0" xfId="0" applyFont="1" applyAlignment="1">
      <alignment horizontal="center"/>
    </xf>
    <xf numFmtId="42" fontId="2" fillId="0" borderId="0" xfId="0" applyNumberFormat="1" applyFont="1" applyAlignment="1">
      <alignment horizontal="center"/>
    </xf>
    <xf numFmtId="0" fontId="0" fillId="0" borderId="0" xfId="0" quotePrefix="1"/>
    <xf numFmtId="0" fontId="13" fillId="0" borderId="0" xfId="0" applyFont="1"/>
    <xf numFmtId="0" fontId="3" fillId="0" borderId="1" xfId="0" quotePrefix="1" applyFont="1" applyBorder="1" applyAlignment="1">
      <alignment horizontal="center"/>
    </xf>
    <xf numFmtId="166" fontId="16" fillId="0" borderId="0" xfId="0" applyNumberFormat="1" applyFont="1"/>
    <xf numFmtId="165" fontId="0" fillId="0" borderId="2" xfId="0" applyNumberFormat="1" applyBorder="1"/>
    <xf numFmtId="166" fontId="16" fillId="0" borderId="2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 indent="1"/>
    </xf>
    <xf numFmtId="42" fontId="0" fillId="0" borderId="3" xfId="0" applyNumberFormat="1" applyBorder="1"/>
    <xf numFmtId="41" fontId="9" fillId="0" borderId="0" xfId="0" applyNumberFormat="1" applyFont="1"/>
    <xf numFmtId="0" fontId="9" fillId="0" borderId="0" xfId="0" applyFont="1"/>
    <xf numFmtId="10" fontId="0" fillId="0" borderId="0" xfId="0" applyNumberFormat="1" applyAlignment="1">
      <alignment horizontal="center"/>
    </xf>
    <xf numFmtId="0" fontId="8" fillId="0" borderId="0" xfId="0" applyFont="1"/>
    <xf numFmtId="166" fontId="0" fillId="0" borderId="0" xfId="1" applyNumberFormat="1" applyFont="1" applyFill="1"/>
    <xf numFmtId="0" fontId="2" fillId="0" borderId="1" xfId="0" applyFont="1" applyBorder="1" applyAlignment="1">
      <alignment horizontal="center"/>
    </xf>
    <xf numFmtId="165" fontId="2" fillId="0" borderId="0" xfId="0" applyNumberFormat="1" applyFont="1"/>
    <xf numFmtId="44" fontId="2" fillId="0" borderId="0" xfId="0" applyNumberFormat="1" applyFont="1"/>
    <xf numFmtId="10" fontId="0" fillId="0" borderId="2" xfId="0" applyNumberFormat="1" applyBorder="1"/>
    <xf numFmtId="0" fontId="16" fillId="0" borderId="0" xfId="0" applyFont="1" applyAlignment="1">
      <alignment horizontal="center"/>
    </xf>
    <xf numFmtId="0" fontId="20" fillId="0" borderId="0" xfId="0" applyFont="1"/>
    <xf numFmtId="41" fontId="4" fillId="0" borderId="0" xfId="0" applyNumberFormat="1" applyFont="1"/>
    <xf numFmtId="3" fontId="0" fillId="0" borderId="0" xfId="0" applyNumberFormat="1" applyAlignment="1">
      <alignment horizontal="center"/>
    </xf>
    <xf numFmtId="0" fontId="22" fillId="0" borderId="0" xfId="0" applyFont="1" applyAlignment="1">
      <alignment horizontal="left"/>
    </xf>
    <xf numFmtId="10" fontId="4" fillId="0" borderId="0" xfId="0" applyNumberFormat="1" applyFont="1"/>
    <xf numFmtId="165" fontId="3" fillId="0" borderId="0" xfId="0" applyNumberFormat="1" applyFont="1"/>
    <xf numFmtId="165" fontId="3" fillId="0" borderId="1" xfId="0" applyNumberFormat="1" applyFont="1" applyBorder="1"/>
    <xf numFmtId="0" fontId="0" fillId="0" borderId="1" xfId="0" applyBorder="1"/>
    <xf numFmtId="17" fontId="3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3" fontId="3" fillId="0" borderId="0" xfId="0" applyNumberFormat="1" applyFont="1"/>
    <xf numFmtId="0" fontId="0" fillId="0" borderId="1" xfId="0" applyBorder="1" applyAlignment="1">
      <alignment horizontal="left"/>
    </xf>
    <xf numFmtId="164" fontId="5" fillId="0" borderId="0" xfId="0" applyNumberFormat="1" applyFont="1"/>
    <xf numFmtId="164" fontId="12" fillId="0" borderId="0" xfId="0" applyNumberFormat="1" applyFont="1"/>
    <xf numFmtId="165" fontId="5" fillId="0" borderId="0" xfId="0" applyNumberFormat="1" applyFont="1"/>
    <xf numFmtId="165" fontId="5" fillId="0" borderId="1" xfId="0" applyNumberFormat="1" applyFont="1" applyBorder="1"/>
    <xf numFmtId="42" fontId="23" fillId="0" borderId="0" xfId="0" applyNumberFormat="1" applyFont="1"/>
    <xf numFmtId="44" fontId="3" fillId="0" borderId="0" xfId="0" applyNumberFormat="1" applyFont="1"/>
    <xf numFmtId="169" fontId="3" fillId="0" borderId="0" xfId="0" applyNumberFormat="1" applyFont="1"/>
    <xf numFmtId="0" fontId="3" fillId="0" borderId="1" xfId="0" applyFont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84FCB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H25" sqref="H25"/>
    </sheetView>
  </sheetViews>
  <sheetFormatPr defaultColWidth="9.140625" defaultRowHeight="15" x14ac:dyDescent="0.25"/>
  <cols>
    <col min="1" max="1" width="4.42578125" customWidth="1"/>
    <col min="2" max="2" width="23.85546875" customWidth="1"/>
    <col min="3" max="3" width="9.140625" bestFit="1" customWidth="1"/>
    <col min="4" max="4" width="11.140625" bestFit="1" customWidth="1"/>
    <col min="5" max="5" width="13.5703125" bestFit="1" customWidth="1"/>
    <col min="6" max="6" width="14.85546875" bestFit="1" customWidth="1"/>
    <col min="7" max="7" width="15.140625" bestFit="1" customWidth="1"/>
    <col min="8" max="8" width="13.42578125" customWidth="1"/>
    <col min="9" max="11" width="12.42578125" customWidth="1"/>
    <col min="12" max="12" width="10.140625" bestFit="1" customWidth="1"/>
    <col min="13" max="13" width="11.28515625" bestFit="1" customWidth="1"/>
    <col min="14" max="14" width="11.5703125" bestFit="1" customWidth="1"/>
  </cols>
  <sheetData>
    <row r="1" spans="1:15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5" x14ac:dyDescent="0.25">
      <c r="A2" s="6" t="s">
        <v>169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5" x14ac:dyDescent="0.25">
      <c r="A4" s="112" t="s">
        <v>170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6" spans="1:15" ht="13.5" customHeight="1" x14ac:dyDescent="0.25">
      <c r="E6" s="7" t="s">
        <v>73</v>
      </c>
      <c r="F6" s="7" t="s">
        <v>3</v>
      </c>
      <c r="G6" s="7" t="s">
        <v>3</v>
      </c>
      <c r="H6" s="7" t="s">
        <v>3</v>
      </c>
      <c r="I6" s="7" t="s">
        <v>2</v>
      </c>
      <c r="J6" s="7" t="s">
        <v>2</v>
      </c>
      <c r="K6" s="66" t="s">
        <v>2</v>
      </c>
      <c r="L6" s="7" t="s">
        <v>4</v>
      </c>
      <c r="M6" s="7" t="s">
        <v>4</v>
      </c>
      <c r="N6" s="66" t="s">
        <v>4</v>
      </c>
    </row>
    <row r="7" spans="1:15" ht="17.25" x14ac:dyDescent="0.25">
      <c r="B7" s="7"/>
      <c r="C7" s="7"/>
      <c r="D7" s="7" t="str">
        <f>MID('Allocation Factors'!$B$21,80,9)</f>
        <v>UG-220067</v>
      </c>
      <c r="E7" s="7" t="s">
        <v>133</v>
      </c>
      <c r="F7" s="7" t="s">
        <v>6</v>
      </c>
      <c r="G7" s="7" t="s">
        <v>6</v>
      </c>
      <c r="H7" s="7" t="s">
        <v>6</v>
      </c>
      <c r="I7" s="7" t="s">
        <v>7</v>
      </c>
      <c r="J7" s="7" t="s">
        <v>7</v>
      </c>
      <c r="K7" s="66" t="s">
        <v>7</v>
      </c>
      <c r="L7" s="7" t="s">
        <v>7</v>
      </c>
      <c r="M7" s="7" t="s">
        <v>7</v>
      </c>
      <c r="N7" s="66" t="s">
        <v>7</v>
      </c>
    </row>
    <row r="8" spans="1:15" ht="13.5" customHeight="1" x14ac:dyDescent="0.25">
      <c r="A8" s="7" t="s">
        <v>60</v>
      </c>
      <c r="B8" s="7"/>
      <c r="C8" s="7"/>
      <c r="D8" s="7" t="s">
        <v>5</v>
      </c>
      <c r="E8" s="7" t="str">
        <f>TEXT('Therm Forecast'!$B$7,"Mmm YYYY -")</f>
        <v>May 2023 -</v>
      </c>
      <c r="F8" s="7" t="s">
        <v>10</v>
      </c>
      <c r="G8" s="7" t="s">
        <v>10</v>
      </c>
      <c r="H8" s="7" t="s">
        <v>10</v>
      </c>
      <c r="I8" s="7" t="s">
        <v>35</v>
      </c>
      <c r="J8" s="7" t="s">
        <v>11</v>
      </c>
      <c r="K8" s="66" t="s">
        <v>11</v>
      </c>
      <c r="L8" s="7" t="s">
        <v>12</v>
      </c>
      <c r="M8" s="7" t="s">
        <v>12</v>
      </c>
      <c r="N8" s="66" t="s">
        <v>12</v>
      </c>
    </row>
    <row r="9" spans="1:15" ht="17.25" x14ac:dyDescent="0.25">
      <c r="A9" s="1" t="s">
        <v>61</v>
      </c>
      <c r="B9" s="86" t="s">
        <v>8</v>
      </c>
      <c r="C9" s="86" t="s">
        <v>9</v>
      </c>
      <c r="D9" s="1" t="s">
        <v>77</v>
      </c>
      <c r="E9" s="1" t="str">
        <f>TEXT('Therm Forecast'!$M$7,"Mmmm YYYY")</f>
        <v>April 2024</v>
      </c>
      <c r="F9" s="1" t="s">
        <v>29</v>
      </c>
      <c r="G9" s="1" t="s">
        <v>36</v>
      </c>
      <c r="H9" s="1" t="s">
        <v>72</v>
      </c>
      <c r="I9" s="1" t="s">
        <v>29</v>
      </c>
      <c r="J9" s="1" t="s">
        <v>34</v>
      </c>
      <c r="K9" s="86" t="s">
        <v>72</v>
      </c>
      <c r="L9" s="1" t="s">
        <v>29</v>
      </c>
      <c r="M9" s="1" t="s">
        <v>34</v>
      </c>
      <c r="N9" s="86" t="s">
        <v>72</v>
      </c>
    </row>
    <row r="10" spans="1:15" x14ac:dyDescent="0.25">
      <c r="B10" s="7" t="s">
        <v>56</v>
      </c>
      <c r="C10" s="7" t="s">
        <v>57</v>
      </c>
      <c r="D10" s="7" t="s">
        <v>58</v>
      </c>
      <c r="E10" s="7" t="s">
        <v>59</v>
      </c>
      <c r="F10" s="7" t="s">
        <v>131</v>
      </c>
      <c r="G10" s="7" t="s">
        <v>132</v>
      </c>
      <c r="H10" s="7" t="s">
        <v>65</v>
      </c>
      <c r="I10" s="7" t="s">
        <v>66</v>
      </c>
      <c r="J10" s="7" t="s">
        <v>67</v>
      </c>
      <c r="K10" s="7" t="s">
        <v>68</v>
      </c>
      <c r="L10" s="7" t="s">
        <v>69</v>
      </c>
      <c r="M10" s="7" t="s">
        <v>70</v>
      </c>
      <c r="N10" s="7" t="s">
        <v>71</v>
      </c>
      <c r="O10" s="7"/>
    </row>
    <row r="11" spans="1:15" x14ac:dyDescent="0.25">
      <c r="A11" s="7">
        <v>1</v>
      </c>
      <c r="B11" s="27" t="s">
        <v>13</v>
      </c>
      <c r="C11" s="27" t="s">
        <v>14</v>
      </c>
      <c r="D11" s="103">
        <f>'Allocation Factors'!E12</f>
        <v>0.62996412500855559</v>
      </c>
      <c r="E11" s="24">
        <f>SUM('Therm Forecast'!N8:N10)</f>
        <v>589993845</v>
      </c>
      <c r="F11" s="2">
        <f>F$20*D11</f>
        <v>11222686.109006878</v>
      </c>
      <c r="G11" s="5">
        <f t="shared" ref="G11:G17" si="0">$G$20*D11</f>
        <v>2257239.3333755732</v>
      </c>
      <c r="H11" s="2">
        <f t="shared" ref="H11:H17" si="1">SUM(F11:G11)</f>
        <v>13479925.442382451</v>
      </c>
      <c r="I11" s="15">
        <f t="shared" ref="I11:I17" si="2">ROUND(F11/$E11,5)</f>
        <v>1.9019999999999999E-2</v>
      </c>
      <c r="J11" s="15">
        <f>ROUND((+G11)/$E11,5)</f>
        <v>3.8300000000000001E-3</v>
      </c>
      <c r="K11" s="87">
        <f>SUM(I11:J11)</f>
        <v>2.2849999999999999E-2</v>
      </c>
      <c r="L11" s="8">
        <f>ROUND(I11*19,2)</f>
        <v>0.36</v>
      </c>
      <c r="M11" s="8">
        <f>ROUND(J11*19,2)</f>
        <v>7.0000000000000007E-2</v>
      </c>
      <c r="N11" s="88">
        <f>SUM(L11:M11)</f>
        <v>0.43</v>
      </c>
    </row>
    <row r="12" spans="1:15" x14ac:dyDescent="0.25">
      <c r="A12" s="7">
        <f>A11+1</f>
        <v>2</v>
      </c>
      <c r="B12" s="27" t="s">
        <v>15</v>
      </c>
      <c r="C12" s="27" t="s">
        <v>16</v>
      </c>
      <c r="D12" s="103">
        <f>'Allocation Factors'!E13</f>
        <v>0.28214360014751488</v>
      </c>
      <c r="E12" s="24">
        <f>SUM('Therm Forecast'!N11,'Therm Forecast'!N16)</f>
        <v>240236015</v>
      </c>
      <c r="F12" s="2">
        <f t="shared" ref="F12:F17" si="3">F$20*D12</f>
        <v>5026332.3519854452</v>
      </c>
      <c r="G12" s="5">
        <f t="shared" si="0"/>
        <v>1010955.3967132833</v>
      </c>
      <c r="H12" s="2">
        <f t="shared" si="1"/>
        <v>6037287.7486987282</v>
      </c>
      <c r="I12" s="15">
        <f t="shared" si="2"/>
        <v>2.0920000000000001E-2</v>
      </c>
      <c r="J12" s="15">
        <f t="shared" ref="J12:J17" si="4">ROUND((+G12)/$E12,5)</f>
        <v>4.2100000000000002E-3</v>
      </c>
      <c r="K12" s="87">
        <f t="shared" ref="K12:K17" si="5">SUM(I12:J12)</f>
        <v>2.513E-2</v>
      </c>
      <c r="L12" s="15"/>
      <c r="M12" s="15"/>
    </row>
    <row r="13" spans="1:15" x14ac:dyDescent="0.25">
      <c r="A13" s="7">
        <f t="shared" ref="A13:A20" si="6">A12+1</f>
        <v>3</v>
      </c>
      <c r="B13" s="27" t="s">
        <v>17</v>
      </c>
      <c r="C13" s="27" t="s">
        <v>18</v>
      </c>
      <c r="D13" s="103">
        <f>'Allocation Factors'!E14</f>
        <v>4.1810408936712076E-2</v>
      </c>
      <c r="E13" s="24">
        <f>SUM('Therm Forecast'!N12,'Therm Forecast'!N17)</f>
        <v>89130310</v>
      </c>
      <c r="F13" s="2">
        <f t="shared" si="3"/>
        <v>744844.15375171253</v>
      </c>
      <c r="G13" s="5">
        <f t="shared" si="0"/>
        <v>149811.86364411202</v>
      </c>
      <c r="H13" s="2">
        <f t="shared" si="1"/>
        <v>894656.01739582454</v>
      </c>
      <c r="I13" s="15">
        <f t="shared" si="2"/>
        <v>8.3599999999999994E-3</v>
      </c>
      <c r="J13" s="15">
        <f t="shared" si="4"/>
        <v>1.6800000000000001E-3</v>
      </c>
      <c r="K13" s="87">
        <f t="shared" si="5"/>
        <v>1.004E-2</v>
      </c>
      <c r="L13" s="15"/>
      <c r="M13" s="15"/>
    </row>
    <row r="14" spans="1:15" x14ac:dyDescent="0.25">
      <c r="A14" s="7">
        <f t="shared" si="6"/>
        <v>4</v>
      </c>
      <c r="B14" s="27" t="s">
        <v>19</v>
      </c>
      <c r="C14" s="27" t="s">
        <v>20</v>
      </c>
      <c r="D14" s="103">
        <f>'Allocation Factors'!E15</f>
        <v>2.1296892215680929E-2</v>
      </c>
      <c r="E14" s="24">
        <f>SUM('Therm Forecast'!N13,'Therm Forecast'!N18)</f>
        <v>86151960</v>
      </c>
      <c r="F14" s="2">
        <f t="shared" si="3"/>
        <v>379399.91651221894</v>
      </c>
      <c r="G14" s="5">
        <f t="shared" si="0"/>
        <v>76309.39743948463</v>
      </c>
      <c r="H14" s="2">
        <f t="shared" si="1"/>
        <v>455709.3139517036</v>
      </c>
      <c r="I14" s="15">
        <f t="shared" si="2"/>
        <v>4.4000000000000003E-3</v>
      </c>
      <c r="J14" s="15">
        <f t="shared" si="4"/>
        <v>8.8999999999999995E-4</v>
      </c>
      <c r="K14" s="87">
        <f t="shared" si="5"/>
        <v>5.2900000000000004E-3</v>
      </c>
      <c r="L14" s="15"/>
      <c r="M14" s="15"/>
    </row>
    <row r="15" spans="1:15" x14ac:dyDescent="0.25">
      <c r="A15" s="7">
        <f t="shared" si="6"/>
        <v>5</v>
      </c>
      <c r="B15" s="27" t="s">
        <v>21</v>
      </c>
      <c r="C15" s="27" t="s">
        <v>22</v>
      </c>
      <c r="D15" s="103">
        <f>'Allocation Factors'!E16</f>
        <v>2.0973850339355751E-3</v>
      </c>
      <c r="E15" s="24">
        <f>SUM('Therm Forecast'!N14,'Therm Forecast'!N19)</f>
        <v>6671348</v>
      </c>
      <c r="F15" s="2">
        <f t="shared" si="3"/>
        <v>37364.498947091663</v>
      </c>
      <c r="G15" s="5">
        <f t="shared" si="0"/>
        <v>7515.1898463556854</v>
      </c>
      <c r="H15" s="2">
        <f t="shared" si="1"/>
        <v>44879.688793447349</v>
      </c>
      <c r="I15" s="15">
        <f t="shared" si="2"/>
        <v>5.5999999999999999E-3</v>
      </c>
      <c r="J15" s="15">
        <f t="shared" si="4"/>
        <v>1.1299999999999999E-3</v>
      </c>
      <c r="K15" s="87">
        <f t="shared" si="5"/>
        <v>6.7299999999999999E-3</v>
      </c>
      <c r="L15" s="15"/>
      <c r="M15" s="15"/>
    </row>
    <row r="16" spans="1:15" x14ac:dyDescent="0.25">
      <c r="A16" s="7">
        <f t="shared" si="6"/>
        <v>6</v>
      </c>
      <c r="B16" s="27" t="s">
        <v>23</v>
      </c>
      <c r="C16" s="27" t="s">
        <v>24</v>
      </c>
      <c r="D16" s="103">
        <f>'Allocation Factors'!E17</f>
        <v>2.1062718183053986E-2</v>
      </c>
      <c r="E16" s="24">
        <f>SUM('Therm Forecast'!N15,'Therm Forecast'!N20)</f>
        <v>119376617</v>
      </c>
      <c r="F16" s="2">
        <f t="shared" si="3"/>
        <v>375228.15250420209</v>
      </c>
      <c r="G16" s="5">
        <f t="shared" si="0"/>
        <v>75470.322932990268</v>
      </c>
      <c r="H16" s="2">
        <f t="shared" si="1"/>
        <v>450698.47543719236</v>
      </c>
      <c r="I16" s="15">
        <f t="shared" si="2"/>
        <v>3.14E-3</v>
      </c>
      <c r="J16" s="15">
        <f t="shared" si="4"/>
        <v>6.3000000000000003E-4</v>
      </c>
      <c r="K16" s="87">
        <f t="shared" si="5"/>
        <v>3.7699999999999999E-3</v>
      </c>
      <c r="L16" s="15"/>
      <c r="M16" s="15"/>
    </row>
    <row r="17" spans="1:13" x14ac:dyDescent="0.25">
      <c r="A17" s="7">
        <f t="shared" si="6"/>
        <v>7</v>
      </c>
      <c r="B17" s="27" t="s">
        <v>25</v>
      </c>
      <c r="C17" s="27"/>
      <c r="D17" s="103">
        <f>'Allocation Factors'!E18</f>
        <v>1.6248704745468181E-3</v>
      </c>
      <c r="E17" s="24">
        <f>'Therm Forecast'!N21</f>
        <v>37176164</v>
      </c>
      <c r="F17" s="2">
        <f t="shared" si="3"/>
        <v>28946.745663309528</v>
      </c>
      <c r="G17" s="5">
        <f t="shared" si="0"/>
        <v>5822.1117698375274</v>
      </c>
      <c r="H17" s="2">
        <f t="shared" si="1"/>
        <v>34768.857433147059</v>
      </c>
      <c r="I17" s="15">
        <f t="shared" si="2"/>
        <v>7.7999999999999999E-4</v>
      </c>
      <c r="J17" s="15">
        <f t="shared" si="4"/>
        <v>1.6000000000000001E-4</v>
      </c>
      <c r="K17" s="87">
        <f t="shared" si="5"/>
        <v>9.3999999999999997E-4</v>
      </c>
      <c r="L17" s="15"/>
      <c r="M17" s="15"/>
    </row>
    <row r="18" spans="1:13" x14ac:dyDescent="0.25">
      <c r="A18" s="7">
        <f t="shared" si="6"/>
        <v>8</v>
      </c>
      <c r="B18" t="s">
        <v>27</v>
      </c>
      <c r="D18" s="3">
        <f>SUM(D11:D17)</f>
        <v>0.99999999999999989</v>
      </c>
      <c r="E18" s="9">
        <f>SUM(E11:E17)</f>
        <v>1168736259</v>
      </c>
      <c r="F18" s="10">
        <f>SUM(F11:F17)</f>
        <v>17814801.928370859</v>
      </c>
      <c r="G18" s="10">
        <f>SUM(G11:G17)</f>
        <v>3583123.615721636</v>
      </c>
      <c r="H18" s="10">
        <f>SUM(H11:H17)</f>
        <v>21397925.544092499</v>
      </c>
      <c r="I18" s="2"/>
      <c r="J18" s="2"/>
    </row>
    <row r="19" spans="1:13" x14ac:dyDescent="0.25">
      <c r="A19" s="7">
        <f t="shared" si="6"/>
        <v>9</v>
      </c>
      <c r="D19" s="4"/>
      <c r="E19" s="11"/>
    </row>
    <row r="20" spans="1:13" x14ac:dyDescent="0.25">
      <c r="A20" s="7">
        <f t="shared" si="6"/>
        <v>10</v>
      </c>
      <c r="B20" t="s">
        <v>28</v>
      </c>
      <c r="F20" s="107">
        <f>'2023 FINAL Rev Req'!I18</f>
        <v>17814801.928370859</v>
      </c>
      <c r="G20" s="107">
        <f>'2023 FINAL Rev Req'!I19</f>
        <v>3583123.6157216369</v>
      </c>
      <c r="H20" s="5">
        <f>SUM(F20:G20)</f>
        <v>21397925.544092495</v>
      </c>
      <c r="I20" s="2"/>
      <c r="J20" s="2"/>
    </row>
    <row r="22" spans="1:13" ht="17.25" x14ac:dyDescent="0.25">
      <c r="B22" t="s">
        <v>174</v>
      </c>
    </row>
    <row r="23" spans="1:13" ht="17.25" x14ac:dyDescent="0.25">
      <c r="B23" t="s">
        <v>168</v>
      </c>
    </row>
    <row r="24" spans="1:13" x14ac:dyDescent="0.25">
      <c r="H24" s="2"/>
    </row>
  </sheetData>
  <mergeCells count="3">
    <mergeCell ref="A1:N1"/>
    <mergeCell ref="A3:N3"/>
    <mergeCell ref="A4:N4"/>
  </mergeCells>
  <printOptions horizontalCentered="1"/>
  <pageMargins left="0.45" right="0.45" top="0.75" bottom="0.75" header="0.3" footer="0.3"/>
  <pageSetup scale="73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zoomScale="90" zoomScaleNormal="90" workbookViewId="0">
      <selection activeCell="E34" sqref="E34"/>
    </sheetView>
  </sheetViews>
  <sheetFormatPr defaultColWidth="9.140625" defaultRowHeight="15" x14ac:dyDescent="0.25"/>
  <cols>
    <col min="1" max="1" width="4.42578125" style="20" customWidth="1"/>
    <col min="2" max="2" width="31.5703125" style="20" customWidth="1"/>
    <col min="3" max="3" width="10.42578125" style="20" customWidth="1"/>
    <col min="4" max="4" width="17.140625" style="20" bestFit="1" customWidth="1"/>
    <col min="5" max="5" width="12.85546875" style="20" bestFit="1" customWidth="1"/>
    <col min="6" max="6" width="3.5703125" style="20" customWidth="1"/>
    <col min="7" max="16384" width="9.140625" style="20"/>
  </cols>
  <sheetData>
    <row r="1" spans="1:6" x14ac:dyDescent="0.25">
      <c r="A1" s="113" t="s">
        <v>0</v>
      </c>
      <c r="B1" s="113"/>
      <c r="C1" s="113"/>
      <c r="D1" s="113"/>
      <c r="E1" s="113"/>
      <c r="F1" s="113"/>
    </row>
    <row r="2" spans="1:6" customFormat="1" x14ac:dyDescent="0.25">
      <c r="A2" s="112" t="str">
        <f>'Sch. 140 Rates'!A2:N2</f>
        <v>2023 Gas Schedule 140 Property Tax Tracker Filing</v>
      </c>
      <c r="B2" s="112"/>
      <c r="C2" s="112"/>
      <c r="D2" s="112"/>
      <c r="E2" s="112"/>
      <c r="F2" s="112"/>
    </row>
    <row r="3" spans="1:6" customFormat="1" x14ac:dyDescent="0.25">
      <c r="A3" s="112" t="s">
        <v>74</v>
      </c>
      <c r="B3" s="112"/>
      <c r="C3" s="112"/>
      <c r="D3" s="112"/>
      <c r="E3" s="112"/>
      <c r="F3" s="112"/>
    </row>
    <row r="4" spans="1:6" customFormat="1" x14ac:dyDescent="0.25">
      <c r="A4" s="112" t="str">
        <f>'Sch. 140 Rates'!A4:N4</f>
        <v>Proposed Effective May 1, 2023</v>
      </c>
      <c r="B4" s="112"/>
      <c r="C4" s="112"/>
      <c r="D4" s="112"/>
      <c r="E4" s="112"/>
      <c r="F4" s="112"/>
    </row>
    <row r="5" spans="1:6" customFormat="1" x14ac:dyDescent="0.25">
      <c r="A5" s="7"/>
      <c r="B5" s="7"/>
      <c r="C5" s="7"/>
      <c r="D5" s="7"/>
      <c r="E5" s="7"/>
    </row>
    <row r="6" spans="1:6" customFormat="1" x14ac:dyDescent="0.25">
      <c r="A6" s="7"/>
      <c r="B6" s="7"/>
      <c r="C6" s="7"/>
      <c r="D6" s="7"/>
      <c r="E6" s="7"/>
    </row>
    <row r="7" spans="1:6" customFormat="1" x14ac:dyDescent="0.25">
      <c r="A7" s="7"/>
      <c r="B7" s="7"/>
      <c r="C7" s="7"/>
      <c r="D7" s="7"/>
      <c r="E7" s="7"/>
    </row>
    <row r="8" spans="1:6" x14ac:dyDescent="0.25">
      <c r="B8" s="21"/>
      <c r="C8" s="21"/>
      <c r="D8" s="21"/>
      <c r="E8" s="21" t="s">
        <v>5</v>
      </c>
    </row>
    <row r="9" spans="1:6" x14ac:dyDescent="0.25">
      <c r="A9" s="21" t="s">
        <v>60</v>
      </c>
      <c r="B9" s="21"/>
      <c r="C9" s="21"/>
      <c r="D9" s="21" t="s">
        <v>5</v>
      </c>
      <c r="E9" s="21" t="s">
        <v>75</v>
      </c>
    </row>
    <row r="10" spans="1:6" ht="17.25" x14ac:dyDescent="0.25">
      <c r="A10" s="22" t="s">
        <v>61</v>
      </c>
      <c r="B10" s="22" t="s">
        <v>8</v>
      </c>
      <c r="C10" s="22" t="s">
        <v>9</v>
      </c>
      <c r="D10" s="22" t="s">
        <v>78</v>
      </c>
      <c r="E10" s="22" t="s">
        <v>76</v>
      </c>
    </row>
    <row r="11" spans="1:6" x14ac:dyDescent="0.25">
      <c r="B11" s="21" t="s">
        <v>56</v>
      </c>
      <c r="C11" s="21" t="s">
        <v>57</v>
      </c>
      <c r="D11" s="21" t="s">
        <v>58</v>
      </c>
      <c r="E11" s="21" t="s">
        <v>59</v>
      </c>
    </row>
    <row r="12" spans="1:6" x14ac:dyDescent="0.25">
      <c r="A12" s="21">
        <v>1</v>
      </c>
      <c r="B12" s="20" t="s">
        <v>13</v>
      </c>
      <c r="C12" s="20" t="s">
        <v>14</v>
      </c>
      <c r="D12" s="31">
        <v>3143286316.7915053</v>
      </c>
      <c r="E12" s="104">
        <f>D12/$D$19</f>
        <v>0.62996412500855559</v>
      </c>
    </row>
    <row r="13" spans="1:6" x14ac:dyDescent="0.25">
      <c r="A13" s="21">
        <f>A12+1</f>
        <v>2</v>
      </c>
      <c r="B13" s="20" t="s">
        <v>15</v>
      </c>
      <c r="C13" s="20" t="s">
        <v>16</v>
      </c>
      <c r="D13" s="31">
        <v>1407791463.8423781</v>
      </c>
      <c r="E13" s="104">
        <f t="shared" ref="E13:E18" si="0">D13/$D$19</f>
        <v>0.28214360014751488</v>
      </c>
    </row>
    <row r="14" spans="1:6" x14ac:dyDescent="0.25">
      <c r="A14" s="21">
        <f t="shared" ref="A14:A19" si="1">A13+1</f>
        <v>3</v>
      </c>
      <c r="B14" s="20" t="s">
        <v>17</v>
      </c>
      <c r="C14" s="20" t="s">
        <v>18</v>
      </c>
      <c r="D14" s="31">
        <v>208618365.86081707</v>
      </c>
      <c r="E14" s="104">
        <f t="shared" si="0"/>
        <v>4.1810408936712076E-2</v>
      </c>
    </row>
    <row r="15" spans="1:6" x14ac:dyDescent="0.25">
      <c r="A15" s="21">
        <f t="shared" si="1"/>
        <v>4</v>
      </c>
      <c r="B15" s="20" t="s">
        <v>19</v>
      </c>
      <c r="C15" s="20" t="s">
        <v>20</v>
      </c>
      <c r="D15" s="31">
        <v>106263558.88253835</v>
      </c>
      <c r="E15" s="104">
        <f t="shared" si="0"/>
        <v>2.1296892215680929E-2</v>
      </c>
    </row>
    <row r="16" spans="1:6" x14ac:dyDescent="0.25">
      <c r="A16" s="21">
        <f t="shared" si="1"/>
        <v>5</v>
      </c>
      <c r="B16" s="20" t="s">
        <v>21</v>
      </c>
      <c r="C16" s="20" t="s">
        <v>22</v>
      </c>
      <c r="D16" s="31">
        <v>10465170.025552558</v>
      </c>
      <c r="E16" s="104">
        <f t="shared" si="0"/>
        <v>2.0973850339355751E-3</v>
      </c>
    </row>
    <row r="17" spans="1:5" x14ac:dyDescent="0.25">
      <c r="A17" s="21">
        <f t="shared" si="1"/>
        <v>6</v>
      </c>
      <c r="B17" s="20" t="s">
        <v>23</v>
      </c>
      <c r="C17" s="20" t="s">
        <v>24</v>
      </c>
      <c r="D17" s="31">
        <v>105095117.69155122</v>
      </c>
      <c r="E17" s="104">
        <f t="shared" si="0"/>
        <v>2.1062718183053986E-2</v>
      </c>
    </row>
    <row r="18" spans="1:5" x14ac:dyDescent="0.25">
      <c r="A18" s="21">
        <f t="shared" si="1"/>
        <v>7</v>
      </c>
      <c r="B18" s="20" t="s">
        <v>25</v>
      </c>
      <c r="D18" s="31">
        <v>8107498.3898998518</v>
      </c>
      <c r="E18" s="104">
        <f t="shared" si="0"/>
        <v>1.6248704745468181E-3</v>
      </c>
    </row>
    <row r="19" spans="1:5" x14ac:dyDescent="0.25">
      <c r="A19" s="21">
        <f t="shared" si="1"/>
        <v>8</v>
      </c>
      <c r="B19" t="s">
        <v>27</v>
      </c>
      <c r="D19" s="25">
        <f>SUM(D12:D18)</f>
        <v>4989627491.4842434</v>
      </c>
      <c r="E19" s="23">
        <f>SUM(E12:E18)</f>
        <v>0.99999999999999989</v>
      </c>
    </row>
    <row r="21" spans="1:5" ht="17.25" x14ac:dyDescent="0.25">
      <c r="B21" t="s">
        <v>173</v>
      </c>
    </row>
    <row r="22" spans="1:5" x14ac:dyDescent="0.25">
      <c r="B22"/>
    </row>
  </sheetData>
  <mergeCells count="4">
    <mergeCell ref="A1:F1"/>
    <mergeCell ref="A2:F2"/>
    <mergeCell ref="A3:F3"/>
    <mergeCell ref="A4:F4"/>
  </mergeCells>
  <printOptions horizontalCentered="1"/>
  <pageMargins left="0.45" right="0.45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37"/>
  <sheetViews>
    <sheetView zoomScale="90" zoomScaleNormal="90" workbookViewId="0">
      <pane xSplit="3" ySplit="9" topLeftCell="D10" activePane="bottomRight" state="frozenSplit"/>
      <selection activeCell="M22" sqref="M22"/>
      <selection pane="topRight" activeCell="M22" sqref="M22"/>
      <selection pane="bottomLeft" activeCell="M22" sqref="M22"/>
      <selection pane="bottomRight" activeCell="T14" sqref="T14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2.140625" bestFit="1" customWidth="1"/>
    <col min="13" max="13" width="13.28515625" bestFit="1" customWidth="1"/>
    <col min="14" max="14" width="14" bestFit="1" customWidth="1"/>
    <col min="15" max="16" width="14" customWidth="1"/>
    <col min="17" max="17" width="12.85546875" bestFit="1" customWidth="1"/>
    <col min="18" max="18" width="13.28515625" bestFit="1" customWidth="1"/>
    <col min="19" max="19" width="16.140625" bestFit="1" customWidth="1"/>
    <col min="20" max="20" width="14.5703125" customWidth="1"/>
    <col min="21" max="21" width="7.85546875" bestFit="1" customWidth="1"/>
    <col min="22" max="22" width="13.7109375" bestFit="1" customWidth="1"/>
  </cols>
  <sheetData>
    <row r="1" spans="2:21" x14ac:dyDescent="0.25"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2:21" x14ac:dyDescent="0.25">
      <c r="B2" s="63" t="s">
        <v>201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2:21" x14ac:dyDescent="0.25">
      <c r="B3" s="6" t="s">
        <v>79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x14ac:dyDescent="0.25">
      <c r="B4" s="6" t="s">
        <v>171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1" x14ac:dyDescent="0.25">
      <c r="F5" s="7"/>
      <c r="N5" s="7"/>
      <c r="O5" s="7"/>
      <c r="P5" s="7"/>
    </row>
    <row r="6" spans="2:21" x14ac:dyDescent="0.25">
      <c r="F6" s="7"/>
      <c r="G6" s="7" t="s">
        <v>73</v>
      </c>
      <c r="N6" s="7"/>
      <c r="O6" s="7"/>
      <c r="P6" s="7"/>
    </row>
    <row r="7" spans="2:21" x14ac:dyDescent="0.25">
      <c r="B7" s="7"/>
      <c r="C7" s="7"/>
      <c r="D7" s="7" t="s">
        <v>182</v>
      </c>
      <c r="E7" s="7" t="str">
        <f>D7</f>
        <v>UG-220067</v>
      </c>
      <c r="F7" s="7" t="s">
        <v>134</v>
      </c>
      <c r="G7" s="7" t="s">
        <v>80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29" t="s">
        <v>172</v>
      </c>
      <c r="T7" s="29" t="s">
        <v>81</v>
      </c>
      <c r="U7" s="7"/>
    </row>
    <row r="8" spans="2:21" x14ac:dyDescent="0.25">
      <c r="B8" s="7"/>
      <c r="C8" s="7" t="s">
        <v>82</v>
      </c>
      <c r="D8" s="7" t="s">
        <v>83</v>
      </c>
      <c r="E8" s="7" t="s">
        <v>135</v>
      </c>
      <c r="F8" s="7" t="s">
        <v>82</v>
      </c>
      <c r="G8" s="29" t="s">
        <v>183</v>
      </c>
      <c r="H8" s="7" t="s">
        <v>135</v>
      </c>
      <c r="I8" s="7" t="s">
        <v>136</v>
      </c>
      <c r="J8" s="7" t="s">
        <v>137</v>
      </c>
      <c r="K8" s="7" t="s">
        <v>138</v>
      </c>
      <c r="L8" s="7" t="s">
        <v>139</v>
      </c>
      <c r="M8" s="7" t="s">
        <v>81</v>
      </c>
      <c r="N8" s="7" t="s">
        <v>184</v>
      </c>
      <c r="O8" s="7" t="s">
        <v>185</v>
      </c>
      <c r="P8" s="7" t="s">
        <v>186</v>
      </c>
      <c r="Q8" s="7" t="s">
        <v>140</v>
      </c>
      <c r="R8" s="7" t="s">
        <v>141</v>
      </c>
      <c r="S8" s="7" t="s">
        <v>85</v>
      </c>
      <c r="T8" s="7" t="s">
        <v>6</v>
      </c>
      <c r="U8" s="7" t="s">
        <v>86</v>
      </c>
    </row>
    <row r="9" spans="2:21" ht="17.25" x14ac:dyDescent="0.25">
      <c r="B9" s="1" t="s">
        <v>8</v>
      </c>
      <c r="C9" s="1" t="s">
        <v>30</v>
      </c>
      <c r="D9" s="1" t="s">
        <v>87</v>
      </c>
      <c r="E9" s="1" t="s">
        <v>88</v>
      </c>
      <c r="F9" s="1" t="s">
        <v>89</v>
      </c>
      <c r="G9" s="70" t="s">
        <v>187</v>
      </c>
      <c r="H9" s="1" t="s">
        <v>6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6</v>
      </c>
      <c r="R9" s="1" t="s">
        <v>6</v>
      </c>
      <c r="S9" s="1" t="s">
        <v>90</v>
      </c>
      <c r="T9" s="1" t="s">
        <v>91</v>
      </c>
      <c r="U9" s="1" t="s">
        <v>91</v>
      </c>
    </row>
    <row r="10" spans="2:21" x14ac:dyDescent="0.25">
      <c r="B10" s="7" t="s">
        <v>92</v>
      </c>
      <c r="C10" s="7" t="s">
        <v>93</v>
      </c>
      <c r="D10" s="93" t="s">
        <v>94</v>
      </c>
      <c r="E10" s="30" t="s">
        <v>95</v>
      </c>
      <c r="F10" s="7" t="s">
        <v>96</v>
      </c>
      <c r="G10" s="7" t="s">
        <v>97</v>
      </c>
      <c r="H10" s="7" t="s">
        <v>98</v>
      </c>
      <c r="I10" s="7" t="s">
        <v>99</v>
      </c>
      <c r="J10" s="7" t="s">
        <v>100</v>
      </c>
      <c r="K10" s="7" t="s">
        <v>101</v>
      </c>
      <c r="L10" s="30" t="s">
        <v>102</v>
      </c>
      <c r="M10" s="7" t="s">
        <v>103</v>
      </c>
      <c r="N10" s="30" t="s">
        <v>104</v>
      </c>
      <c r="O10" s="30" t="s">
        <v>105</v>
      </c>
      <c r="P10" s="30" t="s">
        <v>106</v>
      </c>
      <c r="Q10" s="30" t="s">
        <v>107</v>
      </c>
      <c r="R10" s="30" t="s">
        <v>188</v>
      </c>
      <c r="S10" s="30" t="s">
        <v>189</v>
      </c>
      <c r="T10" s="7" t="s">
        <v>190</v>
      </c>
      <c r="U10" s="7" t="s">
        <v>191</v>
      </c>
    </row>
    <row r="11" spans="2:21" x14ac:dyDescent="0.25">
      <c r="B11" t="s">
        <v>13</v>
      </c>
      <c r="C11" s="7" t="s">
        <v>108</v>
      </c>
      <c r="D11" s="101">
        <v>620836684.05687141</v>
      </c>
      <c r="E11" s="32">
        <v>403613457.09474093</v>
      </c>
      <c r="F11" s="15">
        <f t="shared" ref="F11:F16" si="0">(E11)/D11</f>
        <v>0.6501121268436002</v>
      </c>
      <c r="G11" s="101">
        <v>589986777</v>
      </c>
      <c r="H11" s="2">
        <f>F11*G11</f>
        <v>383557558.40507084</v>
      </c>
      <c r="I11" s="32">
        <v>343873792.97000003</v>
      </c>
      <c r="J11" s="32">
        <v>23811866.32</v>
      </c>
      <c r="K11" s="32">
        <v>13959087.143820001</v>
      </c>
      <c r="L11" s="32">
        <v>1864358.21532</v>
      </c>
      <c r="M11" s="31">
        <f>'Sch. 140'!F9</f>
        <v>13935487.672740001</v>
      </c>
      <c r="N11" s="32">
        <v>1923356.8930199998</v>
      </c>
      <c r="O11" s="32">
        <v>-1002977.5208999999</v>
      </c>
      <c r="P11" s="32">
        <v>28702856.701049998</v>
      </c>
      <c r="Q11" s="32">
        <v>-808281.88448999997</v>
      </c>
      <c r="R11" s="32">
        <v>9835079.5700000003</v>
      </c>
      <c r="S11" s="5">
        <f t="shared" ref="S11:S23" si="1">SUM(H11:R11)</f>
        <v>819652184.48563099</v>
      </c>
      <c r="T11" s="31">
        <f>'Sch. 140'!H9</f>
        <v>-454289.81829000264</v>
      </c>
      <c r="U11" s="35">
        <f>T11/S11</f>
        <v>-5.5424706587598512E-4</v>
      </c>
    </row>
    <row r="12" spans="2:21" x14ac:dyDescent="0.25">
      <c r="B12" t="s">
        <v>192</v>
      </c>
      <c r="C12" s="7">
        <v>16</v>
      </c>
      <c r="D12" s="101">
        <v>8190.2669999999998</v>
      </c>
      <c r="E12" s="32">
        <v>5233.1499999999996</v>
      </c>
      <c r="F12" s="15">
        <f t="shared" si="0"/>
        <v>0.63894742381414427</v>
      </c>
      <c r="G12" s="101">
        <v>7068</v>
      </c>
      <c r="H12" s="2">
        <f t="shared" ref="H12:H23" si="2">F12*G12</f>
        <v>4516.0803915183715</v>
      </c>
      <c r="I12" s="32">
        <v>4355.16</v>
      </c>
      <c r="J12" s="32">
        <v>285.26</v>
      </c>
      <c r="K12" s="32">
        <v>167.22888</v>
      </c>
      <c r="L12" s="32"/>
      <c r="M12" s="31">
        <f>'Sch. 140'!F10</f>
        <v>166.94616000000002</v>
      </c>
      <c r="N12" s="32">
        <v>23.041679999999999</v>
      </c>
      <c r="O12" s="32">
        <v>-12.015599999999999</v>
      </c>
      <c r="P12" s="32">
        <v>343.85820000000001</v>
      </c>
      <c r="Q12" s="32">
        <v>-9.6831599999999991</v>
      </c>
      <c r="R12" s="32"/>
      <c r="S12" s="5">
        <f t="shared" si="1"/>
        <v>9835.8765515183713</v>
      </c>
      <c r="T12" s="31">
        <f>'Sch. 140'!H10</f>
        <v>-5.4423600000000363</v>
      </c>
      <c r="U12" s="35">
        <f t="shared" ref="U12:U24" si="3">T12/S12</f>
        <v>-5.5331723324240944E-4</v>
      </c>
    </row>
    <row r="13" spans="2:21" x14ac:dyDescent="0.25">
      <c r="B13" t="s">
        <v>15</v>
      </c>
      <c r="C13" s="7">
        <v>31</v>
      </c>
      <c r="D13" s="101">
        <v>222166912.14539161</v>
      </c>
      <c r="E13" s="32">
        <v>122121000.06</v>
      </c>
      <c r="F13" s="15">
        <f t="shared" si="0"/>
        <v>0.54968131339054194</v>
      </c>
      <c r="G13" s="101">
        <v>240200859</v>
      </c>
      <c r="H13" s="2">
        <f t="shared" si="2"/>
        <v>132033923.65265638</v>
      </c>
      <c r="I13" s="32">
        <v>146054132.31</v>
      </c>
      <c r="J13" s="32">
        <v>9692104.6600000001</v>
      </c>
      <c r="K13" s="32">
        <v>5683152.3239400005</v>
      </c>
      <c r="L13" s="32">
        <v>641336.29353000002</v>
      </c>
      <c r="M13" s="31">
        <f>'Sch. 140'!F11</f>
        <v>6089091.7756500002</v>
      </c>
      <c r="N13" s="32">
        <v>723004.58559000003</v>
      </c>
      <c r="O13" s="32">
        <v>-377115.34863000002</v>
      </c>
      <c r="P13" s="32">
        <v>10787420.57769</v>
      </c>
      <c r="Q13" s="32">
        <v>-353095.26273000002</v>
      </c>
      <c r="R13" s="32">
        <v>3816791.6500000004</v>
      </c>
      <c r="S13" s="5">
        <f t="shared" si="1"/>
        <v>314790747.21769637</v>
      </c>
      <c r="T13" s="31">
        <f>'Sch. 140'!H11</f>
        <v>-52844.188980000094</v>
      </c>
      <c r="U13" s="35">
        <f>T13/S13</f>
        <v>-1.6787084578269139E-4</v>
      </c>
    </row>
    <row r="14" spans="2:21" x14ac:dyDescent="0.25">
      <c r="B14" t="s">
        <v>17</v>
      </c>
      <c r="C14" s="7">
        <v>41</v>
      </c>
      <c r="D14" s="101">
        <v>62517991.156948164</v>
      </c>
      <c r="E14" s="32">
        <v>17786398.291046247</v>
      </c>
      <c r="F14" s="15">
        <f t="shared" si="0"/>
        <v>0.28450047677306872</v>
      </c>
      <c r="G14" s="101">
        <v>65142305</v>
      </c>
      <c r="H14" s="2">
        <f t="shared" si="2"/>
        <v>18533016.830596659</v>
      </c>
      <c r="I14" s="32">
        <v>37218973.969999999</v>
      </c>
      <c r="J14" s="32">
        <v>2623932.0499999998</v>
      </c>
      <c r="K14" s="32">
        <v>1541266.9362999999</v>
      </c>
      <c r="L14" s="32">
        <v>84033.573449999996</v>
      </c>
      <c r="M14" s="31">
        <f>'Sch. 140'!F12</f>
        <v>567389.4765499999</v>
      </c>
      <c r="N14" s="32">
        <v>147873.03234999999</v>
      </c>
      <c r="O14" s="32">
        <v>-48856.728750000002</v>
      </c>
      <c r="P14" s="32">
        <v>1398605.28835</v>
      </c>
      <c r="Q14" s="32">
        <v>-36479.690799999997</v>
      </c>
      <c r="R14" s="32">
        <v>-1305037.02</v>
      </c>
      <c r="S14" s="5">
        <f t="shared" si="1"/>
        <v>60724717.718046643</v>
      </c>
      <c r="T14" s="31">
        <f>'Sch. 140'!H12</f>
        <v>86639.265650000074</v>
      </c>
      <c r="U14" s="35">
        <f t="shared" si="3"/>
        <v>1.4267545228003908E-3</v>
      </c>
    </row>
    <row r="15" spans="2:21" x14ac:dyDescent="0.25">
      <c r="B15" t="s">
        <v>19</v>
      </c>
      <c r="C15" s="7">
        <v>85</v>
      </c>
      <c r="D15" s="101">
        <v>19992939.502740219</v>
      </c>
      <c r="E15" s="32">
        <v>2272313.06</v>
      </c>
      <c r="F15" s="15">
        <f t="shared" si="0"/>
        <v>0.11365577631486147</v>
      </c>
      <c r="G15" s="101">
        <v>12598584</v>
      </c>
      <c r="H15" s="2">
        <f t="shared" si="2"/>
        <v>1431901.8449879927</v>
      </c>
      <c r="I15" s="32">
        <v>6879732.1499999994</v>
      </c>
      <c r="J15" s="32">
        <v>506715.05</v>
      </c>
      <c r="K15" s="32">
        <v>259152.87288000001</v>
      </c>
      <c r="L15" s="32">
        <v>7759.8724440312508</v>
      </c>
      <c r="M15" s="31">
        <f>'Sch. 140'!F13</f>
        <v>58961.373120000004</v>
      </c>
      <c r="N15" s="32">
        <v>23181.394560000001</v>
      </c>
      <c r="O15" s="32">
        <v>-5669.3627999999999</v>
      </c>
      <c r="P15" s="32">
        <v>160883.91768000001</v>
      </c>
      <c r="Q15" s="32">
        <v>-3401.6176799999998</v>
      </c>
      <c r="R15" s="32"/>
      <c r="S15" s="5">
        <f t="shared" si="1"/>
        <v>9319217.4951920267</v>
      </c>
      <c r="T15" s="31">
        <f>'Sch. 140'!H13</f>
        <v>7685.1362400000071</v>
      </c>
      <c r="U15" s="35">
        <f t="shared" si="3"/>
        <v>8.2465467127094364E-4</v>
      </c>
    </row>
    <row r="16" spans="2:21" x14ac:dyDescent="0.25">
      <c r="B16" t="s">
        <v>21</v>
      </c>
      <c r="C16" s="7">
        <v>86</v>
      </c>
      <c r="D16" s="101">
        <v>5773170.4876905456</v>
      </c>
      <c r="E16" s="32">
        <v>1192875.52</v>
      </c>
      <c r="F16" s="15">
        <f t="shared" si="0"/>
        <v>0.20662398980654192</v>
      </c>
      <c r="G16" s="101">
        <v>5293627</v>
      </c>
      <c r="H16" s="2">
        <f t="shared" si="2"/>
        <v>1093790.331287635</v>
      </c>
      <c r="I16" s="32">
        <v>2952501.71</v>
      </c>
      <c r="J16" s="32">
        <v>213068.49</v>
      </c>
      <c r="K16" s="32">
        <v>108889.90739000001</v>
      </c>
      <c r="L16" s="32">
        <v>5928.8622399999995</v>
      </c>
      <c r="M16" s="31">
        <f>'Sch. 140'!F14</f>
        <v>40496.246550000003</v>
      </c>
      <c r="N16" s="32">
        <v>2593.8772300000001</v>
      </c>
      <c r="O16" s="32">
        <v>-1905.7057200000002</v>
      </c>
      <c r="P16" s="32">
        <v>55106.657070000001</v>
      </c>
      <c r="Q16" s="32">
        <v>-1746.8969099999999</v>
      </c>
      <c r="R16" s="32">
        <v>-87086.95</v>
      </c>
      <c r="S16" s="5">
        <f t="shared" si="1"/>
        <v>4381636.5291376347</v>
      </c>
      <c r="T16" s="31">
        <f>'Sch. 140'!H14</f>
        <v>-4870.1368400000065</v>
      </c>
      <c r="U16" s="35">
        <f t="shared" si="3"/>
        <v>-1.111488095284461E-3</v>
      </c>
    </row>
    <row r="17" spans="2:22" x14ac:dyDescent="0.25">
      <c r="B17" t="s">
        <v>23</v>
      </c>
      <c r="C17" s="7">
        <v>87</v>
      </c>
      <c r="D17" s="101">
        <v>21819455.762355208</v>
      </c>
      <c r="E17" s="32">
        <v>1509849.77</v>
      </c>
      <c r="F17" s="15">
        <f>(E17)/D17</f>
        <v>6.9197407416775353E-2</v>
      </c>
      <c r="G17" s="101">
        <v>15242340</v>
      </c>
      <c r="H17" s="2">
        <f t="shared" si="2"/>
        <v>1054730.4109650117</v>
      </c>
      <c r="I17" s="32">
        <v>8336035.75</v>
      </c>
      <c r="J17" s="32">
        <v>613046.91</v>
      </c>
      <c r="K17" s="32">
        <v>313534.9338</v>
      </c>
      <c r="L17" s="32">
        <v>4164.3606472766241</v>
      </c>
      <c r="M17" s="31">
        <f>'Sch. 140'!F15</f>
        <v>36581.616000000002</v>
      </c>
      <c r="N17" s="32">
        <v>12174.874937502707</v>
      </c>
      <c r="O17" s="32">
        <v>-3161.1885892853079</v>
      </c>
      <c r="P17" s="32">
        <v>91731.44825926199</v>
      </c>
      <c r="Q17" s="32">
        <v>-2133.9276</v>
      </c>
      <c r="R17" s="32"/>
      <c r="S17" s="5">
        <f t="shared" si="1"/>
        <v>10456705.188419769</v>
      </c>
      <c r="T17" s="31">
        <f>'Sch. 140'!H15</f>
        <v>20882.005799999999</v>
      </c>
      <c r="U17" s="35">
        <f t="shared" si="3"/>
        <v>1.9969967043850182E-3</v>
      </c>
    </row>
    <row r="18" spans="2:22" x14ac:dyDescent="0.25">
      <c r="B18" t="s">
        <v>109</v>
      </c>
      <c r="C18" s="7" t="s">
        <v>50</v>
      </c>
      <c r="D18" s="101">
        <v>36958.529999999992</v>
      </c>
      <c r="E18" s="32">
        <v>23981.98</v>
      </c>
      <c r="F18" s="15">
        <f>(E18)/D18</f>
        <v>0.64888890331947735</v>
      </c>
      <c r="G18" s="101">
        <v>35156</v>
      </c>
      <c r="H18" s="2">
        <f t="shared" si="2"/>
        <v>22812.338285099544</v>
      </c>
      <c r="I18" s="32"/>
      <c r="J18" s="32"/>
      <c r="K18" s="32"/>
      <c r="L18" s="32">
        <v>93.866520000000008</v>
      </c>
      <c r="M18" s="31">
        <f>'Sch. 140'!F16</f>
        <v>891.20460000000003</v>
      </c>
      <c r="N18" s="32">
        <v>0</v>
      </c>
      <c r="O18" s="32">
        <v>-55.194920000000003</v>
      </c>
      <c r="P18" s="32">
        <v>1578.8559599999999</v>
      </c>
      <c r="Q18" s="32">
        <v>-51.679319999999997</v>
      </c>
      <c r="R18" s="32">
        <v>539.29</v>
      </c>
      <c r="S18" s="5">
        <f t="shared" si="1"/>
        <v>25808.681125099545</v>
      </c>
      <c r="T18" s="31">
        <f>'Sch. 140'!H16</f>
        <v>-7.7343200000000252</v>
      </c>
      <c r="U18" s="35">
        <f t="shared" si="3"/>
        <v>-2.9967900965222971E-4</v>
      </c>
    </row>
    <row r="19" spans="2:22" x14ac:dyDescent="0.25">
      <c r="B19" t="s">
        <v>110</v>
      </c>
      <c r="C19" s="7" t="s">
        <v>31</v>
      </c>
      <c r="D19" s="101">
        <v>19494505.608019032</v>
      </c>
      <c r="E19" s="32">
        <v>4475398.7622919884</v>
      </c>
      <c r="F19" s="15">
        <f t="shared" ref="F19:F23" si="4">(E19)/D19</f>
        <v>0.22957231397810063</v>
      </c>
      <c r="G19" s="101">
        <v>23988005</v>
      </c>
      <c r="H19" s="2">
        <f>F19*G19</f>
        <v>5506981.8155682478</v>
      </c>
      <c r="I19" s="32"/>
      <c r="J19" s="32"/>
      <c r="K19" s="32"/>
      <c r="L19" s="32">
        <v>30944.526449999998</v>
      </c>
      <c r="M19" s="31">
        <f>'Sch. 140'!F17</f>
        <v>208935.52354999998</v>
      </c>
      <c r="N19" s="32">
        <v>0</v>
      </c>
      <c r="O19" s="32">
        <v>-17991.00375</v>
      </c>
      <c r="P19" s="32">
        <v>515022.46734999999</v>
      </c>
      <c r="Q19" s="32">
        <v>-13433.282799999999</v>
      </c>
      <c r="R19" s="32">
        <v>-408095.81</v>
      </c>
      <c r="S19" s="5">
        <f t="shared" si="1"/>
        <v>5822364.2363682473</v>
      </c>
      <c r="T19" s="31">
        <f>'Sch. 140'!H17</f>
        <v>31904.046650000033</v>
      </c>
      <c r="U19" s="35">
        <f t="shared" si="3"/>
        <v>5.4795690126560118E-3</v>
      </c>
    </row>
    <row r="20" spans="2:22" x14ac:dyDescent="0.25">
      <c r="B20" t="s">
        <v>111</v>
      </c>
      <c r="C20" s="7" t="s">
        <v>32</v>
      </c>
      <c r="D20" s="101">
        <v>68886791.019958794</v>
      </c>
      <c r="E20" s="32">
        <v>7339677.3100000005</v>
      </c>
      <c r="F20" s="15">
        <f t="shared" si="4"/>
        <v>0.1065469475544804</v>
      </c>
      <c r="G20" s="101">
        <v>73553376</v>
      </c>
      <c r="H20" s="2">
        <f t="shared" si="2"/>
        <v>7836887.6951269768</v>
      </c>
      <c r="I20" s="32"/>
      <c r="J20" s="32"/>
      <c r="K20" s="32"/>
      <c r="L20" s="32">
        <v>43320.445322470463</v>
      </c>
      <c r="M20" s="31">
        <f>'Sch. 140'!F18</f>
        <v>344229.79968</v>
      </c>
      <c r="N20" s="32">
        <v>0</v>
      </c>
      <c r="O20" s="32">
        <v>-33099.019200000002</v>
      </c>
      <c r="P20" s="32">
        <v>939276.61152000003</v>
      </c>
      <c r="Q20" s="32">
        <v>-19859.411520000001</v>
      </c>
      <c r="R20" s="32"/>
      <c r="S20" s="5">
        <f t="shared" si="1"/>
        <v>9110756.1209294479</v>
      </c>
      <c r="T20" s="31">
        <f>'Sch. 140'!H18</f>
        <v>44867.559360000014</v>
      </c>
      <c r="U20" s="35">
        <f t="shared" si="3"/>
        <v>4.9246800994847371E-3</v>
      </c>
    </row>
    <row r="21" spans="2:22" x14ac:dyDescent="0.25">
      <c r="B21" t="s">
        <v>112</v>
      </c>
      <c r="C21" s="7" t="s">
        <v>51</v>
      </c>
      <c r="D21" s="101">
        <v>1718484.3400000003</v>
      </c>
      <c r="E21" s="32">
        <v>367155.5</v>
      </c>
      <c r="F21" s="15">
        <f t="shared" si="4"/>
        <v>0.21365076856039314</v>
      </c>
      <c r="G21" s="101">
        <v>1377721</v>
      </c>
      <c r="H21" s="2">
        <f t="shared" si="2"/>
        <v>294351.15051179338</v>
      </c>
      <c r="I21" s="32"/>
      <c r="J21" s="32"/>
      <c r="K21" s="32"/>
      <c r="L21" s="32">
        <v>1543.0475199999998</v>
      </c>
      <c r="M21" s="31">
        <f>'Sch. 140'!F19</f>
        <v>10539.56565</v>
      </c>
      <c r="N21" s="32">
        <v>0</v>
      </c>
      <c r="O21" s="32">
        <v>-495.97956000000005</v>
      </c>
      <c r="P21" s="32">
        <v>14342.075610000002</v>
      </c>
      <c r="Q21" s="32">
        <v>-454.64792999999997</v>
      </c>
      <c r="R21" s="32">
        <v>-21706.97</v>
      </c>
      <c r="S21" s="5">
        <f t="shared" si="1"/>
        <v>298118.24180179345</v>
      </c>
      <c r="T21" s="31">
        <f>'Sch. 140'!H19</f>
        <v>-1267.5033199999998</v>
      </c>
      <c r="U21" s="35">
        <f t="shared" si="3"/>
        <v>-4.2516798446795836E-3</v>
      </c>
    </row>
    <row r="22" spans="2:22" x14ac:dyDescent="0.25">
      <c r="B22" t="s">
        <v>113</v>
      </c>
      <c r="C22" s="7" t="s">
        <v>33</v>
      </c>
      <c r="D22" s="101">
        <v>97500425.645479575</v>
      </c>
      <c r="E22" s="32">
        <v>4790056.76</v>
      </c>
      <c r="F22" s="15">
        <f>(E22)/D22</f>
        <v>4.9128572806616068E-2</v>
      </c>
      <c r="G22" s="101">
        <v>104134277</v>
      </c>
      <c r="H22" s="2">
        <f t="shared" si="2"/>
        <v>5115968.4092588248</v>
      </c>
      <c r="I22" s="32"/>
      <c r="J22" s="32"/>
      <c r="K22" s="32"/>
      <c r="L22" s="32">
        <v>23102.005387580488</v>
      </c>
      <c r="M22" s="31">
        <f>'Sch. 140'!F20</f>
        <v>249922.26480000003</v>
      </c>
      <c r="N22" s="32">
        <v>0</v>
      </c>
      <c r="O22" s="32">
        <v>-15560.100023094892</v>
      </c>
      <c r="P22" s="32">
        <v>450960.98181499314</v>
      </c>
      <c r="Q22" s="32">
        <v>-14578.798779999999</v>
      </c>
      <c r="R22" s="32"/>
      <c r="S22" s="5">
        <f t="shared" si="1"/>
        <v>5809814.7624583049</v>
      </c>
      <c r="T22" s="31">
        <f>'Sch. 140'!H20</f>
        <v>142663.95948999995</v>
      </c>
      <c r="U22" s="35">
        <f t="shared" si="3"/>
        <v>2.4555681260590587E-2</v>
      </c>
    </row>
    <row r="23" spans="2:22" x14ac:dyDescent="0.25">
      <c r="B23" t="s">
        <v>25</v>
      </c>
      <c r="D23" s="101">
        <v>32154478.538398605</v>
      </c>
      <c r="E23" s="32">
        <v>1699064.4523564125</v>
      </c>
      <c r="F23" s="33">
        <f t="shared" si="4"/>
        <v>5.2840678175744761E-2</v>
      </c>
      <c r="G23" s="101">
        <v>37176164</v>
      </c>
      <c r="H23" s="2">
        <f t="shared" si="2"/>
        <v>1964413.717732708</v>
      </c>
      <c r="I23" s="32"/>
      <c r="J23" s="32"/>
      <c r="K23" s="32"/>
      <c r="L23" s="32"/>
      <c r="M23" s="31">
        <f>'Sch. 140'!F21</f>
        <v>43867.873520000001</v>
      </c>
      <c r="N23" s="32">
        <v>0</v>
      </c>
      <c r="O23" s="32">
        <v>0</v>
      </c>
      <c r="P23" s="32">
        <v>0</v>
      </c>
      <c r="Q23" s="32">
        <v>-2602.3314799999998</v>
      </c>
      <c r="R23" s="32"/>
      <c r="S23" s="5">
        <f t="shared" si="1"/>
        <v>2005679.2597727079</v>
      </c>
      <c r="T23" s="31">
        <f>'Sch. 140'!H21</f>
        <v>-8922.2793600000005</v>
      </c>
      <c r="U23" s="35">
        <f t="shared" si="3"/>
        <v>-4.4485075649688434E-3</v>
      </c>
    </row>
    <row r="24" spans="2:22" x14ac:dyDescent="0.25">
      <c r="B24" t="s">
        <v>27</v>
      </c>
      <c r="D24" s="9">
        <f>SUM(D11:D23)</f>
        <v>1172906987.060853</v>
      </c>
      <c r="E24" s="10">
        <f>SUM(E11:E23)</f>
        <v>567196461.71043551</v>
      </c>
      <c r="F24" s="15">
        <f t="shared" ref="F24" si="5">(E24)/D24</f>
        <v>0.48358179119706113</v>
      </c>
      <c r="G24" s="9">
        <f>SUM(G11:G23)</f>
        <v>1168736259</v>
      </c>
      <c r="H24" s="10">
        <f>SUM(H11:H23)</f>
        <v>558450852.68243957</v>
      </c>
      <c r="I24" s="10">
        <f t="shared" ref="I24:K24" si="6">SUM(I11:I23)</f>
        <v>545319524.0200001</v>
      </c>
      <c r="J24" s="10">
        <f t="shared" si="6"/>
        <v>37461018.739999995</v>
      </c>
      <c r="K24" s="10">
        <f t="shared" si="6"/>
        <v>21865251.347009998</v>
      </c>
      <c r="L24" s="10">
        <f>SUM(L11:L23)</f>
        <v>2706585.0688313586</v>
      </c>
      <c r="M24" s="10">
        <f>SUM(M11:M23)</f>
        <v>21586561.338570006</v>
      </c>
      <c r="N24" s="10">
        <f>SUM(N11:N23)</f>
        <v>2832207.6993675027</v>
      </c>
      <c r="O24" s="10">
        <f t="shared" ref="O24:P24" si="7">SUM(O11:O23)</f>
        <v>-1506899.1684423797</v>
      </c>
      <c r="P24" s="10">
        <f t="shared" si="7"/>
        <v>43118129.440554254</v>
      </c>
      <c r="Q24" s="10">
        <f>SUM(Q11:Q23)</f>
        <v>-1256129.1151999999</v>
      </c>
      <c r="R24" s="10">
        <f t="shared" ref="R24:S24" si="8">SUM(R11:R23)</f>
        <v>11830483.76</v>
      </c>
      <c r="S24" s="34">
        <f t="shared" si="8"/>
        <v>1242407585.8131306</v>
      </c>
      <c r="T24" s="10">
        <f>SUM(T11:T23)</f>
        <v>-187565.13028000266</v>
      </c>
      <c r="U24" s="89">
        <f t="shared" si="3"/>
        <v>-1.5096908005213529E-4</v>
      </c>
      <c r="V24" s="2"/>
    </row>
    <row r="25" spans="2:22" x14ac:dyDescent="0.25">
      <c r="D25" s="11"/>
      <c r="E25" s="2"/>
      <c r="G25" s="11"/>
      <c r="L25" s="2"/>
      <c r="Q25" s="2"/>
      <c r="R25" s="2"/>
      <c r="S25" s="2"/>
      <c r="U25" s="35"/>
    </row>
    <row r="26" spans="2:22" s="39" customFormat="1" x14ac:dyDescent="0.25">
      <c r="B26" s="36" t="s">
        <v>114</v>
      </c>
      <c r="C26" s="94"/>
      <c r="D26" s="37"/>
      <c r="E26" s="38"/>
      <c r="T26" s="38"/>
      <c r="U26" s="40"/>
    </row>
    <row r="27" spans="2:22" s="39" customFormat="1" x14ac:dyDescent="0.25">
      <c r="B27" s="43" t="s">
        <v>13</v>
      </c>
      <c r="C27" s="90" t="s">
        <v>142</v>
      </c>
      <c r="D27" s="71">
        <f>D11+D12</f>
        <v>620844874.32387137</v>
      </c>
      <c r="E27" s="41">
        <f>E11+E12</f>
        <v>403618690.2447409</v>
      </c>
      <c r="F27" s="15">
        <f t="shared" ref="F27:F34" si="9">(E27)/D27</f>
        <v>0.65011197955737365</v>
      </c>
      <c r="G27" s="71">
        <f>G11+G12</f>
        <v>589993845</v>
      </c>
      <c r="H27" s="41">
        <f>H11+H12</f>
        <v>383562074.48546237</v>
      </c>
      <c r="I27" s="41">
        <f t="shared" ref="I27:R27" si="10">I11+I12</f>
        <v>343878148.13000005</v>
      </c>
      <c r="J27" s="41">
        <f t="shared" si="10"/>
        <v>23812151.580000002</v>
      </c>
      <c r="K27" s="41">
        <f t="shared" si="10"/>
        <v>13959254.3727</v>
      </c>
      <c r="L27" s="41">
        <f t="shared" si="10"/>
        <v>1864358.21532</v>
      </c>
      <c r="M27" s="41">
        <f t="shared" si="10"/>
        <v>13935654.618900001</v>
      </c>
      <c r="N27" s="41">
        <f t="shared" si="10"/>
        <v>1923379.9346999999</v>
      </c>
      <c r="O27" s="41">
        <f t="shared" si="10"/>
        <v>-1002989.5364999999</v>
      </c>
      <c r="P27" s="41">
        <f t="shared" si="10"/>
        <v>28703200.559249997</v>
      </c>
      <c r="Q27" s="41">
        <f t="shared" si="10"/>
        <v>-808291.56764999998</v>
      </c>
      <c r="R27" s="41">
        <f t="shared" si="10"/>
        <v>9835079.5700000003</v>
      </c>
      <c r="S27" s="41">
        <f>S11+S12</f>
        <v>819662020.3621825</v>
      </c>
      <c r="T27" s="2">
        <f>SUM(T11:T12)</f>
        <v>-454295.26065000263</v>
      </c>
      <c r="U27" s="35">
        <f t="shared" ref="U27:U34" si="11">T27/S27</f>
        <v>-5.5424705471807036E-4</v>
      </c>
      <c r="V27" s="42"/>
    </row>
    <row r="28" spans="2:22" s="39" customFormat="1" x14ac:dyDescent="0.25">
      <c r="B28" s="43" t="s">
        <v>143</v>
      </c>
      <c r="C28" s="90" t="s">
        <v>144</v>
      </c>
      <c r="D28" s="71">
        <f>D13+D18</f>
        <v>222203870.67539161</v>
      </c>
      <c r="E28" s="41">
        <f>E13+E18</f>
        <v>122144982.04000001</v>
      </c>
      <c r="F28" s="15">
        <f t="shared" si="9"/>
        <v>0.54969781430331843</v>
      </c>
      <c r="G28" s="71">
        <f t="shared" ref="G28:R32" si="12">G13+G18</f>
        <v>240236015</v>
      </c>
      <c r="H28" s="41">
        <f t="shared" si="12"/>
        <v>132056735.99094148</v>
      </c>
      <c r="I28" s="41">
        <f t="shared" si="12"/>
        <v>146054132.31</v>
      </c>
      <c r="J28" s="41">
        <f t="shared" si="12"/>
        <v>9692104.6600000001</v>
      </c>
      <c r="K28" s="41">
        <f t="shared" si="12"/>
        <v>5683152.3239400005</v>
      </c>
      <c r="L28" s="41">
        <f t="shared" si="12"/>
        <v>641430.16005000006</v>
      </c>
      <c r="M28" s="41">
        <f t="shared" si="12"/>
        <v>6089982.98025</v>
      </c>
      <c r="N28" s="41">
        <f t="shared" si="12"/>
        <v>723004.58559000003</v>
      </c>
      <c r="O28" s="41">
        <f t="shared" si="12"/>
        <v>-377170.54355</v>
      </c>
      <c r="P28" s="41">
        <f t="shared" si="12"/>
        <v>10788999.43365</v>
      </c>
      <c r="Q28" s="41">
        <f t="shared" si="12"/>
        <v>-353146.94205000001</v>
      </c>
      <c r="R28" s="41">
        <f t="shared" si="12"/>
        <v>3817330.9400000004</v>
      </c>
      <c r="S28" s="41">
        <f>S13+S18</f>
        <v>314816555.89882147</v>
      </c>
      <c r="T28" s="2">
        <f>SUM(T13,T18)</f>
        <v>-52851.923300000097</v>
      </c>
      <c r="U28" s="35">
        <f t="shared" si="11"/>
        <v>-1.6788165142428568E-4</v>
      </c>
    </row>
    <row r="29" spans="2:22" s="39" customFormat="1" x14ac:dyDescent="0.25">
      <c r="B29" s="43" t="s">
        <v>145</v>
      </c>
      <c r="C29" s="90" t="s">
        <v>146</v>
      </c>
      <c r="D29" s="71">
        <f t="shared" ref="D29:E32" si="13">D14+D19</f>
        <v>82012496.764967203</v>
      </c>
      <c r="E29" s="41">
        <f t="shared" si="13"/>
        <v>22261797.053338237</v>
      </c>
      <c r="F29" s="15">
        <f t="shared" si="9"/>
        <v>0.27144396197492282</v>
      </c>
      <c r="G29" s="71">
        <f t="shared" si="12"/>
        <v>89130310</v>
      </c>
      <c r="H29" s="41">
        <f t="shared" si="12"/>
        <v>24039998.646164909</v>
      </c>
      <c r="I29" s="41">
        <f t="shared" si="12"/>
        <v>37218973.969999999</v>
      </c>
      <c r="J29" s="41">
        <f t="shared" si="12"/>
        <v>2623932.0499999998</v>
      </c>
      <c r="K29" s="41">
        <f t="shared" si="12"/>
        <v>1541266.9362999999</v>
      </c>
      <c r="L29" s="41">
        <f t="shared" si="12"/>
        <v>114978.0999</v>
      </c>
      <c r="M29" s="41">
        <f t="shared" si="12"/>
        <v>776325.00009999983</v>
      </c>
      <c r="N29" s="41">
        <f t="shared" si="12"/>
        <v>147873.03234999999</v>
      </c>
      <c r="O29" s="41">
        <f t="shared" si="12"/>
        <v>-66847.732499999998</v>
      </c>
      <c r="P29" s="41">
        <f t="shared" si="12"/>
        <v>1913627.7557000001</v>
      </c>
      <c r="Q29" s="41">
        <f t="shared" si="12"/>
        <v>-49912.973599999998</v>
      </c>
      <c r="R29" s="41">
        <f t="shared" si="12"/>
        <v>-1713132.83</v>
      </c>
      <c r="S29" s="41">
        <f>S14+S19</f>
        <v>66547081.954414889</v>
      </c>
      <c r="T29" s="2">
        <f>SUM(T14,T19)</f>
        <v>118543.31230000011</v>
      </c>
      <c r="U29" s="35">
        <f t="shared" si="11"/>
        <v>1.7813450089547566E-3</v>
      </c>
    </row>
    <row r="30" spans="2:22" s="39" customFormat="1" x14ac:dyDescent="0.25">
      <c r="B30" s="43" t="s">
        <v>19</v>
      </c>
      <c r="C30" s="90" t="s">
        <v>147</v>
      </c>
      <c r="D30" s="71">
        <f t="shared" si="13"/>
        <v>88879730.522699013</v>
      </c>
      <c r="E30" s="41">
        <f t="shared" si="13"/>
        <v>9611990.370000001</v>
      </c>
      <c r="F30" s="15">
        <f t="shared" si="9"/>
        <v>0.10814603412355298</v>
      </c>
      <c r="G30" s="71">
        <f t="shared" si="12"/>
        <v>86151960</v>
      </c>
      <c r="H30" s="41">
        <f t="shared" si="12"/>
        <v>9268789.540114969</v>
      </c>
      <c r="I30" s="41">
        <f t="shared" si="12"/>
        <v>6879732.1499999994</v>
      </c>
      <c r="J30" s="41">
        <f t="shared" si="12"/>
        <v>506715.05</v>
      </c>
      <c r="K30" s="41">
        <f t="shared" si="12"/>
        <v>259152.87288000001</v>
      </c>
      <c r="L30" s="41">
        <f t="shared" si="12"/>
        <v>51080.317766501714</v>
      </c>
      <c r="M30" s="41">
        <f t="shared" si="12"/>
        <v>403191.1728</v>
      </c>
      <c r="N30" s="41">
        <f t="shared" si="12"/>
        <v>23181.394560000001</v>
      </c>
      <c r="O30" s="41">
        <f t="shared" si="12"/>
        <v>-38768.382000000005</v>
      </c>
      <c r="P30" s="41">
        <f t="shared" si="12"/>
        <v>1100160.5292</v>
      </c>
      <c r="Q30" s="41">
        <f t="shared" si="12"/>
        <v>-23261.029200000001</v>
      </c>
      <c r="R30" s="41">
        <f t="shared" si="12"/>
        <v>0</v>
      </c>
      <c r="S30" s="41">
        <f>S15+S20</f>
        <v>18429973.616121475</v>
      </c>
      <c r="T30" s="2">
        <f>SUM(T15,T20)</f>
        <v>52552.695600000021</v>
      </c>
      <c r="U30" s="35">
        <f t="shared" si="11"/>
        <v>2.8514796979432441E-3</v>
      </c>
    </row>
    <row r="31" spans="2:22" s="39" customFormat="1" x14ac:dyDescent="0.25">
      <c r="B31" s="43" t="s">
        <v>148</v>
      </c>
      <c r="C31" s="90" t="s">
        <v>149</v>
      </c>
      <c r="D31" s="71">
        <f t="shared" si="13"/>
        <v>7491654.8276905455</v>
      </c>
      <c r="E31" s="41">
        <f t="shared" si="13"/>
        <v>1560031.02</v>
      </c>
      <c r="F31" s="15">
        <f t="shared" si="9"/>
        <v>0.20823583785972574</v>
      </c>
      <c r="G31" s="71">
        <f t="shared" si="12"/>
        <v>6671348</v>
      </c>
      <c r="H31" s="41">
        <f t="shared" si="12"/>
        <v>1388141.4817994284</v>
      </c>
      <c r="I31" s="41">
        <f t="shared" si="12"/>
        <v>2952501.71</v>
      </c>
      <c r="J31" s="41">
        <f t="shared" si="12"/>
        <v>213068.49</v>
      </c>
      <c r="K31" s="41">
        <f t="shared" si="12"/>
        <v>108889.90739000001</v>
      </c>
      <c r="L31" s="41">
        <f t="shared" si="12"/>
        <v>7471.9097599999996</v>
      </c>
      <c r="M31" s="41">
        <f t="shared" si="12"/>
        <v>51035.8122</v>
      </c>
      <c r="N31" s="41">
        <f t="shared" si="12"/>
        <v>2593.8772300000001</v>
      </c>
      <c r="O31" s="41">
        <f t="shared" si="12"/>
        <v>-2401.6852800000001</v>
      </c>
      <c r="P31" s="41">
        <f t="shared" si="12"/>
        <v>69448.732680000001</v>
      </c>
      <c r="Q31" s="41">
        <f t="shared" si="12"/>
        <v>-2201.54484</v>
      </c>
      <c r="R31" s="41">
        <f t="shared" si="12"/>
        <v>-108793.92</v>
      </c>
      <c r="S31" s="41">
        <f>S16+S21</f>
        <v>4679754.7709394284</v>
      </c>
      <c r="T31" s="2">
        <f>SUM(T16,T21)</f>
        <v>-6137.6401600000063</v>
      </c>
      <c r="U31" s="35">
        <f t="shared" si="11"/>
        <v>-1.3115302960133351E-3</v>
      </c>
    </row>
    <row r="32" spans="2:22" s="39" customFormat="1" x14ac:dyDescent="0.25">
      <c r="B32" s="43" t="s">
        <v>150</v>
      </c>
      <c r="C32" s="90" t="s">
        <v>151</v>
      </c>
      <c r="D32" s="71">
        <f t="shared" si="13"/>
        <v>119319881.40783478</v>
      </c>
      <c r="E32" s="41">
        <f t="shared" si="13"/>
        <v>6299906.5299999993</v>
      </c>
      <c r="F32" s="15">
        <f t="shared" si="9"/>
        <v>5.2798464561550719E-2</v>
      </c>
      <c r="G32" s="71">
        <f t="shared" si="12"/>
        <v>119376617</v>
      </c>
      <c r="H32" s="41">
        <f t="shared" si="12"/>
        <v>6170698.8202238362</v>
      </c>
      <c r="I32" s="41">
        <f t="shared" si="12"/>
        <v>8336035.75</v>
      </c>
      <c r="J32" s="41">
        <f t="shared" si="12"/>
        <v>613046.91</v>
      </c>
      <c r="K32" s="41">
        <f t="shared" si="12"/>
        <v>313534.9338</v>
      </c>
      <c r="L32" s="41">
        <f t="shared" si="12"/>
        <v>27266.366034857114</v>
      </c>
      <c r="M32" s="41">
        <f t="shared" si="12"/>
        <v>286503.88080000004</v>
      </c>
      <c r="N32" s="41">
        <f t="shared" si="12"/>
        <v>12174.874937502707</v>
      </c>
      <c r="O32" s="41">
        <f t="shared" si="12"/>
        <v>-18721.288612380202</v>
      </c>
      <c r="P32" s="41">
        <f t="shared" si="12"/>
        <v>542692.4300742551</v>
      </c>
      <c r="Q32" s="41">
        <f t="shared" si="12"/>
        <v>-16712.72638</v>
      </c>
      <c r="R32" s="41">
        <f t="shared" si="12"/>
        <v>0</v>
      </c>
      <c r="S32" s="41">
        <f>S17+S22</f>
        <v>16266519.950878073</v>
      </c>
      <c r="T32" s="2">
        <f>SUM(T17,T22)</f>
        <v>163545.96528999996</v>
      </c>
      <c r="U32" s="35">
        <f t="shared" si="11"/>
        <v>1.0054145925734514E-2</v>
      </c>
    </row>
    <row r="33" spans="2:21" s="39" customFormat="1" x14ac:dyDescent="0.25">
      <c r="B33" s="43" t="s">
        <v>25</v>
      </c>
      <c r="C33" s="43"/>
      <c r="D33" s="71">
        <f>D23</f>
        <v>32154478.538398605</v>
      </c>
      <c r="E33" s="41">
        <f>E23</f>
        <v>1699064.4523564125</v>
      </c>
      <c r="F33" s="15">
        <f t="shared" si="9"/>
        <v>5.2840678175744761E-2</v>
      </c>
      <c r="G33" s="71">
        <f>G23</f>
        <v>37176164</v>
      </c>
      <c r="H33" s="41">
        <f>H23</f>
        <v>1964413.717732708</v>
      </c>
      <c r="I33" s="41">
        <f t="shared" ref="I33:R33" si="14">I23</f>
        <v>0</v>
      </c>
      <c r="J33" s="41">
        <f t="shared" si="14"/>
        <v>0</v>
      </c>
      <c r="K33" s="41">
        <f t="shared" si="14"/>
        <v>0</v>
      </c>
      <c r="L33" s="41">
        <f t="shared" si="14"/>
        <v>0</v>
      </c>
      <c r="M33" s="41">
        <f t="shared" si="14"/>
        <v>43867.873520000001</v>
      </c>
      <c r="N33" s="41">
        <f t="shared" si="14"/>
        <v>0</v>
      </c>
      <c r="O33" s="41">
        <f t="shared" si="14"/>
        <v>0</v>
      </c>
      <c r="P33" s="41">
        <f t="shared" si="14"/>
        <v>0</v>
      </c>
      <c r="Q33" s="41">
        <f t="shared" si="14"/>
        <v>-2602.3314799999998</v>
      </c>
      <c r="R33" s="41">
        <f t="shared" si="14"/>
        <v>0</v>
      </c>
      <c r="S33" s="41">
        <f>S23</f>
        <v>2005679.2597727079</v>
      </c>
      <c r="T33" s="2">
        <f>T23</f>
        <v>-8922.2793600000005</v>
      </c>
      <c r="U33" s="35">
        <f t="shared" si="11"/>
        <v>-4.4485075649688434E-3</v>
      </c>
    </row>
    <row r="34" spans="2:21" s="39" customFormat="1" x14ac:dyDescent="0.25">
      <c r="B34" s="43" t="s">
        <v>27</v>
      </c>
      <c r="C34" s="43"/>
      <c r="D34" s="73">
        <f>SUM(D27:D33)</f>
        <v>1172906987.0608532</v>
      </c>
      <c r="E34" s="44">
        <f>SUM(E27:E33)</f>
        <v>567196461.71043563</v>
      </c>
      <c r="F34" s="72">
        <f t="shared" si="9"/>
        <v>0.48358179119706113</v>
      </c>
      <c r="G34" s="73">
        <f>SUM(G27:G33)</f>
        <v>1168736259</v>
      </c>
      <c r="H34" s="44">
        <f>SUM(H27:H33)</f>
        <v>558450852.68243968</v>
      </c>
      <c r="I34" s="44">
        <f t="shared" ref="I34:R34" si="15">SUM(I27:I33)</f>
        <v>545319524.0200001</v>
      </c>
      <c r="J34" s="44">
        <f t="shared" si="15"/>
        <v>37461018.739999995</v>
      </c>
      <c r="K34" s="44">
        <f t="shared" si="15"/>
        <v>21865251.347009998</v>
      </c>
      <c r="L34" s="44">
        <f t="shared" si="15"/>
        <v>2706585.0688313586</v>
      </c>
      <c r="M34" s="44">
        <f t="shared" si="15"/>
        <v>21586561.338570006</v>
      </c>
      <c r="N34" s="44">
        <f t="shared" si="15"/>
        <v>2832207.6993675027</v>
      </c>
      <c r="O34" s="44">
        <f t="shared" si="15"/>
        <v>-1506899.1684423801</v>
      </c>
      <c r="P34" s="44">
        <f t="shared" si="15"/>
        <v>43118129.440554254</v>
      </c>
      <c r="Q34" s="44">
        <f t="shared" si="15"/>
        <v>-1256129.1151999999</v>
      </c>
      <c r="R34" s="44">
        <f t="shared" si="15"/>
        <v>11830483.760000002</v>
      </c>
      <c r="S34" s="44">
        <f>SUM(S27:S33)</f>
        <v>1242407585.8131306</v>
      </c>
      <c r="T34" s="10">
        <f>SUM(T27:T33)</f>
        <v>-187565.1302800026</v>
      </c>
      <c r="U34" s="89">
        <f t="shared" si="11"/>
        <v>-1.5096908005213523E-4</v>
      </c>
    </row>
    <row r="35" spans="2:21" s="39" customFormat="1" x14ac:dyDescent="0.25">
      <c r="T35" s="45"/>
    </row>
    <row r="36" spans="2:21" ht="17.25" x14ac:dyDescent="0.25">
      <c r="B36" t="s">
        <v>193</v>
      </c>
    </row>
    <row r="37" spans="2:21" ht="17.25" x14ac:dyDescent="0.25">
      <c r="B37" t="s">
        <v>194</v>
      </c>
    </row>
  </sheetData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46"/>
  <sheetViews>
    <sheetView zoomScale="90" zoomScaleNormal="90" workbookViewId="0">
      <selection activeCell="G18" sqref="G18"/>
    </sheetView>
  </sheetViews>
  <sheetFormatPr defaultColWidth="9.140625" defaultRowHeight="15" x14ac:dyDescent="0.25"/>
  <cols>
    <col min="1" max="1" width="2.140625" style="46" customWidth="1"/>
    <col min="2" max="2" width="2.42578125" style="46" customWidth="1"/>
    <col min="3" max="3" width="34.85546875" style="46" customWidth="1"/>
    <col min="4" max="5" width="11.85546875" style="46" customWidth="1"/>
    <col min="6" max="6" width="2.7109375" style="46" customWidth="1"/>
    <col min="7" max="8" width="11.85546875" style="46" customWidth="1"/>
    <col min="9" max="16384" width="9.140625" style="46"/>
  </cols>
  <sheetData>
    <row r="1" spans="2:8" x14ac:dyDescent="0.25">
      <c r="B1" s="63" t="s">
        <v>0</v>
      </c>
      <c r="C1" s="63"/>
      <c r="D1" s="63"/>
      <c r="E1" s="63"/>
      <c r="F1" s="63"/>
      <c r="G1" s="63"/>
      <c r="H1" s="63"/>
    </row>
    <row r="2" spans="2:8" x14ac:dyDescent="0.25">
      <c r="B2" s="63" t="str">
        <f>'Rate Impacts Sch 140'!B2</f>
        <v>2023 Gas Schedule 140 Property Tax Filing</v>
      </c>
      <c r="C2" s="63"/>
      <c r="D2" s="63"/>
      <c r="E2" s="63"/>
      <c r="F2" s="63"/>
      <c r="G2" s="63"/>
      <c r="H2" s="63"/>
    </row>
    <row r="3" spans="2:8" x14ac:dyDescent="0.25">
      <c r="B3" s="63" t="s">
        <v>115</v>
      </c>
      <c r="C3" s="63"/>
      <c r="D3" s="63"/>
      <c r="E3" s="63"/>
      <c r="F3" s="63"/>
      <c r="G3" s="63"/>
      <c r="H3" s="63"/>
    </row>
    <row r="4" spans="2:8" x14ac:dyDescent="0.25">
      <c r="B4" s="63" t="str">
        <f>'Rate Impacts Sch 140'!B4</f>
        <v>Proposed Rates Effective May 1, 2023</v>
      </c>
      <c r="C4" s="63"/>
      <c r="D4" s="63"/>
      <c r="E4" s="63"/>
      <c r="F4" s="63"/>
      <c r="G4" s="63"/>
      <c r="H4" s="63"/>
    </row>
    <row r="6" spans="2:8" x14ac:dyDescent="0.25">
      <c r="G6" s="63" t="s">
        <v>152</v>
      </c>
      <c r="H6" s="63"/>
    </row>
    <row r="7" spans="2:8" x14ac:dyDescent="0.25">
      <c r="D7" s="47" t="s">
        <v>116</v>
      </c>
      <c r="E7" s="47"/>
      <c r="F7" s="48"/>
      <c r="G7" s="47" t="s">
        <v>153</v>
      </c>
      <c r="H7" s="47"/>
    </row>
    <row r="8" spans="2:8" ht="17.25" x14ac:dyDescent="0.25">
      <c r="D8" s="49" t="s">
        <v>117</v>
      </c>
      <c r="E8" s="49" t="s">
        <v>118</v>
      </c>
      <c r="F8" s="50"/>
      <c r="G8" s="49" t="s">
        <v>119</v>
      </c>
      <c r="H8" s="49" t="s">
        <v>118</v>
      </c>
    </row>
    <row r="9" spans="2:8" x14ac:dyDescent="0.25">
      <c r="B9" s="46" t="s">
        <v>120</v>
      </c>
      <c r="D9" s="51">
        <v>64</v>
      </c>
      <c r="E9" s="52"/>
      <c r="F9" s="51"/>
      <c r="G9" s="51">
        <v>64</v>
      </c>
      <c r="H9" s="52"/>
    </row>
    <row r="10" spans="2:8" x14ac:dyDescent="0.25">
      <c r="D10" s="51"/>
      <c r="E10" s="52"/>
      <c r="F10" s="51"/>
      <c r="G10" s="51"/>
      <c r="H10" s="52"/>
    </row>
    <row r="11" spans="2:8" x14ac:dyDescent="0.25">
      <c r="B11" s="46" t="s">
        <v>121</v>
      </c>
      <c r="D11" s="51"/>
      <c r="E11" s="52"/>
      <c r="F11" s="51"/>
      <c r="G11" s="51"/>
      <c r="H11" s="52"/>
    </row>
    <row r="12" spans="2:8" x14ac:dyDescent="0.25">
      <c r="C12" s="46" t="s">
        <v>154</v>
      </c>
      <c r="D12" s="108">
        <v>12.5</v>
      </c>
      <c r="E12" s="52">
        <f>D12</f>
        <v>12.5</v>
      </c>
      <c r="F12" s="53"/>
      <c r="G12" s="54">
        <f>$D$12</f>
        <v>12.5</v>
      </c>
      <c r="H12" s="52">
        <f>G12</f>
        <v>12.5</v>
      </c>
    </row>
    <row r="13" spans="2:8" x14ac:dyDescent="0.25">
      <c r="C13" s="46" t="s">
        <v>26</v>
      </c>
      <c r="D13" s="55">
        <f>SUM(D12:D12)</f>
        <v>12.5</v>
      </c>
      <c r="E13" s="55">
        <f>SUM(E12:E12)</f>
        <v>12.5</v>
      </c>
      <c r="F13" s="53"/>
      <c r="G13" s="55">
        <f>SUM(G12:G12)</f>
        <v>12.5</v>
      </c>
      <c r="H13" s="55">
        <f>SUM(H12:H12)</f>
        <v>12.5</v>
      </c>
    </row>
    <row r="14" spans="2:8" x14ac:dyDescent="0.25">
      <c r="D14" s="53"/>
      <c r="E14" s="52"/>
      <c r="F14" s="53"/>
      <c r="G14" s="54"/>
      <c r="H14" s="52"/>
    </row>
    <row r="15" spans="2:8" x14ac:dyDescent="0.25">
      <c r="B15" s="46" t="s">
        <v>122</v>
      </c>
      <c r="E15" s="52"/>
      <c r="H15" s="52"/>
    </row>
    <row r="16" spans="2:8" x14ac:dyDescent="0.25">
      <c r="C16" s="46" t="s">
        <v>155</v>
      </c>
      <c r="D16" s="109">
        <v>0.45612999999999998</v>
      </c>
      <c r="E16" s="52"/>
      <c r="F16" s="57"/>
      <c r="G16" s="58">
        <f>$D$16</f>
        <v>0.45612999999999998</v>
      </c>
      <c r="H16" s="52"/>
    </row>
    <row r="17" spans="3:8" x14ac:dyDescent="0.25">
      <c r="C17" s="46" t="s">
        <v>156</v>
      </c>
      <c r="D17" s="109">
        <v>3.16E-3</v>
      </c>
      <c r="E17" s="52"/>
      <c r="F17" s="57"/>
      <c r="G17" s="59">
        <f>$D$17</f>
        <v>3.16E-3</v>
      </c>
      <c r="H17" s="52"/>
    </row>
    <row r="18" spans="3:8" x14ac:dyDescent="0.25">
      <c r="C18" s="46" t="s">
        <v>157</v>
      </c>
      <c r="D18" s="56">
        <f>'Sch. 140'!$D$9</f>
        <v>2.3620000000000002E-2</v>
      </c>
      <c r="E18" s="52"/>
      <c r="F18" s="57"/>
      <c r="G18" s="56">
        <f>'Sch. 140'!$E$9</f>
        <v>2.2849999999999999E-2</v>
      </c>
      <c r="H18" s="52"/>
    </row>
    <row r="19" spans="3:8" x14ac:dyDescent="0.25">
      <c r="C19" s="46" t="s">
        <v>195</v>
      </c>
      <c r="D19" s="109">
        <v>3.2599999999999999E-3</v>
      </c>
      <c r="E19" s="52"/>
      <c r="F19" s="57"/>
      <c r="G19" s="59">
        <f>$D$19</f>
        <v>3.2599999999999999E-3</v>
      </c>
      <c r="H19" s="52"/>
    </row>
    <row r="20" spans="3:8" x14ac:dyDescent="0.25">
      <c r="C20" s="46" t="s">
        <v>196</v>
      </c>
      <c r="D20" s="109">
        <v>-1.6999999999999999E-3</v>
      </c>
      <c r="E20" s="52"/>
      <c r="F20" s="57"/>
      <c r="G20" s="59">
        <f>$D$20</f>
        <v>-1.6999999999999999E-3</v>
      </c>
      <c r="H20" s="52"/>
    </row>
    <row r="21" spans="3:8" x14ac:dyDescent="0.25">
      <c r="C21" s="46" t="s">
        <v>197</v>
      </c>
      <c r="D21" s="109">
        <v>4.8649999999999999E-2</v>
      </c>
      <c r="E21" s="52"/>
      <c r="F21" s="57"/>
      <c r="G21" s="59">
        <f>$D$21</f>
        <v>4.8649999999999999E-2</v>
      </c>
      <c r="H21" s="52"/>
    </row>
    <row r="22" spans="3:8" x14ac:dyDescent="0.25">
      <c r="C22" s="46" t="s">
        <v>158</v>
      </c>
      <c r="D22" s="109">
        <v>0</v>
      </c>
      <c r="E22" s="52"/>
      <c r="F22" s="57"/>
      <c r="G22" s="58">
        <f>$D$22</f>
        <v>0</v>
      </c>
      <c r="H22" s="52"/>
    </row>
    <row r="23" spans="3:8" x14ac:dyDescent="0.25">
      <c r="C23" s="46" t="s">
        <v>159</v>
      </c>
      <c r="D23" s="109">
        <v>-1.3699999999999999E-3</v>
      </c>
      <c r="E23" s="52"/>
      <c r="F23" s="57"/>
      <c r="G23" s="59">
        <f>$D$23</f>
        <v>-1.3699999999999999E-3</v>
      </c>
      <c r="H23" s="52"/>
    </row>
    <row r="24" spans="3:8" x14ac:dyDescent="0.25">
      <c r="C24" s="46" t="s">
        <v>160</v>
      </c>
      <c r="D24" s="109">
        <v>1.6670000000000001E-2</v>
      </c>
      <c r="E24" s="52"/>
      <c r="F24" s="57"/>
      <c r="G24" s="59">
        <f>$D$24</f>
        <v>1.6670000000000001E-2</v>
      </c>
      <c r="H24" s="52"/>
    </row>
    <row r="25" spans="3:8" x14ac:dyDescent="0.25">
      <c r="C25" s="46" t="s">
        <v>161</v>
      </c>
      <c r="D25" s="109">
        <v>0</v>
      </c>
      <c r="E25" s="52"/>
      <c r="F25" s="57"/>
      <c r="G25" s="59">
        <f>$D$25</f>
        <v>0</v>
      </c>
      <c r="H25" s="52"/>
    </row>
    <row r="26" spans="3:8" x14ac:dyDescent="0.25">
      <c r="C26" s="46" t="s">
        <v>26</v>
      </c>
      <c r="D26" s="60">
        <f>SUM(D16:D25)</f>
        <v>0.54841999999999991</v>
      </c>
      <c r="E26" s="52">
        <f>ROUND(D26*D$9,2)</f>
        <v>35.1</v>
      </c>
      <c r="F26" s="57"/>
      <c r="G26" s="60">
        <f>SUM(G16:G25)</f>
        <v>0.54764999999999997</v>
      </c>
      <c r="H26" s="52">
        <f>ROUND(G26*G$9,2)</f>
        <v>35.049999999999997</v>
      </c>
    </row>
    <row r="28" spans="3:8" x14ac:dyDescent="0.25">
      <c r="C28" s="46" t="s">
        <v>162</v>
      </c>
      <c r="D28" s="109">
        <v>2.366E-2</v>
      </c>
      <c r="E28" s="52">
        <f>ROUND(D28*D$9,2)</f>
        <v>1.51</v>
      </c>
      <c r="F28" s="57"/>
      <c r="G28" s="59">
        <f>$D$28</f>
        <v>2.366E-2</v>
      </c>
      <c r="H28" s="52">
        <f>ROUND(G28*G$9,2)</f>
        <v>1.51</v>
      </c>
    </row>
    <row r="29" spans="3:8" x14ac:dyDescent="0.25">
      <c r="D29" s="109"/>
      <c r="E29" s="52"/>
      <c r="F29" s="57"/>
      <c r="G29" s="58"/>
      <c r="H29" s="52"/>
    </row>
    <row r="30" spans="3:8" x14ac:dyDescent="0.25">
      <c r="C30" s="46" t="s">
        <v>163</v>
      </c>
      <c r="D30" s="109">
        <v>0.58284999999999998</v>
      </c>
      <c r="E30" s="52"/>
      <c r="F30" s="57"/>
      <c r="G30" s="59">
        <f>$D$30</f>
        <v>0.58284999999999998</v>
      </c>
      <c r="H30" s="52"/>
    </row>
    <row r="31" spans="3:8" x14ac:dyDescent="0.25">
      <c r="C31" s="46" t="s">
        <v>164</v>
      </c>
      <c r="D31" s="109">
        <v>4.036E-2</v>
      </c>
      <c r="E31" s="52"/>
      <c r="F31" s="57"/>
      <c r="G31" s="59">
        <f>$D$31</f>
        <v>4.036E-2</v>
      </c>
      <c r="H31" s="52"/>
    </row>
    <row r="32" spans="3:8" x14ac:dyDescent="0.25">
      <c r="C32" s="46" t="s">
        <v>26</v>
      </c>
      <c r="D32" s="60">
        <f>SUM(D30:D31)</f>
        <v>0.62320999999999993</v>
      </c>
      <c r="E32" s="52">
        <f>ROUND(D32*D$9,2)</f>
        <v>39.89</v>
      </c>
      <c r="F32" s="57"/>
      <c r="G32" s="60">
        <f>SUM(G30:G31)</f>
        <v>0.62320999999999993</v>
      </c>
      <c r="H32" s="52">
        <f>ROUND(G32*G$9,2)</f>
        <v>39.89</v>
      </c>
    </row>
    <row r="33" spans="2:8" x14ac:dyDescent="0.25">
      <c r="C33" s="46" t="s">
        <v>123</v>
      </c>
      <c r="D33" s="60">
        <f>D26+D28+D32</f>
        <v>1.19529</v>
      </c>
      <c r="E33" s="61">
        <f>SUM(E26,E28,E32)</f>
        <v>76.5</v>
      </c>
      <c r="F33" s="58"/>
      <c r="G33" s="60">
        <f>G26+G28+G32</f>
        <v>1.1945199999999998</v>
      </c>
      <c r="H33" s="61">
        <f>SUM(H26,H28,H32)</f>
        <v>76.449999999999989</v>
      </c>
    </row>
    <row r="34" spans="2:8" x14ac:dyDescent="0.25">
      <c r="E34" s="52"/>
      <c r="H34" s="52"/>
    </row>
    <row r="35" spans="2:8" x14ac:dyDescent="0.25">
      <c r="B35" s="46" t="s">
        <v>124</v>
      </c>
      <c r="D35" s="54"/>
      <c r="E35" s="52">
        <f>E13+E33</f>
        <v>89</v>
      </c>
      <c r="F35" s="54"/>
      <c r="G35" s="54"/>
      <c r="H35" s="52">
        <f>H13+H33</f>
        <v>88.949999999999989</v>
      </c>
    </row>
    <row r="36" spans="2:8" x14ac:dyDescent="0.25">
      <c r="B36" s="46" t="s">
        <v>125</v>
      </c>
      <c r="D36" s="54"/>
      <c r="E36" s="52"/>
      <c r="F36" s="54"/>
      <c r="G36" s="54"/>
      <c r="H36" s="52">
        <f>H35-$E35</f>
        <v>-5.0000000000011369E-2</v>
      </c>
    </row>
    <row r="37" spans="2:8" x14ac:dyDescent="0.25">
      <c r="B37" s="46" t="s">
        <v>126</v>
      </c>
      <c r="D37" s="62"/>
      <c r="E37" s="62"/>
      <c r="F37" s="62"/>
      <c r="G37" s="62"/>
      <c r="H37" s="95">
        <f>H36/$E35</f>
        <v>-5.6179775280911653E-4</v>
      </c>
    </row>
    <row r="38" spans="2:8" x14ac:dyDescent="0.25">
      <c r="E38" s="52"/>
    </row>
    <row r="39" spans="2:8" x14ac:dyDescent="0.25">
      <c r="B39" s="46" t="s">
        <v>127</v>
      </c>
      <c r="D39" s="58">
        <f>D26+D28</f>
        <v>0.57207999999999992</v>
      </c>
      <c r="E39" s="52"/>
      <c r="F39" s="58"/>
      <c r="G39" s="58">
        <f>G26+G28</f>
        <v>0.57130999999999998</v>
      </c>
    </row>
    <row r="41" spans="2:8" ht="17.25" x14ac:dyDescent="0.25">
      <c r="B41" s="46" t="s">
        <v>198</v>
      </c>
    </row>
    <row r="46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41"/>
  <sheetViews>
    <sheetView zoomScale="90" zoomScaleNormal="90" workbookViewId="0">
      <selection activeCell="E11" sqref="E11"/>
    </sheetView>
  </sheetViews>
  <sheetFormatPr defaultColWidth="8.7109375" defaultRowHeight="15" x14ac:dyDescent="0.25"/>
  <cols>
    <col min="1" max="1" width="37.7109375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7.85546875" bestFit="1" customWidth="1"/>
  </cols>
  <sheetData>
    <row r="1" spans="1:21" s="46" customForma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63"/>
    </row>
    <row r="2" spans="1:21" s="46" customFormat="1" x14ac:dyDescent="0.25">
      <c r="A2" s="112" t="s">
        <v>128</v>
      </c>
      <c r="B2" s="114"/>
      <c r="C2" s="114"/>
      <c r="D2" s="114"/>
      <c r="E2" s="114"/>
      <c r="F2" s="114"/>
      <c r="G2" s="114"/>
      <c r="H2" s="114"/>
      <c r="I2" s="114"/>
      <c r="J2" s="6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s="46" customFormat="1" x14ac:dyDescent="0.25">
      <c r="A3" s="112" t="s">
        <v>165</v>
      </c>
      <c r="B3" s="112"/>
      <c r="C3" s="112"/>
      <c r="D3" s="112"/>
      <c r="E3" s="112"/>
      <c r="F3" s="112"/>
      <c r="G3" s="112"/>
      <c r="H3" s="112"/>
      <c r="I3" s="112"/>
      <c r="J3" s="63"/>
    </row>
    <row r="4" spans="1:21" s="46" customFormat="1" x14ac:dyDescent="0.25">
      <c r="A4" s="112" t="s">
        <v>171</v>
      </c>
      <c r="B4" s="112"/>
      <c r="C4" s="112"/>
      <c r="D4" s="112"/>
      <c r="E4" s="112"/>
      <c r="F4" s="112"/>
      <c r="G4" s="112"/>
      <c r="H4" s="112"/>
      <c r="I4" s="112"/>
      <c r="J4" s="63"/>
    </row>
    <row r="5" spans="1:21" x14ac:dyDescent="0.25">
      <c r="D5" s="7"/>
      <c r="E5" s="7"/>
    </row>
    <row r="6" spans="1:21" x14ac:dyDescent="0.25">
      <c r="A6" s="7"/>
      <c r="B6" s="7"/>
      <c r="C6" s="7" t="s">
        <v>73</v>
      </c>
      <c r="D6" s="7" t="s">
        <v>29</v>
      </c>
      <c r="E6" s="7" t="s">
        <v>2</v>
      </c>
      <c r="F6" s="50" t="s">
        <v>73</v>
      </c>
      <c r="G6" s="50" t="s">
        <v>73</v>
      </c>
      <c r="H6" s="7" t="s">
        <v>84</v>
      </c>
      <c r="I6" s="7"/>
    </row>
    <row r="7" spans="1:21" x14ac:dyDescent="0.25">
      <c r="A7" s="7"/>
      <c r="B7" s="7" t="s">
        <v>82</v>
      </c>
      <c r="C7" s="7" t="s">
        <v>129</v>
      </c>
      <c r="D7" s="7" t="s">
        <v>84</v>
      </c>
      <c r="E7" s="7" t="s">
        <v>84</v>
      </c>
      <c r="F7" s="50" t="s">
        <v>6</v>
      </c>
      <c r="G7" s="50" t="s">
        <v>6</v>
      </c>
      <c r="H7" s="7" t="s">
        <v>6</v>
      </c>
      <c r="I7" s="7" t="s">
        <v>86</v>
      </c>
    </row>
    <row r="8" spans="1:21" x14ac:dyDescent="0.25">
      <c r="A8" s="1" t="s">
        <v>8</v>
      </c>
      <c r="B8" s="1" t="s">
        <v>30</v>
      </c>
      <c r="C8" s="110" t="s">
        <v>172</v>
      </c>
      <c r="D8" s="1" t="s">
        <v>119</v>
      </c>
      <c r="E8" s="1" t="s">
        <v>119</v>
      </c>
      <c r="F8" s="49" t="s">
        <v>116</v>
      </c>
      <c r="G8" s="49" t="s">
        <v>130</v>
      </c>
      <c r="H8" s="1" t="s">
        <v>91</v>
      </c>
      <c r="I8" s="1" t="s">
        <v>91</v>
      </c>
      <c r="S8" s="66"/>
    </row>
    <row r="9" spans="1:21" x14ac:dyDescent="0.25">
      <c r="A9" t="s">
        <v>13</v>
      </c>
      <c r="B9" s="7" t="s">
        <v>108</v>
      </c>
      <c r="C9" s="101">
        <v>589986777</v>
      </c>
      <c r="D9" s="96">
        <v>2.3620000000000002E-2</v>
      </c>
      <c r="E9" s="105">
        <f>'Sch. 140 Rates'!K11</f>
        <v>2.2849999999999999E-2</v>
      </c>
      <c r="F9" s="5">
        <f>C9*D9</f>
        <v>13935487.672740001</v>
      </c>
      <c r="G9" s="5">
        <f>C9*E9</f>
        <v>13481197.854449999</v>
      </c>
      <c r="H9" s="2">
        <f>G9-F9</f>
        <v>-454289.81829000264</v>
      </c>
      <c r="I9" s="4">
        <f>H9/F9</f>
        <v>-3.2599491955969707E-2</v>
      </c>
      <c r="S9" s="67"/>
    </row>
    <row r="10" spans="1:21" x14ac:dyDescent="0.25">
      <c r="A10" t="s">
        <v>192</v>
      </c>
      <c r="B10" s="7">
        <v>16</v>
      </c>
      <c r="C10" s="101">
        <v>7068</v>
      </c>
      <c r="D10" s="96">
        <v>2.3620000000000002E-2</v>
      </c>
      <c r="E10" s="105">
        <f>'Sch. 140 Rates'!K11</f>
        <v>2.2849999999999999E-2</v>
      </c>
      <c r="F10" s="5">
        <f t="shared" ref="F10:F20" si="0">C10*D10</f>
        <v>166.94616000000002</v>
      </c>
      <c r="G10" s="5">
        <f t="shared" ref="G10:G21" si="1">C10*E10</f>
        <v>161.50379999999998</v>
      </c>
      <c r="H10" s="2">
        <f t="shared" ref="H10:H21" si="2">G10-F10</f>
        <v>-5.4423600000000363</v>
      </c>
      <c r="I10" s="4">
        <f t="shared" ref="I10:I22" si="3">H10/F10</f>
        <v>-3.2599491955969728E-2</v>
      </c>
    </row>
    <row r="11" spans="1:21" x14ac:dyDescent="0.25">
      <c r="A11" t="s">
        <v>15</v>
      </c>
      <c r="B11" s="7">
        <v>31</v>
      </c>
      <c r="C11" s="101">
        <v>240200859</v>
      </c>
      <c r="D11" s="96">
        <v>2.5350000000000001E-2</v>
      </c>
      <c r="E11" s="105">
        <f>'Sch. 140 Rates'!K12</f>
        <v>2.513E-2</v>
      </c>
      <c r="F11" s="5">
        <f t="shared" si="0"/>
        <v>6089091.7756500002</v>
      </c>
      <c r="G11" s="5">
        <f t="shared" si="1"/>
        <v>6036247.5866700001</v>
      </c>
      <c r="H11" s="2">
        <f t="shared" si="2"/>
        <v>-52844.188980000094</v>
      </c>
      <c r="I11" s="4">
        <f t="shared" si="3"/>
        <v>-8.6785009861933098E-3</v>
      </c>
    </row>
    <row r="12" spans="1:21" x14ac:dyDescent="0.25">
      <c r="A12" t="s">
        <v>17</v>
      </c>
      <c r="B12" s="7">
        <v>41</v>
      </c>
      <c r="C12" s="101">
        <v>65142305</v>
      </c>
      <c r="D12" s="96">
        <v>8.709999999999999E-3</v>
      </c>
      <c r="E12" s="105">
        <f>'Sch. 140 Rates'!K13</f>
        <v>1.004E-2</v>
      </c>
      <c r="F12" s="5">
        <f t="shared" si="0"/>
        <v>567389.4765499999</v>
      </c>
      <c r="G12" s="5">
        <f t="shared" si="1"/>
        <v>654028.74219999998</v>
      </c>
      <c r="H12" s="2">
        <f t="shared" si="2"/>
        <v>86639.265650000074</v>
      </c>
      <c r="I12" s="4">
        <f t="shared" si="3"/>
        <v>0.15269804822043645</v>
      </c>
    </row>
    <row r="13" spans="1:21" x14ac:dyDescent="0.25">
      <c r="A13" t="s">
        <v>19</v>
      </c>
      <c r="B13" s="7">
        <v>85</v>
      </c>
      <c r="C13" s="101">
        <v>12598584</v>
      </c>
      <c r="D13" s="96">
        <v>4.6800000000000001E-3</v>
      </c>
      <c r="E13" s="105">
        <f>'Sch. 140 Rates'!K14</f>
        <v>5.2900000000000004E-3</v>
      </c>
      <c r="F13" s="5">
        <f t="shared" si="0"/>
        <v>58961.373120000004</v>
      </c>
      <c r="G13" s="5">
        <f t="shared" si="1"/>
        <v>66646.509360000011</v>
      </c>
      <c r="H13" s="2">
        <f t="shared" si="2"/>
        <v>7685.1362400000071</v>
      </c>
      <c r="I13" s="4">
        <f t="shared" si="3"/>
        <v>0.13034188034188046</v>
      </c>
    </row>
    <row r="14" spans="1:21" x14ac:dyDescent="0.25">
      <c r="A14" t="s">
        <v>21</v>
      </c>
      <c r="B14" s="7">
        <v>86</v>
      </c>
      <c r="C14" s="101">
        <v>5293627</v>
      </c>
      <c r="D14" s="96">
        <v>7.6500000000000005E-3</v>
      </c>
      <c r="E14" s="105">
        <f>'Sch. 140 Rates'!K15</f>
        <v>6.7299999999999999E-3</v>
      </c>
      <c r="F14" s="5">
        <f t="shared" si="0"/>
        <v>40496.246550000003</v>
      </c>
      <c r="G14" s="5">
        <f t="shared" si="1"/>
        <v>35626.109709999997</v>
      </c>
      <c r="H14" s="2">
        <f t="shared" si="2"/>
        <v>-4870.1368400000065</v>
      </c>
      <c r="I14" s="4">
        <f t="shared" si="3"/>
        <v>-0.12026143790849689</v>
      </c>
    </row>
    <row r="15" spans="1:21" x14ac:dyDescent="0.25">
      <c r="A15" t="s">
        <v>23</v>
      </c>
      <c r="B15" s="7">
        <v>87</v>
      </c>
      <c r="C15" s="101">
        <v>15242340</v>
      </c>
      <c r="D15" s="96">
        <v>2.4000000000000002E-3</v>
      </c>
      <c r="E15" s="105">
        <f>'Sch. 140 Rates'!K16</f>
        <v>3.7699999999999999E-3</v>
      </c>
      <c r="F15" s="5">
        <f t="shared" si="0"/>
        <v>36581.616000000002</v>
      </c>
      <c r="G15" s="5">
        <f t="shared" si="1"/>
        <v>57463.621800000001</v>
      </c>
      <c r="H15" s="2">
        <f t="shared" si="2"/>
        <v>20882.005799999999</v>
      </c>
      <c r="I15" s="4">
        <f t="shared" si="3"/>
        <v>0.5708333333333333</v>
      </c>
    </row>
    <row r="16" spans="1:21" x14ac:dyDescent="0.25">
      <c r="A16" t="s">
        <v>109</v>
      </c>
      <c r="B16" s="7" t="s">
        <v>50</v>
      </c>
      <c r="C16" s="101">
        <v>35156</v>
      </c>
      <c r="D16" s="96">
        <v>2.5350000000000001E-2</v>
      </c>
      <c r="E16" s="105">
        <f>'Sch. 140 Rates'!K12</f>
        <v>2.513E-2</v>
      </c>
      <c r="F16" s="5">
        <f t="shared" si="0"/>
        <v>891.20460000000003</v>
      </c>
      <c r="G16" s="5">
        <f t="shared" si="1"/>
        <v>883.47028</v>
      </c>
      <c r="H16" s="2">
        <f t="shared" si="2"/>
        <v>-7.7343200000000252</v>
      </c>
      <c r="I16" s="4">
        <f t="shared" si="3"/>
        <v>-8.6785009861933219E-3</v>
      </c>
    </row>
    <row r="17" spans="1:9" x14ac:dyDescent="0.25">
      <c r="A17" t="s">
        <v>110</v>
      </c>
      <c r="B17" s="7" t="s">
        <v>31</v>
      </c>
      <c r="C17" s="101">
        <v>23988005</v>
      </c>
      <c r="D17" s="96">
        <v>8.709999999999999E-3</v>
      </c>
      <c r="E17" s="105">
        <f>'Sch. 140 Rates'!K13</f>
        <v>1.004E-2</v>
      </c>
      <c r="F17" s="5">
        <f t="shared" si="0"/>
        <v>208935.52354999998</v>
      </c>
      <c r="G17" s="5">
        <f t="shared" si="1"/>
        <v>240839.57020000002</v>
      </c>
      <c r="H17" s="2">
        <f t="shared" si="2"/>
        <v>31904.046650000033</v>
      </c>
      <c r="I17" s="4">
        <f t="shared" si="3"/>
        <v>0.15269804822043645</v>
      </c>
    </row>
    <row r="18" spans="1:9" x14ac:dyDescent="0.25">
      <c r="A18" t="s">
        <v>111</v>
      </c>
      <c r="B18" s="7" t="s">
        <v>32</v>
      </c>
      <c r="C18" s="101">
        <v>73553376</v>
      </c>
      <c r="D18" s="96">
        <v>4.6800000000000001E-3</v>
      </c>
      <c r="E18" s="105">
        <f>'Sch. 140 Rates'!K14</f>
        <v>5.2900000000000004E-3</v>
      </c>
      <c r="F18" s="5">
        <f t="shared" si="0"/>
        <v>344229.79968</v>
      </c>
      <c r="G18" s="5">
        <f t="shared" si="1"/>
        <v>389097.35904000001</v>
      </c>
      <c r="H18" s="2">
        <f t="shared" si="2"/>
        <v>44867.559360000014</v>
      </c>
      <c r="I18" s="4">
        <f t="shared" si="3"/>
        <v>0.13034188034188038</v>
      </c>
    </row>
    <row r="19" spans="1:9" x14ac:dyDescent="0.25">
      <c r="A19" t="s">
        <v>112</v>
      </c>
      <c r="B19" s="7" t="s">
        <v>51</v>
      </c>
      <c r="C19" s="101">
        <v>1377721</v>
      </c>
      <c r="D19" s="96">
        <v>7.6500000000000005E-3</v>
      </c>
      <c r="E19" s="105">
        <f>'Sch. 140 Rates'!K15</f>
        <v>6.7299999999999999E-3</v>
      </c>
      <c r="F19" s="5">
        <f t="shared" si="0"/>
        <v>10539.56565</v>
      </c>
      <c r="G19" s="5">
        <f t="shared" si="1"/>
        <v>9272.0623300000007</v>
      </c>
      <c r="H19" s="2">
        <f t="shared" si="2"/>
        <v>-1267.5033199999998</v>
      </c>
      <c r="I19" s="4">
        <f t="shared" si="3"/>
        <v>-0.12026143790849671</v>
      </c>
    </row>
    <row r="20" spans="1:9" x14ac:dyDescent="0.25">
      <c r="A20" t="s">
        <v>113</v>
      </c>
      <c r="B20" s="7" t="s">
        <v>33</v>
      </c>
      <c r="C20" s="101">
        <v>104134277</v>
      </c>
      <c r="D20" s="96">
        <v>2.4000000000000002E-3</v>
      </c>
      <c r="E20" s="105">
        <f>'Sch. 140 Rates'!K16</f>
        <v>3.7699999999999999E-3</v>
      </c>
      <c r="F20" s="5">
        <f t="shared" si="0"/>
        <v>249922.26480000003</v>
      </c>
      <c r="G20" s="5">
        <f t="shared" si="1"/>
        <v>392586.22428999998</v>
      </c>
      <c r="H20" s="2">
        <f t="shared" si="2"/>
        <v>142663.95948999995</v>
      </c>
      <c r="I20" s="4">
        <f t="shared" si="3"/>
        <v>0.57083333333333308</v>
      </c>
    </row>
    <row r="21" spans="1:9" x14ac:dyDescent="0.25">
      <c r="A21" t="s">
        <v>25</v>
      </c>
      <c r="B21" s="7"/>
      <c r="C21" s="101">
        <v>37176164</v>
      </c>
      <c r="D21" s="97">
        <v>1.1800000000000001E-3</v>
      </c>
      <c r="E21" s="106">
        <f>'Sch. 140 Rates'!K17</f>
        <v>9.3999999999999997E-4</v>
      </c>
      <c r="F21" s="5">
        <f>C21*D21</f>
        <v>43867.873520000001</v>
      </c>
      <c r="G21" s="5">
        <f t="shared" si="1"/>
        <v>34945.594160000001</v>
      </c>
      <c r="H21" s="2">
        <f t="shared" si="2"/>
        <v>-8922.2793600000005</v>
      </c>
      <c r="I21" s="4">
        <f t="shared" si="3"/>
        <v>-0.20338983050847459</v>
      </c>
    </row>
    <row r="22" spans="1:9" x14ac:dyDescent="0.25">
      <c r="A22" t="s">
        <v>27</v>
      </c>
      <c r="C22" s="9">
        <f>SUM(C9:C21)</f>
        <v>1168736259</v>
      </c>
      <c r="D22" s="15"/>
      <c r="E22" s="15"/>
      <c r="F22" s="34">
        <f t="shared" ref="F22:H22" si="4">SUM(F9:F21)</f>
        <v>21586561.338570006</v>
      </c>
      <c r="G22" s="34">
        <f t="shared" si="4"/>
        <v>21398996.208289996</v>
      </c>
      <c r="H22" s="10">
        <f t="shared" si="4"/>
        <v>-187565.13028000266</v>
      </c>
      <c r="I22" s="3">
        <f t="shared" si="3"/>
        <v>-8.6889767822755891E-3</v>
      </c>
    </row>
    <row r="23" spans="1:9" x14ac:dyDescent="0.25">
      <c r="F23" s="2"/>
      <c r="G23" s="2"/>
    </row>
    <row r="24" spans="1:9" x14ac:dyDescent="0.25">
      <c r="C24" s="11"/>
      <c r="F24" s="2"/>
      <c r="G24" s="2"/>
    </row>
    <row r="25" spans="1:9" x14ac:dyDescent="0.25">
      <c r="A25" s="68"/>
    </row>
    <row r="41" spans="2:2" ht="17.25" x14ac:dyDescent="0.25">
      <c r="B41" s="6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"/>
  <sheetViews>
    <sheetView workbookViewId="0">
      <selection activeCell="C35" sqref="B35:C35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7"/>
  <sheetViews>
    <sheetView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I39" sqref="I39"/>
    </sheetView>
  </sheetViews>
  <sheetFormatPr defaultColWidth="9.140625" defaultRowHeight="15" x14ac:dyDescent="0.25"/>
  <cols>
    <col min="1" max="1" width="5.140625" style="7" customWidth="1"/>
    <col min="2" max="2" width="59.5703125" customWidth="1"/>
    <col min="3" max="3" width="8.85546875" style="16" bestFit="1" customWidth="1"/>
    <col min="4" max="4" width="14" bestFit="1" customWidth="1"/>
    <col min="5" max="6" width="13.28515625" bestFit="1" customWidth="1"/>
    <col min="7" max="7" width="3.7109375" customWidth="1"/>
    <col min="8" max="9" width="16.140625" bestFit="1" customWidth="1"/>
    <col min="10" max="10" width="14.5703125" bestFit="1" customWidth="1"/>
    <col min="14" max="14" width="13.85546875" bestFit="1" customWidth="1"/>
    <col min="15" max="15" width="17.28515625" bestFit="1" customWidth="1"/>
    <col min="17" max="17" width="12.28515625" bestFit="1" customWidth="1"/>
    <col min="20" max="20" width="16.140625" bestFit="1" customWidth="1"/>
  </cols>
  <sheetData>
    <row r="1" spans="1:10" ht="18.75" x14ac:dyDescent="0.3">
      <c r="A1" s="91" t="s">
        <v>175</v>
      </c>
      <c r="B1" s="46"/>
      <c r="C1" s="74"/>
    </row>
    <row r="2" spans="1:10" ht="18.75" x14ac:dyDescent="0.3">
      <c r="B2" s="26"/>
      <c r="C2" s="74"/>
    </row>
    <row r="3" spans="1:10" x14ac:dyDescent="0.25">
      <c r="D3" s="75" t="s">
        <v>37</v>
      </c>
      <c r="E3" s="76"/>
      <c r="F3" s="77"/>
      <c r="H3" s="75" t="s">
        <v>38</v>
      </c>
      <c r="I3" s="77"/>
      <c r="J3" s="77"/>
    </row>
    <row r="4" spans="1:10" x14ac:dyDescent="0.25">
      <c r="D4" s="1" t="s">
        <v>39</v>
      </c>
      <c r="E4" s="1" t="s">
        <v>40</v>
      </c>
      <c r="F4" s="1" t="s">
        <v>27</v>
      </c>
      <c r="H4" s="1" t="s">
        <v>39</v>
      </c>
      <c r="I4" s="1" t="s">
        <v>40</v>
      </c>
      <c r="J4" s="1" t="s">
        <v>27</v>
      </c>
    </row>
    <row r="5" spans="1:10" x14ac:dyDescent="0.25">
      <c r="H5">
        <v>0.95034799999999997</v>
      </c>
      <c r="I5">
        <v>0.95344399999999996</v>
      </c>
    </row>
    <row r="6" spans="1:10" x14ac:dyDescent="0.25">
      <c r="A6" s="7">
        <v>1</v>
      </c>
      <c r="B6" t="s">
        <v>176</v>
      </c>
      <c r="C6" s="78"/>
      <c r="D6" s="2">
        <v>48394031.682091251</v>
      </c>
      <c r="E6" s="2">
        <v>20641601.57342061</v>
      </c>
      <c r="F6" s="2">
        <f>SUM(D6:E6)</f>
        <v>69035633.255511865</v>
      </c>
      <c r="H6" s="2">
        <v>50881367.323710859</v>
      </c>
      <c r="I6" s="2">
        <v>21624364.046229605</v>
      </c>
      <c r="J6" s="2">
        <f>SUM(H6:I6)</f>
        <v>72505731.36994046</v>
      </c>
    </row>
    <row r="8" spans="1:10" x14ac:dyDescent="0.25">
      <c r="A8" s="7">
        <v>2</v>
      </c>
      <c r="B8" t="s">
        <v>41</v>
      </c>
      <c r="E8" s="19"/>
    </row>
    <row r="9" spans="1:10" x14ac:dyDescent="0.25">
      <c r="A9" s="7">
        <v>3</v>
      </c>
      <c r="B9" s="79" t="s">
        <v>177</v>
      </c>
      <c r="C9" s="19"/>
      <c r="D9" s="12">
        <v>49350560</v>
      </c>
      <c r="E9" s="12">
        <v>20923321</v>
      </c>
      <c r="F9" s="12">
        <f>SUM(D9:E9)</f>
        <v>70273881</v>
      </c>
      <c r="H9" s="2">
        <f>D9/$H$5</f>
        <v>51928935.505730532</v>
      </c>
      <c r="I9" s="2">
        <f>E9/$I$5</f>
        <v>21944992.049873933</v>
      </c>
      <c r="J9" s="12">
        <f>SUM(H9:I9)</f>
        <v>73873927.555604458</v>
      </c>
    </row>
    <row r="10" spans="1:10" x14ac:dyDescent="0.25">
      <c r="A10" s="7">
        <v>4</v>
      </c>
      <c r="B10" s="79" t="s">
        <v>176</v>
      </c>
      <c r="C10" s="78" t="s">
        <v>42</v>
      </c>
      <c r="D10" s="12">
        <f>D6</f>
        <v>48394031.682091251</v>
      </c>
      <c r="E10" s="12">
        <f>E6</f>
        <v>20641601.57342061</v>
      </c>
      <c r="F10" s="12">
        <f>SUM(D10:E10)</f>
        <v>69035633.255511865</v>
      </c>
      <c r="H10" s="2">
        <f>H6</f>
        <v>50881367.323710859</v>
      </c>
      <c r="I10" s="2">
        <f>I6</f>
        <v>21624364.046229605</v>
      </c>
      <c r="J10" s="12">
        <f>SUM(H10:I10)</f>
        <v>72505731.36994046</v>
      </c>
    </row>
    <row r="11" spans="1:10" x14ac:dyDescent="0.25">
      <c r="A11" s="7">
        <v>5</v>
      </c>
      <c r="B11" t="s">
        <v>178</v>
      </c>
      <c r="D11" s="12">
        <v>-3732404.1749474755</v>
      </c>
      <c r="E11" s="92">
        <v>-589949.27753827244</v>
      </c>
      <c r="F11" s="12">
        <f>SUM(D11:E11)</f>
        <v>-4322353.4524857476</v>
      </c>
      <c r="H11" s="2">
        <f>D11/$H$5</f>
        <v>-3927407.828445449</v>
      </c>
      <c r="I11" s="2">
        <f>E11/$I$5</f>
        <v>-618756.08587213559</v>
      </c>
      <c r="J11" s="12">
        <f>SUM(H11:I11)</f>
        <v>-4546163.9143175846</v>
      </c>
    </row>
    <row r="12" spans="1:10" x14ac:dyDescent="0.25">
      <c r="D12" s="13"/>
      <c r="E12" s="13"/>
      <c r="F12" s="13"/>
      <c r="H12" s="17">
        <v>0</v>
      </c>
      <c r="I12" s="17">
        <v>0</v>
      </c>
      <c r="J12" s="18" t="s">
        <v>166</v>
      </c>
    </row>
    <row r="13" spans="1:10" x14ac:dyDescent="0.25">
      <c r="A13" s="7">
        <v>6</v>
      </c>
      <c r="B13" t="s">
        <v>63</v>
      </c>
      <c r="C13" s="78" t="s">
        <v>43</v>
      </c>
      <c r="D13" s="12">
        <f>D9-D10+D11</f>
        <v>-2775875.8570387266</v>
      </c>
      <c r="E13" s="12">
        <f>E9-E10+E11</f>
        <v>-308229.85095888271</v>
      </c>
      <c r="F13" s="12">
        <f>SUM(D13:E13)</f>
        <v>-3084105.7079976094</v>
      </c>
      <c r="H13" s="12">
        <f>H9-H10+H11</f>
        <v>-2879839.6464257757</v>
      </c>
      <c r="I13" s="12">
        <f>I9-I10+I11</f>
        <v>-298128.08222780703</v>
      </c>
      <c r="J13" s="12">
        <f>SUM(H13:I13)</f>
        <v>-3177967.7286535827</v>
      </c>
    </row>
    <row r="14" spans="1:10" x14ac:dyDescent="0.25">
      <c r="D14" s="13"/>
      <c r="E14" s="13"/>
      <c r="F14" s="13"/>
      <c r="H14" s="13"/>
      <c r="I14" s="13"/>
      <c r="J14" s="13"/>
    </row>
    <row r="15" spans="1:10" ht="15.75" thickBot="1" x14ac:dyDescent="0.3">
      <c r="A15" s="7">
        <v>7</v>
      </c>
      <c r="B15" t="s">
        <v>179</v>
      </c>
      <c r="C15" s="78" t="s">
        <v>45</v>
      </c>
      <c r="D15" s="14">
        <f>D6+D13</f>
        <v>45618155.825052522</v>
      </c>
      <c r="E15" s="14">
        <f>E6+E13</f>
        <v>20333371.722461727</v>
      </c>
      <c r="F15" s="14">
        <f>SUM(D15:E15)</f>
        <v>65951527.547514245</v>
      </c>
      <c r="H15" s="14">
        <f>H6+H13</f>
        <v>48001527.677285083</v>
      </c>
      <c r="I15" s="14">
        <f>I6+I13</f>
        <v>21326235.964001797</v>
      </c>
      <c r="J15" s="14">
        <f>SUM(H15:I15)</f>
        <v>69327763.64128688</v>
      </c>
    </row>
    <row r="16" spans="1:10" ht="15.75" thickTop="1" x14ac:dyDescent="0.25"/>
    <row r="18" spans="1:20" x14ac:dyDescent="0.25">
      <c r="A18" s="7">
        <v>8</v>
      </c>
      <c r="B18" t="s">
        <v>46</v>
      </c>
      <c r="C18" s="78" t="s">
        <v>64</v>
      </c>
      <c r="D18" s="2">
        <v>41187638.920130678</v>
      </c>
      <c r="E18" s="2">
        <v>16985416.009793624</v>
      </c>
      <c r="F18" s="2">
        <f>SUM(D18:E18)</f>
        <v>58173054.929924302</v>
      </c>
      <c r="H18" s="2">
        <f>D18/H5</f>
        <v>43339533.434205867</v>
      </c>
      <c r="I18" s="2">
        <f>E18/I5</f>
        <v>17814801.928370859</v>
      </c>
      <c r="J18" s="2">
        <f>SUM(H18:I18)</f>
        <v>61154335.362576723</v>
      </c>
      <c r="O18" s="8"/>
    </row>
    <row r="19" spans="1:20" x14ac:dyDescent="0.25">
      <c r="A19" s="7">
        <v>9</v>
      </c>
      <c r="B19" t="s">
        <v>199</v>
      </c>
      <c r="C19" s="19"/>
      <c r="D19" s="12">
        <v>3288786.9049218465</v>
      </c>
      <c r="E19" s="12">
        <v>3416307.7126681004</v>
      </c>
      <c r="F19" s="12">
        <f>SUM(D19:E19)</f>
        <v>6705094.6175899468</v>
      </c>
      <c r="H19" s="85">
        <f>D19/$H$5</f>
        <v>3460613.2752653202</v>
      </c>
      <c r="I19" s="85">
        <f>E19/$I$5</f>
        <v>3583123.6157216369</v>
      </c>
      <c r="J19" s="12">
        <f>SUM(H19:I19)</f>
        <v>7043736.8909869567</v>
      </c>
    </row>
    <row r="20" spans="1:20" x14ac:dyDescent="0.25">
      <c r="D20" s="13"/>
      <c r="E20" s="13"/>
      <c r="F20" s="13"/>
      <c r="H20" s="13"/>
      <c r="I20" s="13"/>
      <c r="J20" s="13"/>
    </row>
    <row r="21" spans="1:20" ht="15.75" thickBot="1" x14ac:dyDescent="0.3">
      <c r="A21" s="7">
        <v>10</v>
      </c>
      <c r="B21" t="s">
        <v>44</v>
      </c>
      <c r="C21" s="78" t="s">
        <v>200</v>
      </c>
      <c r="D21" s="14">
        <f>SUM(D18:D19)</f>
        <v>44476425.825052522</v>
      </c>
      <c r="E21" s="14">
        <f>SUM(E18:E20)</f>
        <v>20401723.722461723</v>
      </c>
      <c r="F21" s="14">
        <f>SUM(D21:E21)</f>
        <v>64878149.547514245</v>
      </c>
      <c r="H21" s="14">
        <f>SUM(H18:H19)</f>
        <v>46800146.709471188</v>
      </c>
      <c r="I21" s="14">
        <f>SUM(I18:I19)</f>
        <v>21397925.544092495</v>
      </c>
      <c r="J21" s="14">
        <f>SUM(H21:I21)</f>
        <v>68198072.253563687</v>
      </c>
    </row>
    <row r="22" spans="1:20" ht="15.75" thickTop="1" x14ac:dyDescent="0.25"/>
    <row r="23" spans="1:20" x14ac:dyDescent="0.25">
      <c r="D23" s="2"/>
      <c r="E23" s="2"/>
      <c r="F23" s="2"/>
    </row>
    <row r="24" spans="1:20" x14ac:dyDescent="0.25">
      <c r="A24" s="7">
        <v>11</v>
      </c>
      <c r="B24" t="s">
        <v>47</v>
      </c>
    </row>
    <row r="25" spans="1:20" x14ac:dyDescent="0.25">
      <c r="A25" s="7">
        <v>12</v>
      </c>
      <c r="B25" s="79" t="s">
        <v>48</v>
      </c>
      <c r="D25" s="12">
        <v>-843533</v>
      </c>
      <c r="E25" s="12">
        <v>419171</v>
      </c>
      <c r="F25" s="12">
        <f>SUM(D25:E25)</f>
        <v>-424362</v>
      </c>
      <c r="H25" s="85">
        <v>-845011.91387698054</v>
      </c>
      <c r="I25" s="85">
        <v>464623.75183286145</v>
      </c>
      <c r="J25" s="12">
        <f>SUM(H25:I25)</f>
        <v>-380388.16204411909</v>
      </c>
      <c r="N25" s="2"/>
    </row>
    <row r="26" spans="1:20" x14ac:dyDescent="0.25">
      <c r="A26" s="7">
        <v>13</v>
      </c>
      <c r="B26" s="79" t="s">
        <v>49</v>
      </c>
      <c r="D26" s="12">
        <v>-1932342.8570387298</v>
      </c>
      <c r="E26" s="12">
        <v>-727400.85095888213</v>
      </c>
      <c r="F26" s="12">
        <f>SUM(D26:E26)</f>
        <v>-2659743.7079976117</v>
      </c>
      <c r="H26" s="12">
        <v>-2034827.7325487954</v>
      </c>
      <c r="I26" s="12">
        <v>-762751.83406066953</v>
      </c>
      <c r="J26" s="12">
        <f>SUM(H26:I26)</f>
        <v>-2797579.5666094651</v>
      </c>
      <c r="O26" s="8"/>
    </row>
    <row r="27" spans="1:20" x14ac:dyDescent="0.25">
      <c r="A27" s="7">
        <v>14</v>
      </c>
      <c r="B27" s="79" t="s">
        <v>180</v>
      </c>
      <c r="D27" s="12">
        <v>-1141730</v>
      </c>
      <c r="E27" s="12">
        <v>68352</v>
      </c>
      <c r="F27" s="12">
        <f>SUM(D27:E27)</f>
        <v>-1073378</v>
      </c>
      <c r="H27" s="85">
        <f>D27/H5</f>
        <v>-1201380.9678138955</v>
      </c>
      <c r="I27" s="85">
        <f>E27/I5</f>
        <v>71689.580090702759</v>
      </c>
      <c r="J27" s="12">
        <f>SUM(H27:I27)</f>
        <v>-1129691.3877231928</v>
      </c>
    </row>
    <row r="28" spans="1:20" ht="15.75" thickBot="1" x14ac:dyDescent="0.3">
      <c r="A28" s="7">
        <v>16</v>
      </c>
      <c r="B28" t="s">
        <v>181</v>
      </c>
      <c r="D28" s="80">
        <f>SUM(D25:D27)</f>
        <v>-3917605.8570387298</v>
      </c>
      <c r="E28" s="80">
        <f>SUM(E25:E27)</f>
        <v>-239877.85095888213</v>
      </c>
      <c r="F28" s="80">
        <f>SUM(F25:F27)</f>
        <v>-4157483.7079976117</v>
      </c>
      <c r="H28" s="80">
        <f>SUM(H25:H27)</f>
        <v>-4081220.6142396717</v>
      </c>
      <c r="I28" s="80">
        <f>SUM(I25:I27)</f>
        <v>-226438.50213710533</v>
      </c>
      <c r="J28" s="80">
        <f>SUM(J25:J27)</f>
        <v>-4307659.1163767772</v>
      </c>
      <c r="O28" s="2"/>
      <c r="Q28" s="2"/>
      <c r="T28" s="8"/>
    </row>
    <row r="29" spans="1:20" ht="15.75" thickTop="1" x14ac:dyDescent="0.25">
      <c r="D29" s="81">
        <f>D28-D13-D27</f>
        <v>-3.2596290111541748E-9</v>
      </c>
      <c r="E29" s="81">
        <f>E28-E13-E27</f>
        <v>5.8207660913467407E-10</v>
      </c>
      <c r="F29" s="81">
        <f>F28-F13-F27</f>
        <v>-2.3283064365386963E-9</v>
      </c>
      <c r="G29" s="82"/>
      <c r="H29" s="81">
        <f>H28-H13-H27</f>
        <v>0</v>
      </c>
      <c r="I29" s="81">
        <f>I28-I13-I27</f>
        <v>-1.0622898116707802E-9</v>
      </c>
      <c r="J29" s="81">
        <f>J28-J13-J27</f>
        <v>0</v>
      </c>
    </row>
    <row r="30" spans="1:20" x14ac:dyDescent="0.25">
      <c r="D30" s="85"/>
      <c r="E30" s="85"/>
      <c r="H30" s="2"/>
      <c r="I30" s="2"/>
      <c r="J30" s="2"/>
      <c r="T30" s="111"/>
    </row>
    <row r="31" spans="1:20" x14ac:dyDescent="0.25">
      <c r="A31" s="7">
        <f>+A28+1</f>
        <v>17</v>
      </c>
      <c r="B31" s="27" t="s">
        <v>52</v>
      </c>
      <c r="C31" s="78"/>
      <c r="H31" s="83">
        <f>H28/H6</f>
        <v>-8.0210513767734609E-2</v>
      </c>
      <c r="I31" s="83">
        <f>I28/I6</f>
        <v>-1.0471452554767124E-2</v>
      </c>
    </row>
    <row r="32" spans="1:20" x14ac:dyDescent="0.25">
      <c r="A32" s="7">
        <f>+A31+1</f>
        <v>18</v>
      </c>
      <c r="B32" s="27" t="s">
        <v>53</v>
      </c>
      <c r="H32" s="7" t="str">
        <f>IF(ABS(H31)&gt;1%,"yes","no")</f>
        <v>yes</v>
      </c>
      <c r="I32" s="7" t="str">
        <f>IF(ABS(I31)&gt;1%,"yes","no")</f>
        <v>yes</v>
      </c>
    </row>
    <row r="33" spans="1:2" x14ac:dyDescent="0.25">
      <c r="A33" s="7">
        <f t="shared" ref="A33:A34" si="0">+A32+1</f>
        <v>19</v>
      </c>
      <c r="B33" s="28" t="s">
        <v>54</v>
      </c>
    </row>
    <row r="34" spans="1:2" x14ac:dyDescent="0.25">
      <c r="A34" s="7">
        <f t="shared" si="0"/>
        <v>20</v>
      </c>
      <c r="B34" s="28" t="s">
        <v>55</v>
      </c>
    </row>
    <row r="36" spans="1:2" x14ac:dyDescent="0.25">
      <c r="B36" s="84"/>
    </row>
    <row r="37" spans="1:2" x14ac:dyDescent="0.25">
      <c r="B37" s="84"/>
    </row>
  </sheetData>
  <pageMargins left="0.7" right="0.7" top="0.75" bottom="0.75" header="0.3" footer="0.3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5"/>
  <sheetViews>
    <sheetView zoomScale="90" zoomScaleNormal="90" workbookViewId="0">
      <selection activeCell="S31" sqref="S31"/>
    </sheetView>
  </sheetViews>
  <sheetFormatPr defaultColWidth="9.140625" defaultRowHeight="15" x14ac:dyDescent="0.25"/>
  <cols>
    <col min="1" max="1" width="10.7109375" customWidth="1"/>
    <col min="2" max="7" width="11.28515625" bestFit="1" customWidth="1"/>
    <col min="8" max="12" width="12.42578125" bestFit="1" customWidth="1"/>
    <col min="13" max="13" width="11.5703125" bestFit="1" customWidth="1"/>
    <col min="14" max="14" width="13.85546875" customWidth="1"/>
  </cols>
  <sheetData>
    <row r="1" spans="1:14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x14ac:dyDescent="0.25">
      <c r="A2" s="112" t="str">
        <f>'Sch. 140 Rates'!A2:N2</f>
        <v>2023 Gas Schedule 140 Property Tax Tracker Filing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x14ac:dyDescent="0.25">
      <c r="A3" s="112" t="s">
        <v>62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5">
      <c r="A4" s="115" t="str">
        <f>TEXT(B7,"Mmm YYYY - ")&amp;TEXT(M7,"Mmmm YYYY")</f>
        <v>May 2023 - April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x14ac:dyDescent="0.25">
      <c r="A6" s="16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4" x14ac:dyDescent="0.25">
      <c r="A7" s="98" t="s">
        <v>30</v>
      </c>
      <c r="B7" s="99">
        <v>45047</v>
      </c>
      <c r="C7" s="100">
        <f>EDATE(B7,1)</f>
        <v>45078</v>
      </c>
      <c r="D7" s="100">
        <f t="shared" ref="D7:M7" si="0">EDATE(C7,1)</f>
        <v>45108</v>
      </c>
      <c r="E7" s="100">
        <f t="shared" si="0"/>
        <v>45139</v>
      </c>
      <c r="F7" s="100">
        <f t="shared" si="0"/>
        <v>45170</v>
      </c>
      <c r="G7" s="100">
        <f t="shared" si="0"/>
        <v>45200</v>
      </c>
      <c r="H7" s="100">
        <f t="shared" si="0"/>
        <v>45231</v>
      </c>
      <c r="I7" s="100">
        <f t="shared" si="0"/>
        <v>45261</v>
      </c>
      <c r="J7" s="100">
        <f t="shared" si="0"/>
        <v>45292</v>
      </c>
      <c r="K7" s="100">
        <f t="shared" si="0"/>
        <v>45323</v>
      </c>
      <c r="L7" s="100">
        <f t="shared" si="0"/>
        <v>45352</v>
      </c>
      <c r="M7" s="100">
        <f t="shared" si="0"/>
        <v>45383</v>
      </c>
      <c r="N7" s="1" t="s">
        <v>27</v>
      </c>
    </row>
    <row r="8" spans="1:14" x14ac:dyDescent="0.25">
      <c r="A8" s="16">
        <v>16</v>
      </c>
      <c r="B8" s="101">
        <v>589</v>
      </c>
      <c r="C8" s="101">
        <v>589</v>
      </c>
      <c r="D8" s="101">
        <v>589</v>
      </c>
      <c r="E8" s="101">
        <v>589</v>
      </c>
      <c r="F8" s="101">
        <v>589</v>
      </c>
      <c r="G8" s="101">
        <v>589</v>
      </c>
      <c r="H8" s="101">
        <v>589</v>
      </c>
      <c r="I8" s="101">
        <v>589</v>
      </c>
      <c r="J8" s="101">
        <v>589</v>
      </c>
      <c r="K8" s="101">
        <v>589</v>
      </c>
      <c r="L8" s="101">
        <v>589</v>
      </c>
      <c r="M8" s="101">
        <v>589</v>
      </c>
      <c r="N8" s="11">
        <f t="shared" ref="N8:N21" si="1">SUM(B8:M8)</f>
        <v>7068</v>
      </c>
    </row>
    <row r="9" spans="1:14" x14ac:dyDescent="0.25">
      <c r="A9" s="16">
        <v>23</v>
      </c>
      <c r="B9" s="101">
        <v>28209513</v>
      </c>
      <c r="C9" s="101">
        <v>18430547</v>
      </c>
      <c r="D9" s="101">
        <v>13296329</v>
      </c>
      <c r="E9" s="101">
        <v>12799549</v>
      </c>
      <c r="F9" s="101">
        <v>18485479</v>
      </c>
      <c r="G9" s="101">
        <v>42611904</v>
      </c>
      <c r="H9" s="101">
        <v>70762036</v>
      </c>
      <c r="I9" s="101">
        <v>92371205</v>
      </c>
      <c r="J9" s="101">
        <v>90028930</v>
      </c>
      <c r="K9" s="101">
        <v>80147539</v>
      </c>
      <c r="L9" s="101">
        <v>73543183</v>
      </c>
      <c r="M9" s="101">
        <v>49300563</v>
      </c>
      <c r="N9" s="11">
        <f t="shared" si="1"/>
        <v>589986777</v>
      </c>
    </row>
    <row r="10" spans="1:14" x14ac:dyDescent="0.25">
      <c r="A10" s="16">
        <v>53</v>
      </c>
      <c r="B10" s="101">
        <v>0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1">
        <f t="shared" si="1"/>
        <v>0</v>
      </c>
    </row>
    <row r="11" spans="1:14" x14ac:dyDescent="0.25">
      <c r="A11" s="16">
        <v>31</v>
      </c>
      <c r="B11" s="101">
        <v>13348322</v>
      </c>
      <c r="C11" s="101">
        <v>10772903</v>
      </c>
      <c r="D11" s="101">
        <v>9272634</v>
      </c>
      <c r="E11" s="101">
        <v>9999282</v>
      </c>
      <c r="F11" s="101">
        <v>11696231</v>
      </c>
      <c r="G11" s="101">
        <v>19346533</v>
      </c>
      <c r="H11" s="101">
        <v>27879405</v>
      </c>
      <c r="I11" s="101">
        <v>34726167</v>
      </c>
      <c r="J11" s="101">
        <v>31235212</v>
      </c>
      <c r="K11" s="101">
        <v>28390827</v>
      </c>
      <c r="L11" s="101">
        <v>25268900</v>
      </c>
      <c r="M11" s="101">
        <v>18264443</v>
      </c>
      <c r="N11" s="11">
        <f t="shared" si="1"/>
        <v>240200859</v>
      </c>
    </row>
    <row r="12" spans="1:14" x14ac:dyDescent="0.25">
      <c r="A12" s="16">
        <v>41</v>
      </c>
      <c r="B12" s="101">
        <v>4105933</v>
      </c>
      <c r="C12" s="101">
        <v>3502707</v>
      </c>
      <c r="D12" s="101">
        <v>2902125</v>
      </c>
      <c r="E12" s="101">
        <v>3161567</v>
      </c>
      <c r="F12" s="101">
        <v>3759483</v>
      </c>
      <c r="G12" s="101">
        <v>5805117</v>
      </c>
      <c r="H12" s="101">
        <v>7530476</v>
      </c>
      <c r="I12" s="101">
        <v>8250462</v>
      </c>
      <c r="J12" s="101">
        <v>7383660</v>
      </c>
      <c r="K12" s="101">
        <v>7128334</v>
      </c>
      <c r="L12" s="101">
        <v>6560339</v>
      </c>
      <c r="M12" s="101">
        <v>5052102</v>
      </c>
      <c r="N12" s="11">
        <f t="shared" si="1"/>
        <v>65142305</v>
      </c>
    </row>
    <row r="13" spans="1:14" x14ac:dyDescent="0.25">
      <c r="A13" s="16">
        <v>85</v>
      </c>
      <c r="B13" s="101">
        <v>970474</v>
      </c>
      <c r="C13" s="101">
        <v>808858</v>
      </c>
      <c r="D13" s="101">
        <v>770936</v>
      </c>
      <c r="E13" s="101">
        <v>832251</v>
      </c>
      <c r="F13" s="101">
        <v>779550</v>
      </c>
      <c r="G13" s="101">
        <v>1067853</v>
      </c>
      <c r="H13" s="101">
        <v>1204779</v>
      </c>
      <c r="I13" s="101">
        <v>1468068</v>
      </c>
      <c r="J13" s="101">
        <v>1260995</v>
      </c>
      <c r="K13" s="101">
        <v>1253106</v>
      </c>
      <c r="L13" s="101">
        <v>1189660</v>
      </c>
      <c r="M13" s="101">
        <v>992054</v>
      </c>
      <c r="N13" s="11">
        <f t="shared" si="1"/>
        <v>12598584</v>
      </c>
    </row>
    <row r="14" spans="1:14" x14ac:dyDescent="0.25">
      <c r="A14" s="16">
        <v>86</v>
      </c>
      <c r="B14" s="101">
        <v>397877</v>
      </c>
      <c r="C14" s="101">
        <v>257135</v>
      </c>
      <c r="D14" s="101">
        <v>184922</v>
      </c>
      <c r="E14" s="101">
        <v>152007</v>
      </c>
      <c r="F14" s="101">
        <v>166978</v>
      </c>
      <c r="G14" s="101">
        <v>363562</v>
      </c>
      <c r="H14" s="101">
        <v>543680</v>
      </c>
      <c r="I14" s="101">
        <v>801521</v>
      </c>
      <c r="J14" s="101">
        <v>688744</v>
      </c>
      <c r="K14" s="101">
        <v>670893</v>
      </c>
      <c r="L14" s="101">
        <v>625675</v>
      </c>
      <c r="M14" s="101">
        <v>440633</v>
      </c>
      <c r="N14" s="11">
        <f t="shared" si="1"/>
        <v>5293627</v>
      </c>
    </row>
    <row r="15" spans="1:14" x14ac:dyDescent="0.25">
      <c r="A15" s="16">
        <v>87</v>
      </c>
      <c r="B15" s="101">
        <v>1088262</v>
      </c>
      <c r="C15" s="101">
        <v>910333</v>
      </c>
      <c r="D15" s="101">
        <v>929795</v>
      </c>
      <c r="E15" s="101">
        <v>1005946</v>
      </c>
      <c r="F15" s="101">
        <v>1004039</v>
      </c>
      <c r="G15" s="101">
        <v>1534262</v>
      </c>
      <c r="H15" s="101">
        <v>1582171</v>
      </c>
      <c r="I15" s="101">
        <v>1937626</v>
      </c>
      <c r="J15" s="101">
        <v>1457469</v>
      </c>
      <c r="K15" s="101">
        <v>1429627</v>
      </c>
      <c r="L15" s="101">
        <v>1344773</v>
      </c>
      <c r="M15" s="101">
        <v>1018037</v>
      </c>
      <c r="N15" s="11">
        <f t="shared" si="1"/>
        <v>15242340</v>
      </c>
    </row>
    <row r="16" spans="1:14" x14ac:dyDescent="0.25">
      <c r="A16" s="16" t="s">
        <v>50</v>
      </c>
      <c r="B16" s="101">
        <v>2289</v>
      </c>
      <c r="C16" s="101">
        <v>1975</v>
      </c>
      <c r="D16" s="101">
        <v>1678</v>
      </c>
      <c r="E16" s="101">
        <v>1835</v>
      </c>
      <c r="F16" s="101">
        <v>2343</v>
      </c>
      <c r="G16" s="101">
        <v>2751</v>
      </c>
      <c r="H16" s="101">
        <v>3920</v>
      </c>
      <c r="I16" s="101">
        <v>4292</v>
      </c>
      <c r="J16" s="101">
        <v>3683</v>
      </c>
      <c r="K16" s="101">
        <v>4066</v>
      </c>
      <c r="L16" s="101">
        <v>3372</v>
      </c>
      <c r="M16" s="101">
        <v>2952</v>
      </c>
      <c r="N16" s="11">
        <f t="shared" si="1"/>
        <v>35156</v>
      </c>
    </row>
    <row r="17" spans="1:14" x14ac:dyDescent="0.25">
      <c r="A17" s="16" t="s">
        <v>31</v>
      </c>
      <c r="B17" s="101">
        <v>2048013</v>
      </c>
      <c r="C17" s="101">
        <v>1974473</v>
      </c>
      <c r="D17" s="101">
        <v>1749202</v>
      </c>
      <c r="E17" s="101">
        <v>1775579</v>
      </c>
      <c r="F17" s="101">
        <v>2017119</v>
      </c>
      <c r="G17" s="101">
        <v>1757599</v>
      </c>
      <c r="H17" s="101">
        <v>2051608</v>
      </c>
      <c r="I17" s="101">
        <v>1994393</v>
      </c>
      <c r="J17" s="101">
        <v>2002746</v>
      </c>
      <c r="K17" s="101">
        <v>2310503</v>
      </c>
      <c r="L17" s="101">
        <v>2071246</v>
      </c>
      <c r="M17" s="101">
        <v>2235524</v>
      </c>
      <c r="N17" s="11">
        <f t="shared" si="1"/>
        <v>23988005</v>
      </c>
    </row>
    <row r="18" spans="1:14" x14ac:dyDescent="0.25">
      <c r="A18" s="16" t="s">
        <v>32</v>
      </c>
      <c r="B18" s="101">
        <v>6609285</v>
      </c>
      <c r="C18" s="101">
        <v>6420495</v>
      </c>
      <c r="D18" s="101">
        <v>5925902</v>
      </c>
      <c r="E18" s="101">
        <v>5952306</v>
      </c>
      <c r="F18" s="101">
        <v>6882341</v>
      </c>
      <c r="G18" s="101">
        <v>5593547</v>
      </c>
      <c r="H18" s="101">
        <v>6008165</v>
      </c>
      <c r="I18" s="101">
        <v>5710222</v>
      </c>
      <c r="J18" s="101">
        <v>5405181</v>
      </c>
      <c r="K18" s="101">
        <v>6619182</v>
      </c>
      <c r="L18" s="101">
        <v>5849005</v>
      </c>
      <c r="M18" s="101">
        <v>6577745</v>
      </c>
      <c r="N18" s="11">
        <f t="shared" si="1"/>
        <v>73553376</v>
      </c>
    </row>
    <row r="19" spans="1:14" x14ac:dyDescent="0.25">
      <c r="A19" s="16" t="s">
        <v>51</v>
      </c>
      <c r="B19" s="101">
        <v>114421</v>
      </c>
      <c r="C19" s="101">
        <v>116067</v>
      </c>
      <c r="D19" s="101">
        <v>106552</v>
      </c>
      <c r="E19" s="101">
        <v>100786</v>
      </c>
      <c r="F19" s="101">
        <v>131542</v>
      </c>
      <c r="G19" s="101">
        <v>98743</v>
      </c>
      <c r="H19" s="101">
        <v>114025</v>
      </c>
      <c r="I19" s="101">
        <v>106642</v>
      </c>
      <c r="J19" s="101">
        <v>103959</v>
      </c>
      <c r="K19" s="101">
        <v>140274</v>
      </c>
      <c r="L19" s="101">
        <v>115128</v>
      </c>
      <c r="M19" s="101">
        <v>129582</v>
      </c>
      <c r="N19" s="11">
        <f t="shared" si="1"/>
        <v>1377721</v>
      </c>
    </row>
    <row r="20" spans="1:14" x14ac:dyDescent="0.25">
      <c r="A20" s="16" t="s">
        <v>33</v>
      </c>
      <c r="B20" s="101">
        <v>9477545</v>
      </c>
      <c r="C20" s="101">
        <v>9039484</v>
      </c>
      <c r="D20" s="101">
        <v>9489194</v>
      </c>
      <c r="E20" s="101">
        <v>8922464</v>
      </c>
      <c r="F20" s="101">
        <v>10013921</v>
      </c>
      <c r="G20" s="101">
        <v>7479343</v>
      </c>
      <c r="H20" s="101">
        <v>7623170</v>
      </c>
      <c r="I20" s="101">
        <v>8318329</v>
      </c>
      <c r="J20" s="101">
        <v>7328010</v>
      </c>
      <c r="K20" s="101">
        <v>9572195</v>
      </c>
      <c r="L20" s="101">
        <v>8222032</v>
      </c>
      <c r="M20" s="101">
        <v>8648590</v>
      </c>
      <c r="N20" s="11">
        <f t="shared" si="1"/>
        <v>104134277</v>
      </c>
    </row>
    <row r="21" spans="1:14" x14ac:dyDescent="0.25">
      <c r="A21" s="102" t="s">
        <v>25</v>
      </c>
      <c r="B21" s="101">
        <v>2851176</v>
      </c>
      <c r="C21" s="101">
        <v>2492595</v>
      </c>
      <c r="D21" s="101">
        <v>2211174</v>
      </c>
      <c r="E21" s="101">
        <v>2072278</v>
      </c>
      <c r="F21" s="101">
        <v>2587516</v>
      </c>
      <c r="G21" s="101">
        <v>2629021</v>
      </c>
      <c r="H21" s="101">
        <v>3483217</v>
      </c>
      <c r="I21" s="101">
        <v>3865764</v>
      </c>
      <c r="J21" s="101">
        <v>3640639</v>
      </c>
      <c r="K21" s="101">
        <v>4692450</v>
      </c>
      <c r="L21" s="101">
        <v>3397500</v>
      </c>
      <c r="M21" s="101">
        <v>3252834</v>
      </c>
      <c r="N21" s="11">
        <f t="shared" si="1"/>
        <v>37176164</v>
      </c>
    </row>
    <row r="22" spans="1:14" x14ac:dyDescent="0.25">
      <c r="A22" s="16" t="s">
        <v>27</v>
      </c>
      <c r="B22" s="9">
        <f>SUM(B8:B21)</f>
        <v>69223699</v>
      </c>
      <c r="C22" s="9">
        <f t="shared" ref="C22:M22" si="2">SUM(C8:C21)</f>
        <v>54728161</v>
      </c>
      <c r="D22" s="9">
        <f t="shared" si="2"/>
        <v>46841032</v>
      </c>
      <c r="E22" s="9">
        <f t="shared" si="2"/>
        <v>46776439</v>
      </c>
      <c r="F22" s="9">
        <f t="shared" si="2"/>
        <v>57527131</v>
      </c>
      <c r="G22" s="9">
        <f t="shared" si="2"/>
        <v>88290824</v>
      </c>
      <c r="H22" s="9">
        <f t="shared" si="2"/>
        <v>128787241</v>
      </c>
      <c r="I22" s="9">
        <f t="shared" si="2"/>
        <v>159555280</v>
      </c>
      <c r="J22" s="9">
        <f t="shared" si="2"/>
        <v>150539817</v>
      </c>
      <c r="K22" s="9">
        <f t="shared" si="2"/>
        <v>142359585</v>
      </c>
      <c r="L22" s="9">
        <f t="shared" si="2"/>
        <v>128191402</v>
      </c>
      <c r="M22" s="9">
        <f t="shared" si="2"/>
        <v>95915648</v>
      </c>
      <c r="N22" s="9">
        <f>SUM(N8:N21)</f>
        <v>1168736259</v>
      </c>
    </row>
    <row r="23" spans="1:14" x14ac:dyDescent="0.25">
      <c r="A23" s="1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5" spans="1:14" x14ac:dyDescent="0.25">
      <c r="A25" t="s">
        <v>167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3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CF1FCCE7B9FD4FBB521C0CD5ECA012" ma:contentTypeVersion="24" ma:contentTypeDescription="" ma:contentTypeScope="" ma:versionID="614afc6aba421b8280db7363dd94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2023-03-31T07:00:00+00:00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560708-16A4-43D3-89F2-5EE802C42DF8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9564434-2A33-4437-8F21-3E02C9836392}"/>
</file>

<file path=customXml/itemProps3.xml><?xml version="1.0" encoding="utf-8"?>
<ds:datastoreItem xmlns:ds="http://schemas.openxmlformats.org/officeDocument/2006/customXml" ds:itemID="{A8EA0C0D-D821-4ACC-8EB4-76D8F8EAA0BC}"/>
</file>

<file path=customXml/itemProps4.xml><?xml version="1.0" encoding="utf-8"?>
<ds:datastoreItem xmlns:ds="http://schemas.openxmlformats.org/officeDocument/2006/customXml" ds:itemID="{933F18FD-FD90-4E82-BA52-AFCDDB408849}"/>
</file>

<file path=customXml/itemProps5.xml><?xml version="1.0" encoding="utf-8"?>
<ds:datastoreItem xmlns:ds="http://schemas.openxmlformats.org/officeDocument/2006/customXml" ds:itemID="{CAC91BC5-57DA-46FE-AD95-1175FAFC3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Sch. 140 Rates</vt:lpstr>
      <vt:lpstr>Allocation Factors</vt:lpstr>
      <vt:lpstr>Rate Impacts--&gt;</vt:lpstr>
      <vt:lpstr>Rate Impacts Sch 140</vt:lpstr>
      <vt:lpstr>Typical Res Bill Sch 140</vt:lpstr>
      <vt:lpstr>Sch. 140</vt:lpstr>
      <vt:lpstr>Workpapers--&gt;</vt:lpstr>
      <vt:lpstr>2023 FINAL Rev Req</vt:lpstr>
      <vt:lpstr>Therm Forecast</vt:lpstr>
      <vt:lpstr>'Allocation Factors'!Print_Area</vt:lpstr>
      <vt:lpstr>'Rate Impacts Sch 140'!Print_Area</vt:lpstr>
      <vt:lpstr>'Sch. 140'!Print_Area</vt:lpstr>
      <vt:lpstr>'Sch. 140 Rates'!Print_Area</vt:lpstr>
      <vt:lpstr>'Therm Forecast'!Print_Area</vt:lpstr>
      <vt:lpstr>'Typical Res Bill Sch 140'!Print_Area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Paul.Schmidt@pse.com;Kelima.Yakupova@pse.com</dc:creator>
  <cp:lastModifiedBy>Booth, Avery (UTC)</cp:lastModifiedBy>
  <cp:lastPrinted>2023-03-30T22:23:06Z</cp:lastPrinted>
  <dcterms:created xsi:type="dcterms:W3CDTF">2012-11-20T18:48:04Z</dcterms:created>
  <dcterms:modified xsi:type="dcterms:W3CDTF">2023-04-03T21:33:54Z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0x0101006E56B4D1795A2E4DB2F0B01679ED314A00FDCF1FCCE7B9FD4FBB521C0CD5ECA012</vt:lpwstr>
  </property>
  <property fmtid="{D5CDD505-2E9C-101B-9397-08002B2CF9AE}" pid="3" name="_docset_NoMedatataSyncRequired">
    <vt:lpwstr>False</vt:lpwstr>
  </property>
</Properties>
</file>