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Tariffs\1. Open Advices\2022-XX Electric Schedule 137- Title of Tariff (UX-22xxxx) (Eff. XX-XX-22)\Workpapers\"/>
    </mc:Choice>
  </mc:AlternateContent>
  <bookViews>
    <workbookView xWindow="-15" yWindow="45" windowWidth="14520" windowHeight="13545" tabRatio="762"/>
  </bookViews>
  <sheets>
    <sheet name="Revenue Requirement" sheetId="1" r:id="rId1"/>
    <sheet name="Tracking Accounts" sheetId="2" r:id="rId2"/>
    <sheet name="Intrst Rev &amp; Tfr Bal Jan 23" sheetId="15" r:id="rId3"/>
    <sheet name="Conv F UE-190529 + filing fee" sheetId="12" r:id="rId4"/>
  </sheets>
  <externalReferences>
    <externalReference r:id="rId5"/>
    <externalReference r:id="rId6"/>
    <externalReference r:id="rId7"/>
    <externalReference r:id="rId8"/>
    <externalReference r:id="rId9"/>
  </externalReferences>
  <definedNames>
    <definedName name="_Testyear">'[1]KJB-6,13 Cmn Adj'!$B$7</definedName>
    <definedName name="CASE_E">'[2]Named Ranges E'!$C$4</definedName>
    <definedName name="FIT_E">'[2]Named Ranges E'!$C$3</definedName>
    <definedName name="k_FITrate" localSheetId="2">'[3]Conv Factor'!$L$20</definedName>
    <definedName name="k_FITrate">#REF!</definedName>
    <definedName name="_xlnm.Print_Area" localSheetId="0">'Revenue Requirement'!$A$1:$D$16</definedName>
    <definedName name="TESTYEAR_E">'[2]Named Ranges E'!$C$5</definedName>
  </definedNames>
  <calcPr calcId="162913"/>
</workbook>
</file>

<file path=xl/calcChain.xml><?xml version="1.0" encoding="utf-8"?>
<calcChain xmlns="http://schemas.openxmlformats.org/spreadsheetml/2006/main">
  <c r="C4" i="15" l="1"/>
  <c r="D4" i="15" s="1"/>
  <c r="G5" i="15" s="1"/>
  <c r="I5" i="15" s="1"/>
  <c r="M4" i="15"/>
  <c r="N4" i="15"/>
  <c r="C5" i="15"/>
  <c r="D5" i="15"/>
  <c r="E5" i="15"/>
  <c r="M5" i="15"/>
  <c r="N5" i="15"/>
  <c r="O5" i="15"/>
  <c r="P5" i="15"/>
  <c r="Q5" i="15"/>
  <c r="S5" i="15"/>
  <c r="C6" i="15"/>
  <c r="D6" i="15" s="1"/>
  <c r="E6" i="15"/>
  <c r="M6" i="15"/>
  <c r="N6" i="15"/>
  <c r="Q6" i="15" s="1"/>
  <c r="S6" i="15" s="1"/>
  <c r="O6" i="15"/>
  <c r="P6" i="15"/>
  <c r="C7" i="15"/>
  <c r="D7" i="15"/>
  <c r="E7" i="15"/>
  <c r="M7" i="15"/>
  <c r="N7" i="15" s="1"/>
  <c r="O7" i="15"/>
  <c r="P7" i="15"/>
  <c r="C8" i="15"/>
  <c r="D8" i="15"/>
  <c r="G8" i="15" s="1"/>
  <c r="I8" i="15" s="1"/>
  <c r="E8" i="15"/>
  <c r="M8" i="15"/>
  <c r="N8" i="15"/>
  <c r="O8" i="15"/>
  <c r="P8" i="15"/>
  <c r="B9" i="15"/>
  <c r="C9" i="15"/>
  <c r="D9" i="15"/>
  <c r="E9" i="15"/>
  <c r="M9" i="15"/>
  <c r="N9" i="15"/>
  <c r="Q9" i="15" s="1"/>
  <c r="S9" i="15" s="1"/>
  <c r="O9" i="15"/>
  <c r="P9" i="15"/>
  <c r="C10" i="15"/>
  <c r="D10" i="15"/>
  <c r="E10" i="15"/>
  <c r="G10" i="15"/>
  <c r="I10" i="15" s="1"/>
  <c r="M10" i="15"/>
  <c r="N10" i="15"/>
  <c r="O10" i="15"/>
  <c r="P10" i="15"/>
  <c r="C11" i="15"/>
  <c r="D11" i="15" s="1"/>
  <c r="E11" i="15"/>
  <c r="M11" i="15"/>
  <c r="N11" i="15"/>
  <c r="Q11" i="15" s="1"/>
  <c r="S11" i="15" s="1"/>
  <c r="O11" i="15"/>
  <c r="P11" i="15"/>
  <c r="B12" i="15"/>
  <c r="C12" i="15"/>
  <c r="D12" i="15"/>
  <c r="E12" i="15"/>
  <c r="M12" i="15"/>
  <c r="N12" i="15"/>
  <c r="O12" i="15"/>
  <c r="P12" i="15"/>
  <c r="C13" i="15"/>
  <c r="D13" i="15"/>
  <c r="G13" i="15" s="1"/>
  <c r="I13" i="15" s="1"/>
  <c r="E13" i="15"/>
  <c r="M13" i="15"/>
  <c r="N13" i="15"/>
  <c r="O13" i="15"/>
  <c r="P13" i="15"/>
  <c r="Q13" i="15"/>
  <c r="S13" i="15" s="1"/>
  <c r="C14" i="15"/>
  <c r="D14" i="15"/>
  <c r="E14" i="15"/>
  <c r="M14" i="15"/>
  <c r="N14" i="15"/>
  <c r="Q14" i="15" s="1"/>
  <c r="S14" i="15" s="1"/>
  <c r="O14" i="15"/>
  <c r="P14" i="15"/>
  <c r="C15" i="15"/>
  <c r="D15" i="15"/>
  <c r="E15" i="15"/>
  <c r="G15" i="15"/>
  <c r="I15" i="15" s="1"/>
  <c r="M15" i="15"/>
  <c r="N15" i="15"/>
  <c r="O15" i="15"/>
  <c r="P15" i="15"/>
  <c r="C16" i="15"/>
  <c r="D16" i="15" s="1"/>
  <c r="E16" i="15"/>
  <c r="M16" i="15"/>
  <c r="N16" i="15"/>
  <c r="O16" i="15"/>
  <c r="P16" i="15"/>
  <c r="Q16" i="15"/>
  <c r="R16" i="15" s="1"/>
  <c r="C17" i="15"/>
  <c r="D17" i="15"/>
  <c r="E17" i="15"/>
  <c r="M17" i="15"/>
  <c r="N17" i="15"/>
  <c r="Q18" i="15" s="1"/>
  <c r="O17" i="15"/>
  <c r="P17" i="15"/>
  <c r="C18" i="15"/>
  <c r="D18" i="15"/>
  <c r="G18" i="15" s="1"/>
  <c r="E18" i="15"/>
  <c r="M18" i="15"/>
  <c r="N18" i="15"/>
  <c r="O18" i="15"/>
  <c r="P18" i="15"/>
  <c r="R40" i="15"/>
  <c r="R42" i="15"/>
  <c r="H44" i="15"/>
  <c r="H45" i="15"/>
  <c r="H47" i="15" s="1"/>
  <c r="H46" i="15"/>
  <c r="Q8" i="15" l="1"/>
  <c r="S8" i="15" s="1"/>
  <c r="Q7" i="15"/>
  <c r="S7" i="15" s="1"/>
  <c r="R18" i="15"/>
  <c r="S18" i="15" s="1"/>
  <c r="G6" i="15"/>
  <c r="I6" i="15" s="1"/>
  <c r="G7" i="15"/>
  <c r="I7" i="15" s="1"/>
  <c r="G12" i="15"/>
  <c r="I12" i="15" s="1"/>
  <c r="G11" i="15"/>
  <c r="I11" i="15" s="1"/>
  <c r="G16" i="15"/>
  <c r="G17" i="15"/>
  <c r="Q10" i="15"/>
  <c r="S10" i="15" s="1"/>
  <c r="Q12" i="15"/>
  <c r="S12" i="15" s="1"/>
  <c r="G9" i="15"/>
  <c r="I9" i="15" s="1"/>
  <c r="Q15" i="15"/>
  <c r="S15" i="15" s="1"/>
  <c r="G14" i="15"/>
  <c r="I14" i="15" s="1"/>
  <c r="Q17" i="15"/>
  <c r="S16" i="15"/>
  <c r="B18" i="1"/>
  <c r="I20" i="15" l="1"/>
  <c r="I21" i="15" s="1"/>
  <c r="I19" i="15"/>
  <c r="R17" i="15"/>
  <c r="S17" i="15"/>
  <c r="S19" i="15" s="1"/>
  <c r="B12" i="1"/>
  <c r="B11" i="1"/>
  <c r="B10" i="1"/>
  <c r="B9" i="1"/>
  <c r="C11" i="1" l="1"/>
  <c r="G18" i="12" l="1"/>
  <c r="D17" i="12"/>
  <c r="D16" i="12"/>
  <c r="C16" i="12"/>
  <c r="J14" i="12"/>
  <c r="G14" i="12" s="1"/>
  <c r="F14" i="12"/>
  <c r="F15" i="12" s="1"/>
  <c r="F16" i="12" s="1"/>
  <c r="F17" i="12" s="1"/>
  <c r="F18" i="12" s="1"/>
  <c r="F13" i="12"/>
  <c r="E13" i="12"/>
  <c r="A13" i="12"/>
  <c r="A14" i="12" s="1"/>
  <c r="A15" i="12" s="1"/>
  <c r="A16" i="12" s="1"/>
  <c r="A17" i="12" s="1"/>
  <c r="A18" i="12" s="1"/>
  <c r="C14" i="12"/>
  <c r="F19" i="12" l="1"/>
  <c r="F20" i="12" s="1"/>
  <c r="J16" i="12"/>
  <c r="J18" i="12" s="1"/>
  <c r="C17" i="12"/>
  <c r="E17" i="12" s="1"/>
  <c r="E12" i="12"/>
  <c r="B14" i="1" l="1"/>
  <c r="J19" i="12"/>
  <c r="J20" i="12" s="1"/>
  <c r="C18" i="12"/>
  <c r="G20" i="12"/>
  <c r="E14" i="12"/>
  <c r="E16" i="12"/>
  <c r="E18" i="12" s="1"/>
  <c r="B13" i="1" l="1"/>
  <c r="C9" i="1"/>
  <c r="C13" i="1" s="1"/>
  <c r="D11" i="1" l="1"/>
  <c r="B15" i="1" l="1"/>
  <c r="B19" i="1" s="1"/>
  <c r="D9" i="1"/>
  <c r="D13" i="1" s="1"/>
</calcChain>
</file>

<file path=xl/sharedStrings.xml><?xml version="1.0" encoding="utf-8"?>
<sst xmlns="http://schemas.openxmlformats.org/spreadsheetml/2006/main" count="149" uniqueCount="88">
  <si>
    <t>Gross up for revenue sensitive items</t>
  </si>
  <si>
    <t>Over / under pass back of proceeds from prior rate period</t>
  </si>
  <si>
    <t>Over / under pass back of interest from prior rate period</t>
  </si>
  <si>
    <t>Description</t>
  </si>
  <si>
    <t>New net proceeds to be passed back</t>
  </si>
  <si>
    <t>Period</t>
  </si>
  <si>
    <t>Debit</t>
  </si>
  <si>
    <t>Credit</t>
  </si>
  <si>
    <t>Balance</t>
  </si>
  <si>
    <t>Cumulative balance</t>
  </si>
  <si>
    <t>Balance Carryforward</t>
  </si>
  <si>
    <t>1</t>
  </si>
  <si>
    <t>2</t>
  </si>
  <si>
    <t>3</t>
  </si>
  <si>
    <t>4</t>
  </si>
  <si>
    <t>5</t>
  </si>
  <si>
    <t>6</t>
  </si>
  <si>
    <t>7</t>
  </si>
  <si>
    <t>8</t>
  </si>
  <si>
    <t>9</t>
  </si>
  <si>
    <t>10</t>
  </si>
  <si>
    <t>CONVERSION FACTOR</t>
  </si>
  <si>
    <t>LINE</t>
  </si>
  <si>
    <t>NO.</t>
  </si>
  <si>
    <t>DESCRIPTION</t>
  </si>
  <si>
    <t>BAD DEBTS</t>
  </si>
  <si>
    <t>ANNUAL FILING FEE</t>
  </si>
  <si>
    <t>SUM OF TAXES OTHER</t>
  </si>
  <si>
    <t>25400291 Proceeds Already Set in Rates - Currently Amortizing</t>
  </si>
  <si>
    <t>25400221 REC Current Proceeds Not in Rates</t>
  </si>
  <si>
    <t>Revenue Requirement for Schedule 137</t>
  </si>
  <si>
    <t>REC</t>
  </si>
  <si>
    <t>Sched 137</t>
  </si>
  <si>
    <t>Allocation b/w</t>
  </si>
  <si>
    <t>Prin and Int</t>
  </si>
  <si>
    <t>25400301 Interest on RECs IN RATES</t>
  </si>
  <si>
    <t>25400311 Interest on RECs NOT In Rates</t>
  </si>
  <si>
    <t>Interest Review for REC proceeds in and not-yet-in rates:  Account # 25400221 and 25400291</t>
  </si>
  <si>
    <t>Date</t>
  </si>
  <si>
    <t>Accumulated DFIT</t>
  </si>
  <si>
    <t>Proceeds net of DFIT</t>
  </si>
  <si>
    <t>FIT Grossup Factor</t>
  </si>
  <si>
    <t>Monthly Interest on 25400221 S/B CR to 25400311 DR to 43100181</t>
  </si>
  <si>
    <t>Difference S/B recorded to 25400301</t>
  </si>
  <si>
    <t>Net Balance</t>
  </si>
  <si>
    <t>Monthly Interest on 25400291 S/B  CR to 25400301 DR to 43100141</t>
  </si>
  <si>
    <t>COST</t>
  </si>
  <si>
    <t>CAPITAL</t>
  </si>
  <si>
    <t>EQUITY</t>
  </si>
  <si>
    <t>TOTAL AFTER TAX COST OF CAPITAL</t>
  </si>
  <si>
    <t>Based on actual balance using authorized ROR and FIT rate</t>
  </si>
  <si>
    <r>
      <t xml:space="preserve">Balance Proceeds </t>
    </r>
    <r>
      <rPr>
        <sz val="11"/>
        <color rgb="FF0000FF"/>
        <rFont val="Calibri"/>
        <family val="2"/>
      </rPr>
      <t>Not In Rates</t>
    </r>
    <r>
      <rPr>
        <sz val="11"/>
        <color theme="1"/>
        <rFont val="Calibri"/>
        <family val="2"/>
        <scheme val="minor"/>
      </rPr>
      <t xml:space="preserve"> 25400221</t>
    </r>
  </si>
  <si>
    <r>
      <t xml:space="preserve">Balance Proceeds </t>
    </r>
    <r>
      <rPr>
        <sz val="11"/>
        <color rgb="FF0000FF"/>
        <rFont val="Calibri"/>
        <family val="2"/>
      </rPr>
      <t>In Rates</t>
    </r>
    <r>
      <rPr>
        <sz val="11"/>
        <color theme="1"/>
        <rFont val="Calibri"/>
        <family val="2"/>
        <scheme val="minor"/>
      </rPr>
      <t xml:space="preserve"> 25400291</t>
    </r>
  </si>
  <si>
    <t>Difference S/B recorded to 25400311</t>
  </si>
  <si>
    <t>After Tax Interest % UE-180282</t>
  </si>
  <si>
    <t>EXH. SEF-18E page 2 of 6</t>
  </si>
  <si>
    <t>EXH. SEF-18E page 3 of 6</t>
  </si>
  <si>
    <t xml:space="preserve">PUGET SOUND ENERGY </t>
  </si>
  <si>
    <t>ELECTRIC RESULTS OF OPERATIONS</t>
  </si>
  <si>
    <t>COST OF CAPITAL - GRC</t>
  </si>
  <si>
    <t>WEIGHTED</t>
  </si>
  <si>
    <t>STRUCTURE</t>
  </si>
  <si>
    <t>SHORT AND LONG TERM DEBT</t>
  </si>
  <si>
    <t>TOTAL</t>
  </si>
  <si>
    <t>AFTER TAX SHORT TERM DEBT ( (LINE 1)* 79%)</t>
  </si>
  <si>
    <t>12 MONTHS ENDED DECEMBER 31, 2018</t>
  </si>
  <si>
    <t>2019 GENERAL RATE CASE</t>
  </si>
  <si>
    <t>FEDERAL INCOME TAX ( LINE 7  * 21% )</t>
  </si>
  <si>
    <t>UE-190529</t>
  </si>
  <si>
    <r>
      <t xml:space="preserve">Actually Recorded to 25400311 </t>
    </r>
    <r>
      <rPr>
        <i/>
        <sz val="11"/>
        <color theme="1"/>
        <rFont val="Calibri"/>
        <family val="2"/>
      </rPr>
      <t>excluding prior trueups</t>
    </r>
  </si>
  <si>
    <t>Decrease to Revenue Requirement Credit</t>
  </si>
  <si>
    <t>Transfer of Proceeds</t>
  </si>
  <si>
    <t>To Be Effective January 1, 2023</t>
  </si>
  <si>
    <t>REC's 2022 Actuals for 2023 rates</t>
  </si>
  <si>
    <t>&lt;=Only portion updated for 2023 filing</t>
  </si>
  <si>
    <t>Revenue Requirement (credit depicts credit to customers)</t>
  </si>
  <si>
    <t>&lt;= rate should be set to zero based on estimate</t>
  </si>
  <si>
    <t>Interest not in rates to be passed back through Sept 2022</t>
  </si>
  <si>
    <t>Revenue Requirement Effective January 1, 2023</t>
  </si>
  <si>
    <t>Note 1: due to the deadline of the Notice to Customers for possible rate increases, actuals recorded in SAP as of mid October (not October close), will be utilized for the 2023 Rate estimate</t>
  </si>
  <si>
    <t>Oct Invoice to be rec'd Oct 2022</t>
  </si>
  <si>
    <t>Energy Acct thru Sept</t>
  </si>
  <si>
    <t>ties above</t>
  </si>
  <si>
    <t>Mid-October (see Note 1)</t>
  </si>
  <si>
    <t>September (see Note 1)</t>
  </si>
  <si>
    <t>ZERO True-up to be booked in Oct 2021 business</t>
  </si>
  <si>
    <t>(drill into each)</t>
  </si>
  <si>
    <t>Actually Recorded to 25400301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</si>
</sst>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1" formatCode="_(* #,##0_);_(* \(#,##0\);_(* &quot;-&quot;_);_(@_)"/>
    <numFmt numFmtId="43" formatCode="_(* #,##0.00_);_(* \(#,##0.00\);_(* &quot;-&quot;??_);_(@_)"/>
    <numFmt numFmtId="164" formatCode="#,##0.000000_);[Red]\(#,##0.000000\)"/>
    <numFmt numFmtId="165" formatCode="0.000000"/>
    <numFmt numFmtId="166" formatCode="0.0000%"/>
    <numFmt numFmtId="167" formatCode="_(* #,##0_);_(* \(#,##0\);_(* &quot;-&quot;??_);_(@_)"/>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sz val="11"/>
      <color rgb="FFFF0000"/>
      <name val="Calibri"/>
      <family val="2"/>
      <scheme val="minor"/>
    </font>
    <font>
      <sz val="11"/>
      <color rgb="FF0000FF"/>
      <name val="Calibri"/>
      <family val="2"/>
      <scheme val="minor"/>
    </font>
    <font>
      <sz val="11"/>
      <color rgb="FF0000FF"/>
      <name val="Calibri"/>
      <family val="2"/>
    </font>
    <font>
      <sz val="8"/>
      <color rgb="FFFF0000"/>
      <name val="Calibri"/>
      <family val="2"/>
      <scheme val="minor"/>
    </font>
    <font>
      <sz val="10"/>
      <color theme="1"/>
      <name val="Times New Roman"/>
      <family val="1"/>
    </font>
    <font>
      <b/>
      <sz val="11"/>
      <color theme="1"/>
      <name val="Times New Roman"/>
      <family val="1"/>
    </font>
    <font>
      <b/>
      <sz val="10"/>
      <color theme="1"/>
      <name val="Times New Roman"/>
      <family val="1"/>
    </font>
    <font>
      <b/>
      <sz val="14"/>
      <color theme="1"/>
      <name val="Times New Roman"/>
      <family val="1"/>
    </font>
    <font>
      <i/>
      <sz val="11"/>
      <color theme="1"/>
      <name val="Calibri"/>
      <family val="2"/>
    </font>
    <font>
      <sz val="9"/>
      <color rgb="FFFF0000"/>
      <name val="Calibri"/>
      <family val="2"/>
      <scheme val="minor"/>
    </font>
    <font>
      <b/>
      <sz val="11"/>
      <name val="Calibri"/>
      <family val="2"/>
      <scheme val="minor"/>
    </font>
    <font>
      <sz val="11"/>
      <name val="Calibri"/>
      <family val="2"/>
      <scheme val="minor"/>
    </font>
    <font>
      <b/>
      <sz val="8"/>
      <color rgb="FFFF0000"/>
      <name val="Calibri"/>
      <family val="2"/>
      <scheme val="minor"/>
    </font>
    <font>
      <b/>
      <sz val="10"/>
      <color rgb="FFFF0000"/>
      <name val="Times New Roman"/>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DDDD"/>
        <bgColor indexed="64"/>
      </patternFill>
    </fill>
    <fill>
      <patternFill patternType="solid">
        <fgColor theme="9" tint="0.79998168889431442"/>
        <bgColor indexed="64"/>
      </patternFill>
    </fill>
    <fill>
      <patternFill patternType="solid">
        <fgColor theme="2"/>
        <bgColor indexed="64"/>
      </patternFill>
    </fill>
    <fill>
      <patternFill patternType="solid">
        <fgColor rgb="FFCCFF33"/>
        <bgColor indexed="64"/>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9" fillId="0" borderId="0"/>
    <xf numFmtId="0" fontId="1" fillId="0" borderId="0"/>
    <xf numFmtId="0" fontId="19" fillId="0" borderId="0"/>
    <xf numFmtId="43" fontId="1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cellStyleXfs>
  <cellXfs count="108">
    <xf numFmtId="0" fontId="0" fillId="0" borderId="0" xfId="0"/>
    <xf numFmtId="0" fontId="0" fillId="0" borderId="0" xfId="0" applyAlignment="1">
      <alignment horizontal="center"/>
    </xf>
    <xf numFmtId="0" fontId="0" fillId="0" borderId="10" xfId="0" applyBorder="1" applyAlignment="1">
      <alignment horizontal="center"/>
    </xf>
    <xf numFmtId="164" fontId="0" fillId="0" borderId="0" xfId="0" applyNumberFormat="1"/>
    <xf numFmtId="41" fontId="0" fillId="0" borderId="0" xfId="0" applyNumberFormat="1"/>
    <xf numFmtId="42" fontId="0" fillId="0" borderId="0" xfId="0" applyNumberFormat="1"/>
    <xf numFmtId="41" fontId="0" fillId="0" borderId="11" xfId="0" applyNumberFormat="1" applyBorder="1"/>
    <xf numFmtId="0" fontId="18" fillId="33" borderId="13" xfId="44" applyFont="1" applyFill="1" applyBorder="1"/>
    <xf numFmtId="0" fontId="0" fillId="0" borderId="17" xfId="0" applyBorder="1"/>
    <xf numFmtId="4" fontId="18" fillId="0" borderId="0" xfId="43" applyNumberFormat="1" applyFont="1" applyBorder="1" applyAlignment="1">
      <alignment horizontal="right"/>
    </xf>
    <xf numFmtId="0" fontId="0" fillId="0" borderId="16" xfId="0" applyBorder="1"/>
    <xf numFmtId="0" fontId="0" fillId="0" borderId="15" xfId="0" applyBorder="1"/>
    <xf numFmtId="0" fontId="0" fillId="0" borderId="18" xfId="0" applyBorder="1"/>
    <xf numFmtId="0" fontId="0" fillId="0" borderId="14" xfId="0" applyBorder="1"/>
    <xf numFmtId="0" fontId="0" fillId="0" borderId="0" xfId="0" applyBorder="1"/>
    <xf numFmtId="0" fontId="0" fillId="0" borderId="19" xfId="0" applyBorder="1"/>
    <xf numFmtId="0" fontId="0" fillId="0" borderId="20" xfId="0" applyBorder="1"/>
    <xf numFmtId="0" fontId="0" fillId="0" borderId="21" xfId="0" applyBorder="1"/>
    <xf numFmtId="0" fontId="18" fillId="0" borderId="0" xfId="44" applyFont="1" applyBorder="1"/>
    <xf numFmtId="4" fontId="18" fillId="0" borderId="0" xfId="44" applyNumberFormat="1" applyFont="1" applyBorder="1" applyAlignment="1">
      <alignment horizontal="right"/>
    </xf>
    <xf numFmtId="43" fontId="0" fillId="0" borderId="0" xfId="0" applyNumberFormat="1"/>
    <xf numFmtId="10" fontId="0" fillId="0" borderId="0" xfId="1" applyNumberFormat="1" applyFont="1"/>
    <xf numFmtId="0" fontId="20" fillId="0" borderId="0" xfId="0" applyFont="1"/>
    <xf numFmtId="4" fontId="0" fillId="0" borderId="0" xfId="0" applyNumberFormat="1" applyAlignment="1">
      <alignment horizontal="right" vertical="top"/>
    </xf>
    <xf numFmtId="0" fontId="16" fillId="0" borderId="0" xfId="0" applyFont="1"/>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167" fontId="0" fillId="0" borderId="0" xfId="49" applyNumberFormat="1" applyFont="1"/>
    <xf numFmtId="43" fontId="0" fillId="0" borderId="0" xfId="49" applyNumberFormat="1" applyFont="1"/>
    <xf numFmtId="43" fontId="0" fillId="0" borderId="0" xfId="49" applyFont="1" applyFill="1"/>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21" fillId="0" borderId="23" xfId="0" applyFont="1" applyBorder="1" applyAlignment="1">
      <alignment horizontal="centerContinuous"/>
    </xf>
    <xf numFmtId="0" fontId="21" fillId="0" borderId="24" xfId="0" applyFont="1" applyBorder="1" applyAlignment="1">
      <alignment horizontal="centerContinuous"/>
    </xf>
    <xf numFmtId="0" fontId="21" fillId="0" borderId="25" xfId="0" applyFont="1" applyBorder="1" applyAlignment="1">
      <alignment horizontal="centerContinuous"/>
    </xf>
    <xf numFmtId="0" fontId="23" fillId="0" borderId="0" xfId="0" applyFont="1" applyBorder="1" applyAlignment="1">
      <alignment horizontal="center" vertical="center"/>
    </xf>
    <xf numFmtId="0" fontId="24" fillId="0" borderId="0" xfId="0" applyFont="1" applyFill="1"/>
    <xf numFmtId="0" fontId="25" fillId="0" borderId="29" xfId="0" applyFont="1" applyFill="1" applyBorder="1" applyAlignment="1">
      <alignment horizontal="centerContinuous"/>
    </xf>
    <xf numFmtId="0" fontId="25" fillId="0" borderId="30" xfId="0" applyFont="1" applyFill="1" applyBorder="1" applyAlignment="1">
      <alignment horizontal="centerContinuous"/>
    </xf>
    <xf numFmtId="0" fontId="25" fillId="0" borderId="22" xfId="0" applyFont="1" applyFill="1" applyBorder="1" applyAlignment="1">
      <alignment horizontal="centerContinuous"/>
    </xf>
    <xf numFmtId="0" fontId="26" fillId="0" borderId="0" xfId="0" applyFont="1" applyFill="1" applyAlignment="1">
      <alignment horizontal="centerContinuous"/>
    </xf>
    <xf numFmtId="0" fontId="24" fillId="0" borderId="0" xfId="0" applyFont="1" applyFill="1" applyAlignment="1">
      <alignment horizontal="centerContinuous"/>
    </xf>
    <xf numFmtId="0" fontId="26" fillId="0" borderId="0" xfId="0" applyNumberFormat="1" applyFont="1" applyFill="1" applyAlignment="1">
      <alignment horizontal="center"/>
    </xf>
    <xf numFmtId="0" fontId="26" fillId="0" borderId="0" xfId="0" applyFont="1" applyFill="1" applyAlignment="1">
      <alignment horizontal="center"/>
    </xf>
    <xf numFmtId="0" fontId="26" fillId="0" borderId="10" xfId="0" applyNumberFormat="1" applyFont="1" applyFill="1" applyBorder="1" applyAlignment="1">
      <alignment horizontal="center"/>
    </xf>
    <xf numFmtId="0" fontId="26" fillId="0" borderId="10" xfId="0" applyFont="1" applyFill="1" applyBorder="1" applyAlignment="1">
      <alignment horizontal="center"/>
    </xf>
    <xf numFmtId="0" fontId="24" fillId="0" borderId="10" xfId="0" applyFont="1" applyFill="1" applyBorder="1"/>
    <xf numFmtId="0" fontId="24" fillId="0" borderId="0" xfId="0" applyNumberFormat="1" applyFont="1" applyFill="1" applyAlignment="1">
      <alignment horizontal="center"/>
    </xf>
    <xf numFmtId="0" fontId="24" fillId="0" borderId="0" xfId="0" applyNumberFormat="1" applyFont="1" applyFill="1" applyAlignment="1"/>
    <xf numFmtId="10" fontId="24" fillId="0" borderId="0" xfId="0" applyNumberFormat="1" applyFont="1" applyFill="1"/>
    <xf numFmtId="0" fontId="24" fillId="0" borderId="0" xfId="0" applyNumberFormat="1" applyFont="1" applyFill="1" applyAlignment="1">
      <alignment horizontal="left"/>
    </xf>
    <xf numFmtId="165" fontId="24" fillId="0" borderId="0" xfId="0" applyNumberFormat="1" applyFont="1" applyFill="1" applyAlignment="1"/>
    <xf numFmtId="9" fontId="24" fillId="0" borderId="11" xfId="0" applyNumberFormat="1" applyFont="1" applyFill="1" applyBorder="1"/>
    <xf numFmtId="0" fontId="24" fillId="0" borderId="11" xfId="0" applyFont="1" applyFill="1" applyBorder="1"/>
    <xf numFmtId="10" fontId="24" fillId="0" borderId="11" xfId="0" applyNumberFormat="1" applyFont="1" applyFill="1" applyBorder="1"/>
    <xf numFmtId="166" fontId="24" fillId="0" borderId="0" xfId="0" applyNumberFormat="1" applyFont="1" applyFill="1" applyAlignment="1"/>
    <xf numFmtId="165" fontId="24" fillId="0" borderId="10" xfId="0" applyNumberFormat="1" applyFont="1" applyFill="1" applyBorder="1" applyAlignment="1"/>
    <xf numFmtId="165" fontId="24" fillId="0" borderId="0" xfId="0" applyNumberFormat="1" applyFont="1" applyFill="1" applyBorder="1" applyAlignment="1"/>
    <xf numFmtId="9" fontId="24" fillId="0" borderId="0" xfId="0" applyNumberFormat="1" applyFont="1" applyFill="1" applyAlignment="1"/>
    <xf numFmtId="41" fontId="24" fillId="0" borderId="0" xfId="0" applyNumberFormat="1" applyFont="1" applyFill="1"/>
    <xf numFmtId="0" fontId="0" fillId="0" borderId="0" xfId="0" applyFont="1" applyFill="1"/>
    <xf numFmtId="0" fontId="27" fillId="0" borderId="0" xfId="0" applyFont="1" applyFill="1"/>
    <xf numFmtId="165" fontId="24" fillId="34" borderId="12" xfId="0" applyNumberFormat="1" applyFont="1" applyFill="1" applyBorder="1" applyAlignment="1" applyProtection="1">
      <protection locked="0"/>
    </xf>
    <xf numFmtId="10" fontId="24" fillId="34" borderId="11" xfId="0" applyNumberFormat="1" applyFont="1" applyFill="1" applyBorder="1"/>
    <xf numFmtId="17" fontId="0" fillId="0" borderId="0" xfId="0" applyNumberFormat="1" applyFill="1"/>
    <xf numFmtId="167" fontId="0" fillId="0" borderId="0" xfId="49" applyNumberFormat="1" applyFont="1" applyFill="1"/>
    <xf numFmtId="43" fontId="0" fillId="0" borderId="0" xfId="0" applyNumberFormat="1" applyFill="1"/>
    <xf numFmtId="10" fontId="0" fillId="0" borderId="0" xfId="1" applyNumberFormat="1" applyFont="1" applyFill="1"/>
    <xf numFmtId="0" fontId="0" fillId="0" borderId="0" xfId="0" applyFill="1"/>
    <xf numFmtId="43" fontId="0" fillId="0" borderId="0" xfId="49" applyNumberFormat="1" applyFont="1" applyFill="1"/>
    <xf numFmtId="0" fontId="0" fillId="0" borderId="0" xfId="0" applyFill="1" applyBorder="1" applyAlignment="1">
      <alignment horizontal="center" vertical="center" wrapText="1"/>
    </xf>
    <xf numFmtId="0" fontId="0" fillId="0" borderId="0" xfId="0" applyFill="1" applyAlignment="1">
      <alignment horizontal="center" vertical="center" wrapText="1"/>
    </xf>
    <xf numFmtId="167" fontId="0" fillId="0" borderId="11" xfId="0" applyNumberFormat="1" applyBorder="1"/>
    <xf numFmtId="9" fontId="0" fillId="0" borderId="11" xfId="0" applyNumberFormat="1" applyBorder="1"/>
    <xf numFmtId="0" fontId="29" fillId="0" borderId="0" xfId="0" applyFont="1"/>
    <xf numFmtId="43" fontId="29" fillId="0" borderId="0" xfId="49" applyNumberFormat="1" applyFont="1" applyFill="1"/>
    <xf numFmtId="43" fontId="29" fillId="0" borderId="0" xfId="0" applyNumberFormat="1" applyFont="1" applyFill="1"/>
    <xf numFmtId="43" fontId="29" fillId="0" borderId="0" xfId="49" applyNumberFormat="1" applyFont="1" applyFill="1" applyAlignment="1">
      <alignment horizontal="right"/>
    </xf>
    <xf numFmtId="167" fontId="29" fillId="0" borderId="0" xfId="0" applyNumberFormat="1" applyFont="1"/>
    <xf numFmtId="42" fontId="0" fillId="0" borderId="12" xfId="0" applyNumberFormat="1" applyFill="1" applyBorder="1"/>
    <xf numFmtId="167" fontId="1" fillId="0" borderId="0" xfId="50" applyNumberFormat="1" applyFont="1" applyFill="1" applyAlignment="1">
      <alignment horizontal="right" vertical="top"/>
    </xf>
    <xf numFmtId="43" fontId="1" fillId="0" borderId="0" xfId="50" applyFont="1" applyAlignment="1">
      <alignment horizontal="right" vertical="top"/>
    </xf>
    <xf numFmtId="167" fontId="0" fillId="0" borderId="12" xfId="0" applyNumberFormat="1" applyBorder="1"/>
    <xf numFmtId="43" fontId="29" fillId="0" borderId="0" xfId="50" applyFont="1" applyFill="1" applyAlignment="1">
      <alignment horizontal="right" vertical="top"/>
    </xf>
    <xf numFmtId="167" fontId="29" fillId="0" borderId="0" xfId="50" applyNumberFormat="1" applyFont="1" applyFill="1" applyAlignment="1">
      <alignment horizontal="right" vertical="top"/>
    </xf>
    <xf numFmtId="0" fontId="30" fillId="35" borderId="0" xfId="0" applyFont="1" applyFill="1"/>
    <xf numFmtId="0" fontId="31" fillId="35" borderId="0" xfId="0" applyFont="1" applyFill="1"/>
    <xf numFmtId="167" fontId="20" fillId="0" borderId="0" xfId="0" applyNumberFormat="1" applyFont="1"/>
    <xf numFmtId="0" fontId="32" fillId="0" borderId="0" xfId="0" applyFont="1"/>
    <xf numFmtId="165" fontId="33" fillId="0" borderId="0" xfId="0" applyNumberFormat="1" applyFont="1" applyFill="1" applyAlignment="1"/>
    <xf numFmtId="0" fontId="14" fillId="0" borderId="0" xfId="0" applyFont="1"/>
    <xf numFmtId="0" fontId="18" fillId="36" borderId="0" xfId="44" applyFont="1" applyFill="1" applyBorder="1"/>
    <xf numFmtId="4" fontId="18" fillId="36" borderId="0" xfId="44" applyNumberFormat="1" applyFont="1" applyFill="1" applyBorder="1" applyAlignment="1">
      <alignment horizontal="right"/>
    </xf>
    <xf numFmtId="4" fontId="18" fillId="36" borderId="0" xfId="43" applyNumberFormat="1" applyFont="1" applyFill="1" applyBorder="1" applyAlignment="1">
      <alignment horizontal="right"/>
    </xf>
    <xf numFmtId="4" fontId="0" fillId="36" borderId="0" xfId="0" applyNumberFormat="1" applyFill="1" applyAlignment="1">
      <alignment horizontal="right" vertical="top"/>
    </xf>
    <xf numFmtId="42" fontId="0" fillId="36" borderId="12" xfId="0" applyNumberFormat="1" applyFill="1" applyBorder="1"/>
    <xf numFmtId="167" fontId="14" fillId="0" borderId="0" xfId="0" applyNumberFormat="1" applyFont="1"/>
    <xf numFmtId="0" fontId="0" fillId="36" borderId="0" xfId="0" applyFill="1"/>
    <xf numFmtId="0" fontId="20" fillId="36" borderId="0" xfId="0" applyFont="1" applyFill="1"/>
    <xf numFmtId="167" fontId="20" fillId="36" borderId="31" xfId="0" applyNumberFormat="1" applyFont="1" applyFill="1" applyBorder="1"/>
    <xf numFmtId="43" fontId="0" fillId="0" borderId="0" xfId="49" applyNumberFormat="1" applyFont="1" applyAlignment="1">
      <alignment horizontal="right" vertical="top"/>
    </xf>
    <xf numFmtId="43" fontId="0" fillId="37" borderId="0" xfId="49" applyNumberFormat="1" applyFont="1" applyFill="1" applyAlignment="1">
      <alignment horizontal="right" vertical="top"/>
    </xf>
    <xf numFmtId="43" fontId="0" fillId="0" borderId="0" xfId="49" applyNumberFormat="1" applyFont="1" applyFill="1" applyAlignment="1">
      <alignment horizontal="right" vertical="top"/>
    </xf>
    <xf numFmtId="0" fontId="32" fillId="0" borderId="0" xfId="0" applyFont="1" applyFill="1" applyAlignment="1">
      <alignment horizontal="center" vertical="center" wrapText="1"/>
    </xf>
  </cellXfs>
  <cellStyles count="51">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9" builtinId="3"/>
    <cellStyle name="Comma 10" xfId="48"/>
    <cellStyle name="Comma 10 2" xfId="5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15 2" xfId="46"/>
    <cellStyle name="Normal 125" xfId="45"/>
    <cellStyle name="Normal 126" xfId="47"/>
    <cellStyle name="Normal 129" xfId="44"/>
    <cellStyle name="Normal 2" xfId="43"/>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CCFF33"/>
      <color rgb="FFFF66FF"/>
      <color rgb="FFFF00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207065</xdr:colOff>
      <xdr:row>24</xdr:row>
      <xdr:rowOff>82826</xdr:rowOff>
    </xdr:from>
    <xdr:ext cx="5085714" cy="4819048"/>
    <xdr:pic>
      <xdr:nvPicPr>
        <xdr:cNvPr id="2" name="Picture 1"/>
        <xdr:cNvPicPr>
          <a:picLocks noChangeAspect="1"/>
        </xdr:cNvPicPr>
      </xdr:nvPicPr>
      <xdr:blipFill>
        <a:blip xmlns:r="http://schemas.openxmlformats.org/officeDocument/2006/relationships" r:embed="rId1"/>
        <a:stretch>
          <a:fillRect/>
        </a:stretch>
      </xdr:blipFill>
      <xdr:spPr>
        <a:xfrm>
          <a:off x="207065" y="4654826"/>
          <a:ext cx="5085714" cy="4819048"/>
        </a:xfrm>
        <a:prstGeom prst="rect">
          <a:avLst/>
        </a:prstGeom>
      </xdr:spPr>
    </xdr:pic>
    <xdr:clientData/>
  </xdr:oneCellAnchor>
  <xdr:oneCellAnchor>
    <xdr:from>
      <xdr:col>10</xdr:col>
      <xdr:colOff>240194</xdr:colOff>
      <xdr:row>22</xdr:row>
      <xdr:rowOff>178523</xdr:rowOff>
    </xdr:from>
    <xdr:ext cx="4610429" cy="4343781"/>
    <xdr:pic>
      <xdr:nvPicPr>
        <xdr:cNvPr id="3" name="Picture 2"/>
        <xdr:cNvPicPr>
          <a:picLocks noChangeAspect="1"/>
        </xdr:cNvPicPr>
      </xdr:nvPicPr>
      <xdr:blipFill>
        <a:blip xmlns:r="http://schemas.openxmlformats.org/officeDocument/2006/relationships" r:embed="rId2"/>
        <a:stretch>
          <a:fillRect/>
        </a:stretch>
      </xdr:blipFill>
      <xdr:spPr>
        <a:xfrm>
          <a:off x="6336194" y="4369523"/>
          <a:ext cx="4610429" cy="43437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pRates\Public\2018\2018%20Tax%20Reform%20WP\RevReq%20WP\%23Electric%20Model%20Tax%20Reform%202017%20GRC%20(SETTLE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23%202019%20GRC/Compliance%20Filing/190529-30-PSE-WP-Cmpl-RevReq-COS-(9-23-20)(C)/190529-30-PSE-WP-SEF-18.00E-ELECTRIC-MODEL-REBUTTAL-19GRC-0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pRevnu\PUBLIC\Schedules\Schedule%20137%20-%20REC%20Revenues%20(2012%20and%20forward)\Jan%202019%20rate\Dirty%20Set%20Schedule%20137%20REC%20Rev%20Req%202019%20Workpap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pRevnu/PUBLIC/Schedules/Schedule%20137%20-%20REC%20Revenues%20(2012%20and%20forward)/Jan%202022%20rate/Schedule%20137%20REC%20Rev%20Req%202022%20Workpap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pRevnu/PUBLIC/Schedules/Schedule%20137%20-%20REC%20Revenues%20(2012%20and%20forward)/Jan%202023%20rate/Interest%20Review%20and%20Transfer%20for%20Jan%202023%20Busin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
      <sheetName val="Summary"/>
      <sheetName val="ETR"/>
      <sheetName val="KJB-3,11 Def"/>
      <sheetName val="KJB-6,13 Cmn Adj"/>
      <sheetName val="KJB-7,14 El Adj"/>
      <sheetName val="Power Cost Bridge to A-1"/>
      <sheetName val="Exh.A-1"/>
      <sheetName val="RJR Prod O&amp;M"/>
      <sheetName val="PKW RY PC1"/>
      <sheetName val="MCC-2r page 7-30 Black Box"/>
      <sheetName val="Work Papers==&gt;"/>
      <sheetName val="Verify Pwr Costs"/>
      <sheetName val="Centralia Equity Kicker"/>
      <sheetName val="For Prod Adj Ratebase"/>
      <sheetName val="For Prod Adj Expense"/>
      <sheetName val="Trans Ratebase"/>
      <sheetName val="Trans OATT Revenue"/>
    </sheetNames>
    <sheetDataSet>
      <sheetData sheetId="0"/>
      <sheetData sheetId="1"/>
      <sheetData sheetId="2"/>
      <sheetData sheetId="3"/>
      <sheetData sheetId="4">
        <row r="7">
          <cell r="B7" t="str">
            <v>FOR THE TWELVE MONTHS ENDED SEPTEMBER 30, 2016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lfwd"/>
      <sheetName val="COC, Def, ConvF"/>
      <sheetName val="Appendix"/>
      <sheetName val="141X&amp;141Z"/>
      <sheetName val="Summary"/>
      <sheetName val="Detailed Summary"/>
      <sheetName val="COC-Restating"/>
      <sheetName val="Common Adj"/>
      <sheetName val="Electric Adj"/>
      <sheetName val="Power Cost Bridge to A-1"/>
      <sheetName val="Named Ranges E"/>
      <sheetName val="Impacts"/>
      <sheetName val="admin n tracking==&gt;"/>
      <sheetName val="Track diff for Impa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C3">
            <v>0.21</v>
          </cell>
        </row>
        <row r="4">
          <cell r="C4" t="str">
            <v>2019 GENERAL RATE CASE</v>
          </cell>
        </row>
        <row r="5">
          <cell r="C5" t="str">
            <v>12 MONTHS ENDED DECEMBER 31, 2018</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
      <sheetName val="Tracking Accounts"/>
      <sheetName val="Conv Factor"/>
      <sheetName val="Interest Review for Jan 2019"/>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
      <sheetName val="Tracking Accounts"/>
      <sheetName val="Intrst Rev &amp; Tfr Bal Jan 21"/>
      <sheetName val="Conv F and COC UE-190529"/>
    </sheetNames>
    <sheetDataSet>
      <sheetData sheetId="0">
        <row r="15">
          <cell r="B15">
            <v>-423638.03535850043</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2022 137 Trf Entries"/>
      <sheetName val="A0 - Recon (2)"/>
      <sheetName val="A0 - Recon"/>
      <sheetName val="Conv F and COC UE-190529"/>
    </sheetNames>
    <sheetDataSet>
      <sheetData sheetId="0"/>
      <sheetData sheetId="1">
        <row r="33">
          <cell r="R33">
            <v>-65800.099999999991</v>
          </cell>
        </row>
      </sheetData>
      <sheetData sheetId="2"/>
      <sheetData sheetId="3">
        <row r="18">
          <cell r="E18">
            <v>6.8000000000000005E-2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tabSelected="1" workbookViewId="0">
      <selection activeCell="C16" sqref="C16"/>
    </sheetView>
  </sheetViews>
  <sheetFormatPr defaultRowHeight="15" x14ac:dyDescent="0.25"/>
  <cols>
    <col min="1" max="1" width="53" bestFit="1" customWidth="1"/>
    <col min="2" max="2" width="14.140625" customWidth="1"/>
    <col min="3" max="3" width="14" bestFit="1" customWidth="1"/>
    <col min="4" max="4" width="14.140625" bestFit="1" customWidth="1"/>
    <col min="6" max="7" width="12.28515625" bestFit="1" customWidth="1"/>
    <col min="9" max="9" width="10.7109375" bestFit="1" customWidth="1"/>
    <col min="10" max="10" width="9.7109375" bestFit="1" customWidth="1"/>
  </cols>
  <sheetData>
    <row r="1" spans="1:4" x14ac:dyDescent="0.25">
      <c r="A1" t="s">
        <v>30</v>
      </c>
    </row>
    <row r="2" spans="1:4" x14ac:dyDescent="0.25">
      <c r="A2" t="s">
        <v>72</v>
      </c>
    </row>
    <row r="6" spans="1:4" x14ac:dyDescent="0.25">
      <c r="B6" s="1" t="s">
        <v>31</v>
      </c>
    </row>
    <row r="7" spans="1:4" x14ac:dyDescent="0.25">
      <c r="A7" s="2" t="s">
        <v>3</v>
      </c>
      <c r="B7" s="2" t="s">
        <v>32</v>
      </c>
      <c r="D7" s="1" t="s">
        <v>33</v>
      </c>
    </row>
    <row r="8" spans="1:4" x14ac:dyDescent="0.25">
      <c r="D8" s="1" t="s">
        <v>34</v>
      </c>
    </row>
    <row r="9" spans="1:4" x14ac:dyDescent="0.25">
      <c r="A9" t="s">
        <v>4</v>
      </c>
      <c r="B9" s="5">
        <f>'Tracking Accounts'!G17</f>
        <v>-65800.100000000006</v>
      </c>
      <c r="C9" s="5">
        <f>+B9+B10</f>
        <v>6847.7299999999959</v>
      </c>
      <c r="D9" s="21">
        <f>+C9/C13</f>
        <v>-2.3097859450999398</v>
      </c>
    </row>
    <row r="10" spans="1:4" x14ac:dyDescent="0.25">
      <c r="A10" t="s">
        <v>1</v>
      </c>
      <c r="B10" s="4">
        <f>'Tracking Accounts'!O17</f>
        <v>72647.83</v>
      </c>
      <c r="D10" s="21"/>
    </row>
    <row r="11" spans="1:4" x14ac:dyDescent="0.25">
      <c r="A11" t="s">
        <v>77</v>
      </c>
      <c r="B11" s="4">
        <f>+'Tracking Accounts'!G35</f>
        <v>101672.96000000001</v>
      </c>
      <c r="C11" s="4">
        <f>SUM(B11:B12)</f>
        <v>-9812.39</v>
      </c>
      <c r="D11" s="21">
        <f>+C11/C13</f>
        <v>3.3097859450999398</v>
      </c>
    </row>
    <row r="12" spans="1:4" x14ac:dyDescent="0.25">
      <c r="A12" t="s">
        <v>2</v>
      </c>
      <c r="B12" s="4">
        <f>+'Tracking Accounts'!O35</f>
        <v>-111485.35</v>
      </c>
      <c r="C12" s="4"/>
      <c r="D12" s="21"/>
    </row>
    <row r="13" spans="1:4" x14ac:dyDescent="0.25">
      <c r="B13" s="6">
        <f>SUM(B9:B12)</f>
        <v>-2964.6600000000035</v>
      </c>
      <c r="C13" s="76">
        <f>SUM(C9:C12)</f>
        <v>-2964.6600000000035</v>
      </c>
      <c r="D13" s="77">
        <f>SUM(D9:D12)</f>
        <v>1</v>
      </c>
    </row>
    <row r="14" spans="1:4" x14ac:dyDescent="0.25">
      <c r="A14" t="s">
        <v>0</v>
      </c>
      <c r="B14" s="3">
        <f>+'Conv F UE-190529 + filing fee'!J18</f>
        <v>0.94911500000000004</v>
      </c>
    </row>
    <row r="15" spans="1:4" ht="15.75" thickBot="1" x14ac:dyDescent="0.3">
      <c r="A15" t="s">
        <v>75</v>
      </c>
      <c r="B15" s="99">
        <f>B13/B14</f>
        <v>-3123.6046211470721</v>
      </c>
      <c r="C15" s="22" t="s">
        <v>76</v>
      </c>
    </row>
    <row r="16" spans="1:4" ht="15.75" thickTop="1" x14ac:dyDescent="0.25">
      <c r="B16" s="4"/>
    </row>
    <row r="18" spans="1:4" ht="15.75" thickBot="1" x14ac:dyDescent="0.3">
      <c r="A18" s="72" t="s">
        <v>78</v>
      </c>
      <c r="B18" s="83">
        <f>+'[4]Revenue Requirement'!$B$15</f>
        <v>-423638.03535850043</v>
      </c>
      <c r="C18" s="72"/>
      <c r="D18" s="72"/>
    </row>
    <row r="19" spans="1:4" ht="16.5" thickTop="1" thickBot="1" x14ac:dyDescent="0.3">
      <c r="A19" s="72" t="s">
        <v>70</v>
      </c>
      <c r="B19" s="83">
        <f>+B15-B18</f>
        <v>420514.43073735334</v>
      </c>
      <c r="C19" s="72"/>
      <c r="D19" s="72"/>
    </row>
    <row r="20" spans="1:4" ht="15.75" thickTop="1" x14ac:dyDescent="0.25"/>
  </sheetData>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8"/>
  <sheetViews>
    <sheetView zoomScale="85" zoomScaleNormal="85" workbookViewId="0">
      <pane ySplit="1" topLeftCell="A3" activePane="bottomLeft" state="frozen"/>
      <selection activeCell="B12" sqref="B12:H14"/>
      <selection pane="bottomLeft" activeCell="O35" sqref="O35"/>
    </sheetView>
  </sheetViews>
  <sheetFormatPr defaultRowHeight="15" x14ac:dyDescent="0.25"/>
  <cols>
    <col min="3" max="3" width="20.85546875" customWidth="1"/>
    <col min="4" max="5" width="11.7109375" bestFit="1" customWidth="1"/>
    <col min="6" max="6" width="20.140625" customWidth="1"/>
    <col min="7" max="7" width="17.28515625" bestFit="1" customWidth="1"/>
    <col min="11" max="11" width="20" customWidth="1"/>
    <col min="12" max="12" width="10.28515625" bestFit="1" customWidth="1"/>
    <col min="13" max="13" width="11.7109375" bestFit="1" customWidth="1"/>
    <col min="14" max="14" width="12.28515625" bestFit="1" customWidth="1"/>
    <col min="15" max="15" width="17.28515625" bestFit="1" customWidth="1"/>
  </cols>
  <sheetData>
    <row r="1" spans="2:16" x14ac:dyDescent="0.25">
      <c r="B1" s="22" t="s">
        <v>73</v>
      </c>
    </row>
    <row r="4" spans="2:16" x14ac:dyDescent="0.25">
      <c r="B4" s="13"/>
      <c r="C4" s="11"/>
      <c r="D4" s="11"/>
      <c r="E4" s="11"/>
      <c r="F4" s="11"/>
      <c r="G4" s="11"/>
      <c r="H4" s="10"/>
      <c r="J4" s="13"/>
      <c r="K4" s="11"/>
      <c r="L4" s="11"/>
      <c r="M4" s="11"/>
      <c r="N4" s="11"/>
      <c r="O4" s="11"/>
      <c r="P4" s="10"/>
    </row>
    <row r="5" spans="2:16" x14ac:dyDescent="0.25">
      <c r="B5" s="8"/>
      <c r="C5" s="14" t="s">
        <v>29</v>
      </c>
      <c r="D5" s="14"/>
      <c r="E5" s="14"/>
      <c r="F5" s="14"/>
      <c r="G5" s="14"/>
      <c r="H5" s="12"/>
      <c r="J5" s="8"/>
      <c r="K5" s="14" t="s">
        <v>28</v>
      </c>
      <c r="L5" s="14"/>
      <c r="M5" s="14"/>
      <c r="N5" s="14"/>
      <c r="O5" s="14"/>
      <c r="P5" s="12"/>
    </row>
    <row r="6" spans="2:16" x14ac:dyDescent="0.25">
      <c r="B6" s="8"/>
      <c r="C6" s="14"/>
      <c r="D6" s="14"/>
      <c r="E6" s="14"/>
      <c r="F6" s="14"/>
      <c r="G6" s="14"/>
      <c r="H6" s="12"/>
      <c r="J6" s="8"/>
      <c r="K6" s="14"/>
      <c r="L6" s="14"/>
      <c r="M6" s="14"/>
      <c r="N6" s="14"/>
      <c r="O6" s="14"/>
      <c r="P6" s="12"/>
    </row>
    <row r="7" spans="2:16" x14ac:dyDescent="0.25">
      <c r="B7" s="8"/>
      <c r="C7" s="7" t="s">
        <v>5</v>
      </c>
      <c r="D7" s="7" t="s">
        <v>6</v>
      </c>
      <c r="E7" s="7" t="s">
        <v>7</v>
      </c>
      <c r="F7" s="7" t="s">
        <v>8</v>
      </c>
      <c r="G7" s="7" t="s">
        <v>9</v>
      </c>
      <c r="H7" s="12"/>
      <c r="J7" s="8"/>
      <c r="K7" s="7" t="s">
        <v>5</v>
      </c>
      <c r="L7" s="7" t="s">
        <v>6</v>
      </c>
      <c r="M7" s="7" t="s">
        <v>7</v>
      </c>
      <c r="N7" s="7" t="s">
        <v>8</v>
      </c>
      <c r="O7" s="7" t="s">
        <v>9</v>
      </c>
      <c r="P7" s="12"/>
    </row>
    <row r="8" spans="2:16" x14ac:dyDescent="0.25">
      <c r="B8" s="8"/>
      <c r="C8" s="18" t="s">
        <v>10</v>
      </c>
      <c r="D8" s="19">
        <v>0</v>
      </c>
      <c r="E8" s="19">
        <v>0</v>
      </c>
      <c r="F8" s="19">
        <v>0</v>
      </c>
      <c r="G8" s="23">
        <v>-650729.26</v>
      </c>
      <c r="H8" s="12"/>
      <c r="J8" s="8"/>
      <c r="K8" s="18" t="s">
        <v>10</v>
      </c>
      <c r="L8" s="19">
        <v>0</v>
      </c>
      <c r="M8" s="19">
        <v>0</v>
      </c>
      <c r="N8" s="19">
        <v>0</v>
      </c>
      <c r="O8" s="23">
        <v>300718.09000000003</v>
      </c>
      <c r="P8" s="12"/>
    </row>
    <row r="9" spans="2:16" x14ac:dyDescent="0.25">
      <c r="B9" s="8"/>
      <c r="C9" s="18" t="s">
        <v>11</v>
      </c>
      <c r="D9" s="19">
        <v>564917.02</v>
      </c>
      <c r="E9" s="19">
        <v>46800</v>
      </c>
      <c r="F9" s="9">
        <v>518117.02</v>
      </c>
      <c r="G9" s="9">
        <v>-132612.24</v>
      </c>
      <c r="H9" s="12"/>
      <c r="J9" s="8"/>
      <c r="K9" s="18" t="s">
        <v>11</v>
      </c>
      <c r="L9" s="19">
        <v>99605.09</v>
      </c>
      <c r="M9" s="19">
        <v>583731.75</v>
      </c>
      <c r="N9" s="23">
        <v>-484126.66</v>
      </c>
      <c r="O9" s="9">
        <v>-183408.57</v>
      </c>
      <c r="P9" s="12"/>
    </row>
    <row r="10" spans="2:16" x14ac:dyDescent="0.25">
      <c r="B10" s="8"/>
      <c r="C10" s="18" t="s">
        <v>12</v>
      </c>
      <c r="D10" s="19">
        <v>13440.28</v>
      </c>
      <c r="E10" s="19">
        <v>0</v>
      </c>
      <c r="F10" s="9">
        <v>13440.28</v>
      </c>
      <c r="G10" s="9">
        <v>-119171.96</v>
      </c>
      <c r="H10" s="12"/>
      <c r="J10" s="8"/>
      <c r="K10" s="18" t="s">
        <v>12</v>
      </c>
      <c r="L10" s="19">
        <v>68657.8</v>
      </c>
      <c r="M10" s="19">
        <v>29752.04</v>
      </c>
      <c r="N10" s="23">
        <v>38905.760000000002</v>
      </c>
      <c r="O10" s="9">
        <v>-144502.81</v>
      </c>
      <c r="P10" s="12"/>
    </row>
    <row r="11" spans="2:16" x14ac:dyDescent="0.25">
      <c r="B11" s="8"/>
      <c r="C11" s="18" t="s">
        <v>13</v>
      </c>
      <c r="D11" s="19">
        <v>0</v>
      </c>
      <c r="E11" s="19">
        <v>0</v>
      </c>
      <c r="F11" s="9">
        <v>0</v>
      </c>
      <c r="G11" s="9">
        <v>-119171.96</v>
      </c>
      <c r="H11" s="12"/>
      <c r="J11" s="8"/>
      <c r="K11" s="18" t="s">
        <v>13</v>
      </c>
      <c r="L11" s="19">
        <v>62510.32</v>
      </c>
      <c r="M11" s="19">
        <v>27836.07</v>
      </c>
      <c r="N11" s="23">
        <v>34674.25</v>
      </c>
      <c r="O11" s="9">
        <v>-109828.56</v>
      </c>
      <c r="P11" s="12"/>
    </row>
    <row r="12" spans="2:16" x14ac:dyDescent="0.25">
      <c r="B12" s="8"/>
      <c r="C12" s="18" t="s">
        <v>14</v>
      </c>
      <c r="D12" s="19">
        <v>4110.41</v>
      </c>
      <c r="E12" s="19">
        <v>0</v>
      </c>
      <c r="F12" s="9">
        <v>4110.41</v>
      </c>
      <c r="G12" s="9">
        <v>-115061.55</v>
      </c>
      <c r="H12" s="12"/>
      <c r="J12" s="8"/>
      <c r="K12" s="18" t="s">
        <v>14</v>
      </c>
      <c r="L12" s="19">
        <v>59295.31</v>
      </c>
      <c r="M12" s="19">
        <v>25105.78</v>
      </c>
      <c r="N12" s="23">
        <v>34189.53</v>
      </c>
      <c r="O12" s="9">
        <v>-75639.03</v>
      </c>
      <c r="P12" s="12"/>
    </row>
    <row r="13" spans="2:16" x14ac:dyDescent="0.25">
      <c r="B13" s="8"/>
      <c r="C13" s="18" t="s">
        <v>15</v>
      </c>
      <c r="D13" s="19">
        <v>34610.660000000003</v>
      </c>
      <c r="E13" s="19">
        <v>0</v>
      </c>
      <c r="F13" s="9">
        <v>34610.660000000003</v>
      </c>
      <c r="G13" s="9">
        <v>-80450.89</v>
      </c>
      <c r="H13" s="12"/>
      <c r="J13" s="8"/>
      <c r="K13" s="18" t="s">
        <v>15</v>
      </c>
      <c r="L13" s="19">
        <v>55124.91</v>
      </c>
      <c r="M13" s="19">
        <v>24969.9</v>
      </c>
      <c r="N13" s="23">
        <v>30155.01</v>
      </c>
      <c r="O13" s="9">
        <v>-45484.02</v>
      </c>
      <c r="P13" s="12"/>
    </row>
    <row r="14" spans="2:16" x14ac:dyDescent="0.25">
      <c r="B14" s="8"/>
      <c r="C14" s="18" t="s">
        <v>16</v>
      </c>
      <c r="D14" s="19">
        <v>0</v>
      </c>
      <c r="E14" s="19">
        <v>0</v>
      </c>
      <c r="F14" s="9">
        <v>0</v>
      </c>
      <c r="G14" s="9">
        <v>-80450.89</v>
      </c>
      <c r="H14" s="12"/>
      <c r="J14" s="8"/>
      <c r="K14" s="18" t="s">
        <v>16</v>
      </c>
      <c r="L14" s="19">
        <v>50625.19</v>
      </c>
      <c r="M14" s="19">
        <v>22983.79</v>
      </c>
      <c r="N14" s="23">
        <v>27641.4</v>
      </c>
      <c r="O14" s="9">
        <v>-17842.62</v>
      </c>
      <c r="P14" s="12"/>
    </row>
    <row r="15" spans="2:16" x14ac:dyDescent="0.25">
      <c r="B15" s="8"/>
      <c r="C15" s="18" t="s">
        <v>17</v>
      </c>
      <c r="D15" s="19">
        <v>13734.17</v>
      </c>
      <c r="E15" s="19">
        <v>0</v>
      </c>
      <c r="F15" s="9">
        <v>13734.17</v>
      </c>
      <c r="G15" s="9">
        <v>-66716.72</v>
      </c>
      <c r="H15" s="12"/>
      <c r="J15" s="8"/>
      <c r="K15" s="18" t="s">
        <v>17</v>
      </c>
      <c r="L15" s="19">
        <v>51500.94</v>
      </c>
      <c r="M15" s="19">
        <v>20901.71</v>
      </c>
      <c r="N15" s="23">
        <v>30599.23</v>
      </c>
      <c r="O15" s="9">
        <v>12756.61</v>
      </c>
      <c r="P15" s="12"/>
    </row>
    <row r="16" spans="2:16" x14ac:dyDescent="0.25">
      <c r="B16" s="8"/>
      <c r="C16" s="18" t="s">
        <v>18</v>
      </c>
      <c r="D16" s="19">
        <v>0</v>
      </c>
      <c r="E16" s="19">
        <v>0</v>
      </c>
      <c r="F16" s="9">
        <v>0</v>
      </c>
      <c r="G16" s="9">
        <v>-66716.72</v>
      </c>
      <c r="H16" s="12"/>
      <c r="J16" s="8"/>
      <c r="K16" s="18" t="s">
        <v>18</v>
      </c>
      <c r="L16" s="19">
        <v>55561.99</v>
      </c>
      <c r="M16" s="19">
        <v>23633.43</v>
      </c>
      <c r="N16" s="23">
        <v>31928.560000000001</v>
      </c>
      <c r="O16" s="9">
        <v>44685.17</v>
      </c>
      <c r="P16" s="12"/>
    </row>
    <row r="17" spans="2:16" x14ac:dyDescent="0.25">
      <c r="B17" s="8"/>
      <c r="C17" s="95" t="s">
        <v>19</v>
      </c>
      <c r="D17" s="96">
        <v>916.62</v>
      </c>
      <c r="E17" s="96">
        <v>0</v>
      </c>
      <c r="F17" s="97">
        <v>916.62</v>
      </c>
      <c r="G17" s="97">
        <v>-65800.100000000006</v>
      </c>
      <c r="H17" s="12"/>
      <c r="J17" s="8"/>
      <c r="K17" s="95" t="s">
        <v>19</v>
      </c>
      <c r="L17" s="96">
        <v>51460.63</v>
      </c>
      <c r="M17" s="96">
        <v>23497.97</v>
      </c>
      <c r="N17" s="98">
        <v>27962.66</v>
      </c>
      <c r="O17" s="97">
        <v>72647.83</v>
      </c>
      <c r="P17" s="12"/>
    </row>
    <row r="18" spans="2:16" x14ac:dyDescent="0.25">
      <c r="B18" s="8"/>
      <c r="C18" s="18" t="s">
        <v>20</v>
      </c>
      <c r="D18" s="19">
        <v>1009.59</v>
      </c>
      <c r="E18" s="19">
        <v>0</v>
      </c>
      <c r="F18" s="9">
        <v>1009.59</v>
      </c>
      <c r="G18" s="9">
        <v>-64790.51</v>
      </c>
      <c r="H18" s="12"/>
      <c r="J18" s="8"/>
      <c r="K18" s="18" t="s">
        <v>20</v>
      </c>
      <c r="L18" s="19">
        <v>0</v>
      </c>
      <c r="M18" s="19">
        <v>21603.919999999998</v>
      </c>
      <c r="N18" s="23">
        <v>-21603.919999999998</v>
      </c>
      <c r="O18" s="9">
        <v>51043.91</v>
      </c>
      <c r="P18" s="12"/>
    </row>
    <row r="19" spans="2:16" x14ac:dyDescent="0.25">
      <c r="B19" s="8"/>
      <c r="C19" s="18"/>
      <c r="D19" s="19"/>
      <c r="E19" s="19"/>
      <c r="F19" s="9"/>
      <c r="G19" s="9"/>
      <c r="H19" s="12"/>
      <c r="J19" s="8"/>
      <c r="K19" s="18"/>
      <c r="L19" s="19"/>
      <c r="M19" s="19"/>
      <c r="N19" s="9"/>
      <c r="O19" s="9"/>
      <c r="P19" s="12"/>
    </row>
    <row r="20" spans="2:16" x14ac:dyDescent="0.25">
      <c r="B20" s="15"/>
      <c r="C20" s="16"/>
      <c r="D20" s="16"/>
      <c r="E20" s="16"/>
      <c r="F20" s="16"/>
      <c r="G20" s="16"/>
      <c r="H20" s="17"/>
      <c r="J20" s="15"/>
      <c r="K20" s="16"/>
      <c r="L20" s="16"/>
      <c r="M20" s="16"/>
      <c r="N20" s="16"/>
      <c r="O20" s="16"/>
      <c r="P20" s="17"/>
    </row>
    <row r="22" spans="2:16" x14ac:dyDescent="0.25">
      <c r="B22" s="13"/>
      <c r="C22" s="11"/>
      <c r="D22" s="11"/>
      <c r="E22" s="11"/>
      <c r="F22" s="11"/>
      <c r="G22" s="11"/>
      <c r="H22" s="10"/>
      <c r="J22" s="13"/>
      <c r="K22" s="11"/>
      <c r="L22" s="11"/>
      <c r="M22" s="11"/>
      <c r="N22" s="11"/>
      <c r="O22" s="11"/>
      <c r="P22" s="10"/>
    </row>
    <row r="23" spans="2:16" x14ac:dyDescent="0.25">
      <c r="B23" s="8"/>
      <c r="C23" s="14" t="s">
        <v>36</v>
      </c>
      <c r="D23" s="14"/>
      <c r="E23" s="14"/>
      <c r="F23" s="14"/>
      <c r="G23" s="14"/>
      <c r="H23" s="12"/>
      <c r="J23" s="8"/>
      <c r="K23" s="14" t="s">
        <v>35</v>
      </c>
      <c r="L23" s="14"/>
      <c r="M23" s="14"/>
      <c r="N23" s="14"/>
      <c r="O23" s="14"/>
      <c r="P23" s="12"/>
    </row>
    <row r="24" spans="2:16" x14ac:dyDescent="0.25">
      <c r="B24" s="8"/>
      <c r="C24" s="14"/>
      <c r="D24" s="14"/>
      <c r="E24" s="14"/>
      <c r="F24" s="14"/>
      <c r="G24" s="14"/>
      <c r="H24" s="12"/>
      <c r="J24" s="8"/>
      <c r="K24" s="14"/>
      <c r="L24" s="14"/>
      <c r="M24" s="14"/>
      <c r="N24" s="14"/>
      <c r="O24" s="14"/>
      <c r="P24" s="12"/>
    </row>
    <row r="25" spans="2:16" x14ac:dyDescent="0.25">
      <c r="B25" s="8"/>
      <c r="C25" s="7" t="s">
        <v>5</v>
      </c>
      <c r="D25" s="7" t="s">
        <v>6</v>
      </c>
      <c r="E25" s="7" t="s">
        <v>7</v>
      </c>
      <c r="F25" s="7" t="s">
        <v>8</v>
      </c>
      <c r="G25" s="7" t="s">
        <v>9</v>
      </c>
      <c r="H25" s="12"/>
      <c r="J25" s="8"/>
      <c r="K25" s="7" t="s">
        <v>5</v>
      </c>
      <c r="L25" s="7" t="s">
        <v>6</v>
      </c>
      <c r="M25" s="7" t="s">
        <v>7</v>
      </c>
      <c r="N25" s="7" t="s">
        <v>8</v>
      </c>
      <c r="O25" s="7" t="s">
        <v>9</v>
      </c>
      <c r="P25" s="12"/>
    </row>
    <row r="26" spans="2:16" x14ac:dyDescent="0.25">
      <c r="B26" s="8"/>
      <c r="C26" s="18" t="s">
        <v>10</v>
      </c>
      <c r="D26" s="19">
        <v>0</v>
      </c>
      <c r="E26" s="19">
        <v>0</v>
      </c>
      <c r="F26" s="19">
        <v>0</v>
      </c>
      <c r="G26" s="23">
        <v>-32190.31</v>
      </c>
      <c r="H26" s="12"/>
      <c r="J26" s="8"/>
      <c r="K26" s="18" t="s">
        <v>10</v>
      </c>
      <c r="L26" s="19">
        <v>0</v>
      </c>
      <c r="M26" s="19">
        <v>0</v>
      </c>
      <c r="N26" s="19">
        <v>0</v>
      </c>
      <c r="O26" s="23">
        <v>12953.13</v>
      </c>
      <c r="P26" s="12"/>
    </row>
    <row r="27" spans="2:16" x14ac:dyDescent="0.25">
      <c r="B27" s="8"/>
      <c r="C27" s="18" t="s">
        <v>11</v>
      </c>
      <c r="D27" s="23">
        <v>140315.42000000001</v>
      </c>
      <c r="E27" s="23">
        <v>2068.42</v>
      </c>
      <c r="F27" s="23">
        <v>138247</v>
      </c>
      <c r="G27" s="9">
        <v>106056.69</v>
      </c>
      <c r="H27" s="12"/>
      <c r="J27" s="8"/>
      <c r="K27" s="18" t="s">
        <v>11</v>
      </c>
      <c r="L27" s="23">
        <v>5977.31</v>
      </c>
      <c r="M27" s="23">
        <v>142710.29</v>
      </c>
      <c r="N27" s="23">
        <v>-136732.98000000001</v>
      </c>
      <c r="O27" s="9">
        <v>-123779.85</v>
      </c>
      <c r="P27" s="12"/>
    </row>
    <row r="28" spans="2:16" x14ac:dyDescent="0.25">
      <c r="B28" s="8"/>
      <c r="C28" s="18" t="s">
        <v>12</v>
      </c>
      <c r="D28" s="23">
        <v>0</v>
      </c>
      <c r="E28" s="23">
        <v>864.43</v>
      </c>
      <c r="F28" s="23">
        <v>-864.43</v>
      </c>
      <c r="G28" s="9">
        <v>105192.26</v>
      </c>
      <c r="H28" s="12"/>
      <c r="J28" s="8"/>
      <c r="K28" s="18" t="s">
        <v>12</v>
      </c>
      <c r="L28" s="23">
        <v>3891.05</v>
      </c>
      <c r="M28" s="23">
        <v>2615.2199999999998</v>
      </c>
      <c r="N28" s="23">
        <v>1275.83</v>
      </c>
      <c r="O28" s="9">
        <v>-122504.02</v>
      </c>
      <c r="P28" s="12"/>
    </row>
    <row r="29" spans="2:16" x14ac:dyDescent="0.25">
      <c r="B29" s="8"/>
      <c r="C29" s="18" t="s">
        <v>13</v>
      </c>
      <c r="D29" s="23">
        <v>0</v>
      </c>
      <c r="E29" s="23">
        <v>675.31</v>
      </c>
      <c r="F29" s="23">
        <v>-675.31</v>
      </c>
      <c r="G29" s="9">
        <v>104516.95</v>
      </c>
      <c r="H29" s="12"/>
      <c r="J29" s="8"/>
      <c r="K29" s="18" t="s">
        <v>13</v>
      </c>
      <c r="L29" s="23">
        <v>3542.65</v>
      </c>
      <c r="M29" s="23">
        <v>2298.17</v>
      </c>
      <c r="N29" s="23">
        <v>1244.48</v>
      </c>
      <c r="O29" s="9">
        <v>-121259.54</v>
      </c>
      <c r="P29" s="12"/>
    </row>
    <row r="30" spans="2:16" x14ac:dyDescent="0.25">
      <c r="B30" s="8"/>
      <c r="C30" s="18" t="s">
        <v>14</v>
      </c>
      <c r="D30" s="23">
        <v>0</v>
      </c>
      <c r="E30" s="23">
        <v>663.66</v>
      </c>
      <c r="F30" s="23">
        <v>-663.66</v>
      </c>
      <c r="G30" s="9">
        <v>103853.29</v>
      </c>
      <c r="H30" s="12"/>
      <c r="J30" s="8"/>
      <c r="K30" s="18" t="s">
        <v>14</v>
      </c>
      <c r="L30" s="23">
        <v>3360.45</v>
      </c>
      <c r="M30" s="23">
        <v>1948.31</v>
      </c>
      <c r="N30" s="23">
        <v>1412.14</v>
      </c>
      <c r="O30" s="9">
        <v>-119847.4</v>
      </c>
      <c r="P30" s="12"/>
    </row>
    <row r="31" spans="2:16" x14ac:dyDescent="0.25">
      <c r="B31" s="8"/>
      <c r="C31" s="18" t="s">
        <v>15</v>
      </c>
      <c r="D31" s="23">
        <v>0</v>
      </c>
      <c r="E31" s="23">
        <v>553.95000000000005</v>
      </c>
      <c r="F31" s="23">
        <v>-553.95000000000005</v>
      </c>
      <c r="G31" s="9">
        <v>103299.34</v>
      </c>
      <c r="H31" s="12"/>
      <c r="J31" s="8"/>
      <c r="K31" s="18" t="s">
        <v>15</v>
      </c>
      <c r="L31" s="23">
        <v>3124.1</v>
      </c>
      <c r="M31" s="23">
        <v>1758.3</v>
      </c>
      <c r="N31" s="23">
        <v>1365.8</v>
      </c>
      <c r="O31" s="9">
        <v>-118481.60000000001</v>
      </c>
      <c r="P31" s="12"/>
    </row>
    <row r="32" spans="2:16" x14ac:dyDescent="0.25">
      <c r="B32" s="8"/>
      <c r="C32" s="18" t="s">
        <v>16</v>
      </c>
      <c r="D32" s="23">
        <v>0</v>
      </c>
      <c r="E32" s="23">
        <v>455.89</v>
      </c>
      <c r="F32" s="23">
        <v>-455.89</v>
      </c>
      <c r="G32" s="9">
        <v>102843.45</v>
      </c>
      <c r="H32" s="12"/>
      <c r="J32" s="8"/>
      <c r="K32" s="18" t="s">
        <v>16</v>
      </c>
      <c r="L32" s="23">
        <v>2869.08</v>
      </c>
      <c r="M32" s="23">
        <v>1481.99</v>
      </c>
      <c r="N32" s="23">
        <v>1387.09</v>
      </c>
      <c r="O32" s="9">
        <v>-117094.51</v>
      </c>
      <c r="P32" s="12"/>
    </row>
    <row r="33" spans="2:16" x14ac:dyDescent="0.25">
      <c r="B33" s="8"/>
      <c r="C33" s="18" t="s">
        <v>17</v>
      </c>
      <c r="D33" s="23">
        <v>0</v>
      </c>
      <c r="E33" s="23">
        <v>416.97</v>
      </c>
      <c r="F33" s="23">
        <v>-416.97</v>
      </c>
      <c r="G33" s="9">
        <v>102426.48</v>
      </c>
      <c r="H33" s="12"/>
      <c r="J33" s="8"/>
      <c r="K33" s="18" t="s">
        <v>17</v>
      </c>
      <c r="L33" s="23">
        <v>2918.72</v>
      </c>
      <c r="M33" s="23">
        <v>1198.97</v>
      </c>
      <c r="N33" s="23">
        <v>1719.75</v>
      </c>
      <c r="O33" s="9">
        <v>-115374.76</v>
      </c>
      <c r="P33" s="12"/>
    </row>
    <row r="34" spans="2:16" x14ac:dyDescent="0.25">
      <c r="B34" s="8"/>
      <c r="C34" s="18" t="s">
        <v>18</v>
      </c>
      <c r="D34" s="23">
        <v>0</v>
      </c>
      <c r="E34" s="23">
        <v>378.06</v>
      </c>
      <c r="F34" s="23">
        <v>-378.06</v>
      </c>
      <c r="G34" s="9">
        <v>102048.42</v>
      </c>
      <c r="H34" s="12"/>
      <c r="J34" s="8"/>
      <c r="K34" s="18" t="s">
        <v>18</v>
      </c>
      <c r="L34" s="23">
        <v>3311.62</v>
      </c>
      <c r="M34" s="23">
        <v>1339.38</v>
      </c>
      <c r="N34" s="23">
        <v>1972.24</v>
      </c>
      <c r="O34" s="9">
        <v>-113402.52</v>
      </c>
      <c r="P34" s="12"/>
    </row>
    <row r="35" spans="2:16" x14ac:dyDescent="0.25">
      <c r="B35" s="8"/>
      <c r="C35" s="95" t="s">
        <v>19</v>
      </c>
      <c r="D35" s="98">
        <v>0</v>
      </c>
      <c r="E35" s="98">
        <v>375.46</v>
      </c>
      <c r="F35" s="98">
        <v>-375.46</v>
      </c>
      <c r="G35" s="97">
        <v>101672.96000000001</v>
      </c>
      <c r="H35" s="12"/>
      <c r="J35" s="8"/>
      <c r="K35" s="95" t="s">
        <v>19</v>
      </c>
      <c r="L35" s="98">
        <v>3248.87</v>
      </c>
      <c r="M35" s="98">
        <v>1331.7</v>
      </c>
      <c r="N35" s="98">
        <v>1917.17</v>
      </c>
      <c r="O35" s="97">
        <v>-111485.35</v>
      </c>
      <c r="P35" s="12"/>
    </row>
    <row r="36" spans="2:16" x14ac:dyDescent="0.25">
      <c r="B36" s="8"/>
      <c r="C36" s="18" t="s">
        <v>20</v>
      </c>
      <c r="D36" s="23">
        <v>0</v>
      </c>
      <c r="E36" s="23">
        <v>0</v>
      </c>
      <c r="F36" s="23">
        <v>0</v>
      </c>
      <c r="G36" s="9">
        <v>101672.96000000001</v>
      </c>
      <c r="H36" s="12"/>
      <c r="J36" s="8"/>
      <c r="K36" s="18" t="s">
        <v>20</v>
      </c>
      <c r="L36" s="23">
        <v>0</v>
      </c>
      <c r="M36" s="23">
        <v>1224.3599999999999</v>
      </c>
      <c r="N36" s="23">
        <v>-1224.3599999999999</v>
      </c>
      <c r="O36" s="9">
        <v>-112709.71</v>
      </c>
      <c r="P36" s="12"/>
    </row>
    <row r="37" spans="2:16" x14ac:dyDescent="0.25">
      <c r="B37" s="8"/>
      <c r="C37" s="18"/>
      <c r="D37" s="19"/>
      <c r="E37" s="19"/>
      <c r="F37" s="9"/>
      <c r="G37" s="9"/>
      <c r="H37" s="12"/>
      <c r="J37" s="8"/>
      <c r="K37" s="18"/>
      <c r="L37" s="19"/>
      <c r="M37" s="19"/>
      <c r="N37" s="9"/>
      <c r="O37" s="9"/>
      <c r="P37" s="12"/>
    </row>
    <row r="38" spans="2:16" x14ac:dyDescent="0.25">
      <c r="B38" s="15"/>
      <c r="C38" s="16"/>
      <c r="D38" s="16"/>
      <c r="E38" s="16"/>
      <c r="F38" s="16"/>
      <c r="G38" s="16"/>
      <c r="H38" s="17"/>
      <c r="J38" s="15"/>
      <c r="K38" s="16"/>
      <c r="L38" s="16"/>
      <c r="M38" s="16"/>
      <c r="N38" s="16"/>
      <c r="O38" s="16"/>
      <c r="P38" s="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115" zoomScaleNormal="115" workbookViewId="0">
      <selection activeCell="H29" sqref="H29"/>
    </sheetView>
  </sheetViews>
  <sheetFormatPr defaultRowHeight="15" x14ac:dyDescent="0.25"/>
  <cols>
    <col min="1" max="1" width="9.7109375" customWidth="1"/>
    <col min="2" max="2" width="14" bestFit="1" customWidth="1"/>
    <col min="3" max="3" width="12.28515625" bestFit="1" customWidth="1"/>
    <col min="4" max="4" width="14" bestFit="1" customWidth="1"/>
    <col min="5" max="5" width="14.7109375" customWidth="1"/>
    <col min="6" max="6" width="8.140625" bestFit="1" customWidth="1"/>
    <col min="7" max="7" width="11.7109375" customWidth="1"/>
    <col min="8" max="8" width="12.28515625" customWidth="1"/>
    <col min="9" max="9" width="14" bestFit="1" customWidth="1"/>
    <col min="10" max="10" width="10.85546875" customWidth="1"/>
    <col min="12" max="12" width="14" bestFit="1" customWidth="1"/>
    <col min="13" max="13" width="9" bestFit="1" customWidth="1"/>
    <col min="14" max="14" width="13" bestFit="1" customWidth="1"/>
    <col min="15" max="15" width="8" bestFit="1" customWidth="1"/>
    <col min="16" max="16" width="8.7109375" customWidth="1"/>
    <col min="17" max="17" width="11.28515625" bestFit="1" customWidth="1"/>
    <col min="18" max="18" width="11.7109375" bestFit="1" customWidth="1"/>
    <col min="19" max="20" width="14" bestFit="1" customWidth="1"/>
  </cols>
  <sheetData>
    <row r="1" spans="1:20" ht="15.75" thickBot="1" x14ac:dyDescent="0.3">
      <c r="A1" s="24" t="s">
        <v>37</v>
      </c>
    </row>
    <row r="2" spans="1:20" ht="15.75" thickBot="1" x14ac:dyDescent="0.3">
      <c r="B2" s="36" t="s">
        <v>50</v>
      </c>
      <c r="C2" s="37"/>
      <c r="D2" s="37"/>
      <c r="E2" s="37"/>
      <c r="F2" s="37"/>
      <c r="G2" s="38"/>
      <c r="L2" s="36" t="s">
        <v>50</v>
      </c>
      <c r="M2" s="37"/>
      <c r="N2" s="37"/>
      <c r="O2" s="37"/>
      <c r="P2" s="37"/>
      <c r="Q2" s="38"/>
    </row>
    <row r="3" spans="1:20" s="25" customFormat="1" ht="105.75" thickBot="1" x14ac:dyDescent="0.3">
      <c r="A3" s="25" t="s">
        <v>38</v>
      </c>
      <c r="B3" s="33" t="s">
        <v>51</v>
      </c>
      <c r="C3" s="34" t="s">
        <v>39</v>
      </c>
      <c r="D3" s="34" t="s">
        <v>40</v>
      </c>
      <c r="E3" s="34" t="s">
        <v>54</v>
      </c>
      <c r="F3" s="34" t="s">
        <v>41</v>
      </c>
      <c r="G3" s="35" t="s">
        <v>42</v>
      </c>
      <c r="H3" s="26" t="s">
        <v>69</v>
      </c>
      <c r="I3" s="28" t="s">
        <v>53</v>
      </c>
      <c r="J3" s="29"/>
      <c r="L3" s="26" t="s">
        <v>52</v>
      </c>
      <c r="M3" s="27" t="s">
        <v>39</v>
      </c>
      <c r="N3" s="27" t="s">
        <v>44</v>
      </c>
      <c r="O3" s="34" t="s">
        <v>54</v>
      </c>
      <c r="P3" s="27" t="s">
        <v>41</v>
      </c>
      <c r="Q3" s="28" t="s">
        <v>45</v>
      </c>
      <c r="R3" s="26" t="s">
        <v>87</v>
      </c>
      <c r="S3" s="28" t="s">
        <v>43</v>
      </c>
    </row>
    <row r="4" spans="1:20" s="25" customFormat="1" x14ac:dyDescent="0.25">
      <c r="A4" s="68">
        <v>44470</v>
      </c>
      <c r="B4" s="104">
        <v>-521633.44</v>
      </c>
      <c r="C4" s="69">
        <f t="shared" ref="C4:C18" si="0">-B4*0.21</f>
        <v>109543.0224</v>
      </c>
      <c r="D4" s="70">
        <f t="shared" ref="D4:D18" si="1">+B4+C4</f>
        <v>-412090.41759999999</v>
      </c>
      <c r="E4" s="21"/>
      <c r="F4" s="29"/>
      <c r="G4" s="29"/>
      <c r="H4" s="29"/>
      <c r="I4" s="29"/>
      <c r="J4" s="29"/>
      <c r="K4" s="68">
        <v>44470</v>
      </c>
      <c r="L4" s="104">
        <v>140315.42000000001</v>
      </c>
      <c r="M4" s="69">
        <f t="shared" ref="M4:M18" si="2">-L4*0.21</f>
        <v>-29466.238200000003</v>
      </c>
      <c r="N4" s="70">
        <f t="shared" ref="N4:N18" si="3">+L4+M4</f>
        <v>110849.18180000001</v>
      </c>
      <c r="O4" s="71"/>
      <c r="P4" s="74"/>
      <c r="Q4" s="74"/>
      <c r="R4" s="107" t="s">
        <v>86</v>
      </c>
      <c r="S4" s="75"/>
    </row>
    <row r="5" spans="1:20" s="25" customFormat="1" x14ac:dyDescent="0.25">
      <c r="A5" s="68">
        <v>44501</v>
      </c>
      <c r="B5" s="73">
        <v>-519692.06</v>
      </c>
      <c r="C5" s="69">
        <f t="shared" si="0"/>
        <v>109135.33259999999</v>
      </c>
      <c r="D5" s="70">
        <f t="shared" si="1"/>
        <v>-410556.72739999997</v>
      </c>
      <c r="E5" s="71">
        <f>'[5]Conv F and COC UE-190529'!$E$18</f>
        <v>6.8000000000000005E-2</v>
      </c>
      <c r="F5" s="72">
        <v>0.79</v>
      </c>
      <c r="G5" s="73">
        <f t="shared" ref="G5:G18" si="4">(D5+D4)/2*E5/12/F5</f>
        <v>-2950.4222500000001</v>
      </c>
      <c r="H5" s="84">
        <v>-2950.42</v>
      </c>
      <c r="I5" s="84">
        <f t="shared" ref="I5:I15" si="5">+G5-H5</f>
        <v>-2.250000000003638E-3</v>
      </c>
      <c r="J5" s="39"/>
      <c r="K5" s="68">
        <v>44501</v>
      </c>
      <c r="L5" s="73">
        <v>212514.06</v>
      </c>
      <c r="M5" s="69">
        <f t="shared" si="2"/>
        <v>-44627.952599999997</v>
      </c>
      <c r="N5" s="70">
        <f t="shared" si="3"/>
        <v>167886.10740000001</v>
      </c>
      <c r="O5" s="71">
        <f>'[5]Conv F and COC UE-190529'!$E$18</f>
        <v>6.8000000000000005E-2</v>
      </c>
      <c r="P5" s="72">
        <f t="shared" ref="P5:P18" si="6">F5</f>
        <v>0.79</v>
      </c>
      <c r="Q5" s="73">
        <f t="shared" ref="Q5:Q18" si="7">(N5+N4)/2*O5/12/P5</f>
        <v>999.68352666666669</v>
      </c>
      <c r="R5" s="73">
        <v>999.68</v>
      </c>
      <c r="S5" s="84">
        <f t="shared" ref="S5:S18" si="8">+Q5-R5</f>
        <v>3.5266666667439495E-3</v>
      </c>
      <c r="T5" s="39"/>
    </row>
    <row r="6" spans="1:20" s="25" customFormat="1" x14ac:dyDescent="0.25">
      <c r="A6" s="68">
        <v>44531</v>
      </c>
      <c r="B6" s="73">
        <v>-650729.26</v>
      </c>
      <c r="C6" s="69">
        <f t="shared" si="0"/>
        <v>136653.1446</v>
      </c>
      <c r="D6" s="70">
        <f t="shared" si="1"/>
        <v>-514076.11540000001</v>
      </c>
      <c r="E6" s="71">
        <f>'[5]Conv F and COC UE-190529'!$E$18</f>
        <v>6.8000000000000005E-2</v>
      </c>
      <c r="F6" s="72">
        <v>0.79</v>
      </c>
      <c r="G6" s="73">
        <f t="shared" si="4"/>
        <v>-3316.1937400000002</v>
      </c>
      <c r="H6" s="84">
        <v>-3316.19</v>
      </c>
      <c r="I6" s="84">
        <f t="shared" si="5"/>
        <v>-3.7400000001071021E-3</v>
      </c>
      <c r="J6" s="39"/>
      <c r="K6" s="68">
        <v>44531</v>
      </c>
      <c r="L6" s="73">
        <v>300718.09000000003</v>
      </c>
      <c r="M6" s="69">
        <f t="shared" si="2"/>
        <v>-63150.798900000002</v>
      </c>
      <c r="N6" s="70">
        <f t="shared" si="3"/>
        <v>237567.29110000003</v>
      </c>
      <c r="O6" s="71">
        <f>'[5]Conv F and COC UE-190529'!$E$18</f>
        <v>6.8000000000000005E-2</v>
      </c>
      <c r="P6" s="72">
        <f t="shared" si="6"/>
        <v>0.79</v>
      </c>
      <c r="Q6" s="73">
        <f t="shared" si="7"/>
        <v>1454.1577583333333</v>
      </c>
      <c r="R6" s="73">
        <v>1454.16</v>
      </c>
      <c r="S6" s="84">
        <f t="shared" si="8"/>
        <v>-2.2416666668050311E-3</v>
      </c>
      <c r="T6" s="39"/>
    </row>
    <row r="7" spans="1:20" x14ac:dyDescent="0.25">
      <c r="A7" s="68">
        <v>44562</v>
      </c>
      <c r="B7" s="104">
        <v>-132612.24</v>
      </c>
      <c r="C7" s="69">
        <f t="shared" si="0"/>
        <v>27848.570399999997</v>
      </c>
      <c r="D7" s="70">
        <f t="shared" si="1"/>
        <v>-104763.66959999999</v>
      </c>
      <c r="E7" s="71">
        <f>'[5]Conv F and COC UE-190529'!$E$18</f>
        <v>6.8000000000000005E-2</v>
      </c>
      <c r="F7" s="72">
        <v>0.79</v>
      </c>
      <c r="G7" s="73">
        <f t="shared" si="4"/>
        <v>-2219.4675833333336</v>
      </c>
      <c r="H7" s="84">
        <v>-2068.42</v>
      </c>
      <c r="I7" s="84">
        <f t="shared" si="5"/>
        <v>-151.04758333333348</v>
      </c>
      <c r="J7" s="85"/>
      <c r="K7" s="68">
        <v>44562</v>
      </c>
      <c r="L7" s="104">
        <v>-183408.57</v>
      </c>
      <c r="M7" s="30">
        <f t="shared" si="2"/>
        <v>38515.799700000003</v>
      </c>
      <c r="N7" s="20">
        <f t="shared" si="3"/>
        <v>-144892.7703</v>
      </c>
      <c r="O7" s="71">
        <f>'[5]Conv F and COC UE-190529'!$E$18</f>
        <v>6.8000000000000005E-2</v>
      </c>
      <c r="P7">
        <f t="shared" si="6"/>
        <v>0.79</v>
      </c>
      <c r="Q7" s="31">
        <f t="shared" si="7"/>
        <v>332.37697333333341</v>
      </c>
      <c r="R7" s="32">
        <v>332.38</v>
      </c>
      <c r="S7" s="84">
        <f t="shared" si="8"/>
        <v>-3.0266666665852426E-3</v>
      </c>
      <c r="T7" s="20"/>
    </row>
    <row r="8" spans="1:20" x14ac:dyDescent="0.25">
      <c r="A8" s="68">
        <v>44593</v>
      </c>
      <c r="B8" s="104">
        <v>-119171.96</v>
      </c>
      <c r="C8" s="69">
        <f t="shared" si="0"/>
        <v>25026.1116</v>
      </c>
      <c r="D8" s="70">
        <f t="shared" si="1"/>
        <v>-94145.848400000003</v>
      </c>
      <c r="E8" s="71">
        <f>'[5]Conv F and COC UE-190529'!$E$18</f>
        <v>6.8000000000000005E-2</v>
      </c>
      <c r="F8" s="72">
        <v>0.79</v>
      </c>
      <c r="G8" s="73">
        <f t="shared" si="4"/>
        <v>-713.38856666666663</v>
      </c>
      <c r="H8" s="84">
        <v>-864.43</v>
      </c>
      <c r="I8" s="84">
        <f t="shared" si="5"/>
        <v>151.04143333333332</v>
      </c>
      <c r="J8" s="85"/>
      <c r="K8" s="68">
        <v>44593</v>
      </c>
      <c r="L8" s="104">
        <v>-144502.81</v>
      </c>
      <c r="M8" s="30">
        <f t="shared" si="2"/>
        <v>30345.590099999998</v>
      </c>
      <c r="N8" s="20">
        <f t="shared" si="3"/>
        <v>-114157.2199</v>
      </c>
      <c r="O8" s="71">
        <f>'[5]Conv F and COC UE-190529'!$E$18</f>
        <v>6.8000000000000005E-2</v>
      </c>
      <c r="P8">
        <f t="shared" si="6"/>
        <v>0.79</v>
      </c>
      <c r="Q8" s="31">
        <f t="shared" si="7"/>
        <v>-929.08224333333351</v>
      </c>
      <c r="R8" s="32">
        <v>-929.08</v>
      </c>
      <c r="S8" s="84">
        <f t="shared" si="8"/>
        <v>-2.2433333334674899E-3</v>
      </c>
      <c r="T8" s="20"/>
    </row>
    <row r="9" spans="1:20" x14ac:dyDescent="0.25">
      <c r="A9" s="68">
        <v>44621</v>
      </c>
      <c r="B9" s="104">
        <f>+B8</f>
        <v>-119171.96</v>
      </c>
      <c r="C9" s="69">
        <f t="shared" si="0"/>
        <v>25026.1116</v>
      </c>
      <c r="D9" s="70">
        <f t="shared" si="1"/>
        <v>-94145.848400000003</v>
      </c>
      <c r="E9" s="71">
        <f>'[5]Conv F and COC UE-190529'!$E$18</f>
        <v>6.8000000000000005E-2</v>
      </c>
      <c r="F9" s="72">
        <v>0.79</v>
      </c>
      <c r="G9" s="73">
        <f t="shared" si="4"/>
        <v>-675.30777333333333</v>
      </c>
      <c r="H9" s="84">
        <v>-675.31</v>
      </c>
      <c r="I9" s="84">
        <f t="shared" si="5"/>
        <v>2.2266666666155288E-3</v>
      </c>
      <c r="J9" s="85"/>
      <c r="K9" s="68">
        <v>44621</v>
      </c>
      <c r="L9" s="104">
        <v>-109828.56</v>
      </c>
      <c r="M9" s="30">
        <f t="shared" si="2"/>
        <v>23063.997599999999</v>
      </c>
      <c r="N9" s="20">
        <f t="shared" si="3"/>
        <v>-86764.562399999995</v>
      </c>
      <c r="O9" s="71">
        <f>'[5]Conv F and COC UE-190529'!$E$18</f>
        <v>6.8000000000000005E-2</v>
      </c>
      <c r="P9">
        <f t="shared" si="6"/>
        <v>0.79</v>
      </c>
      <c r="Q9" s="31">
        <f t="shared" si="7"/>
        <v>-720.60554833333345</v>
      </c>
      <c r="R9" s="32">
        <v>-720.61</v>
      </c>
      <c r="S9" s="84">
        <f t="shared" si="8"/>
        <v>4.4516666665685989E-3</v>
      </c>
      <c r="T9" s="20"/>
    </row>
    <row r="10" spans="1:20" x14ac:dyDescent="0.25">
      <c r="A10" s="68">
        <v>44652</v>
      </c>
      <c r="B10" s="104">
        <v>-115061.55</v>
      </c>
      <c r="C10" s="69">
        <f t="shared" si="0"/>
        <v>24162.925500000001</v>
      </c>
      <c r="D10" s="70">
        <f t="shared" si="1"/>
        <v>-90898.624500000005</v>
      </c>
      <c r="E10" s="71">
        <f>'[5]Conv F and COC UE-190529'!$E$18</f>
        <v>6.8000000000000005E-2</v>
      </c>
      <c r="F10" s="72">
        <v>0.79</v>
      </c>
      <c r="G10" s="73">
        <f t="shared" si="4"/>
        <v>-663.66161166666666</v>
      </c>
      <c r="H10" s="84">
        <v>-663.66</v>
      </c>
      <c r="I10" s="84">
        <f t="shared" si="5"/>
        <v>-1.6116666666903257E-3</v>
      </c>
      <c r="J10" s="85"/>
      <c r="K10" s="68">
        <v>44652</v>
      </c>
      <c r="L10" s="104">
        <v>-75639.03</v>
      </c>
      <c r="M10" s="30">
        <f t="shared" si="2"/>
        <v>15884.1963</v>
      </c>
      <c r="N10" s="20">
        <f t="shared" si="3"/>
        <v>-59754.833700000003</v>
      </c>
      <c r="O10" s="71">
        <f>'[5]Conv F and COC UE-190529'!$E$18</f>
        <v>6.8000000000000005E-2</v>
      </c>
      <c r="P10">
        <f t="shared" si="6"/>
        <v>0.79</v>
      </c>
      <c r="Q10" s="31">
        <f t="shared" si="7"/>
        <v>-525.49150500000007</v>
      </c>
      <c r="R10" s="32">
        <v>-525.49</v>
      </c>
      <c r="S10" s="84">
        <f t="shared" si="8"/>
        <v>-1.5050000000655928E-3</v>
      </c>
      <c r="T10" s="20"/>
    </row>
    <row r="11" spans="1:20" x14ac:dyDescent="0.25">
      <c r="A11" s="68">
        <v>44682</v>
      </c>
      <c r="B11" s="104">
        <v>-80450.89</v>
      </c>
      <c r="C11" s="69">
        <f t="shared" si="0"/>
        <v>16894.686900000001</v>
      </c>
      <c r="D11" s="70">
        <f t="shared" si="1"/>
        <v>-63556.203099999999</v>
      </c>
      <c r="E11" s="71">
        <f>'[5]Conv F and COC UE-190529'!$E$18</f>
        <v>6.8000000000000005E-2</v>
      </c>
      <c r="F11" s="72">
        <v>0.79</v>
      </c>
      <c r="G11" s="73">
        <f t="shared" si="4"/>
        <v>-553.95191333333332</v>
      </c>
      <c r="H11" s="84">
        <v>-553.95000000000005</v>
      </c>
      <c r="I11" s="84">
        <f t="shared" si="5"/>
        <v>-1.9133333332774782E-3</v>
      </c>
      <c r="J11" s="85"/>
      <c r="K11" s="68">
        <v>44682</v>
      </c>
      <c r="L11" s="104">
        <v>-45484.02</v>
      </c>
      <c r="M11" s="30">
        <f t="shared" si="2"/>
        <v>9551.6441999999988</v>
      </c>
      <c r="N11" s="20">
        <f t="shared" si="3"/>
        <v>-35932.375799999994</v>
      </c>
      <c r="O11" s="71">
        <f>'[5]Conv F and COC UE-190529'!$E$18</f>
        <v>6.8000000000000005E-2</v>
      </c>
      <c r="P11">
        <f t="shared" si="6"/>
        <v>0.79</v>
      </c>
      <c r="Q11" s="31">
        <f t="shared" si="7"/>
        <v>-343.18197499999997</v>
      </c>
      <c r="R11" s="32">
        <v>-343.18</v>
      </c>
      <c r="S11" s="84">
        <f t="shared" si="8"/>
        <v>-1.9749999999589818E-3</v>
      </c>
      <c r="T11" s="20"/>
    </row>
    <row r="12" spans="1:20" x14ac:dyDescent="0.25">
      <c r="A12" s="68">
        <v>44713</v>
      </c>
      <c r="B12" s="104">
        <f>+B11</f>
        <v>-80450.89</v>
      </c>
      <c r="C12" s="69">
        <f t="shared" si="0"/>
        <v>16894.686900000001</v>
      </c>
      <c r="D12" s="70">
        <f t="shared" si="1"/>
        <v>-63556.203099999999</v>
      </c>
      <c r="E12" s="71">
        <f>'[5]Conv F and COC UE-190529'!$E$18</f>
        <v>6.8000000000000005E-2</v>
      </c>
      <c r="F12" s="72">
        <v>0.79</v>
      </c>
      <c r="G12" s="73">
        <f t="shared" si="4"/>
        <v>-455.88837666666666</v>
      </c>
      <c r="H12" s="84">
        <v>-455.89</v>
      </c>
      <c r="I12" s="84">
        <f t="shared" si="5"/>
        <v>1.6233333333275368E-3</v>
      </c>
      <c r="J12" s="85"/>
      <c r="K12" s="68">
        <v>44713</v>
      </c>
      <c r="L12" s="104">
        <v>-17842.62</v>
      </c>
      <c r="M12" s="30">
        <f t="shared" si="2"/>
        <v>3746.9501999999998</v>
      </c>
      <c r="N12" s="20">
        <f t="shared" si="3"/>
        <v>-14095.6698</v>
      </c>
      <c r="O12" s="71">
        <f>'[5]Conv F and COC UE-190529'!$E$18</f>
        <v>6.8000000000000005E-2</v>
      </c>
      <c r="P12">
        <f t="shared" si="6"/>
        <v>0.79</v>
      </c>
      <c r="Q12" s="31">
        <f t="shared" si="7"/>
        <v>-179.42548000000002</v>
      </c>
      <c r="R12" s="32">
        <v>-179.43</v>
      </c>
      <c r="S12" s="84">
        <f t="shared" si="8"/>
        <v>4.5199999999852025E-3</v>
      </c>
      <c r="T12" s="20"/>
    </row>
    <row r="13" spans="1:20" x14ac:dyDescent="0.25">
      <c r="A13" s="68">
        <v>44743</v>
      </c>
      <c r="B13" s="104">
        <v>-66716.72</v>
      </c>
      <c r="C13" s="69">
        <f t="shared" si="0"/>
        <v>14010.511199999999</v>
      </c>
      <c r="D13" s="70">
        <f t="shared" si="1"/>
        <v>-52706.2088</v>
      </c>
      <c r="E13" s="71">
        <f>'[5]Conv F and COC UE-190529'!$E$18</f>
        <v>6.8000000000000005E-2</v>
      </c>
      <c r="F13" s="72">
        <v>0.79</v>
      </c>
      <c r="G13" s="73">
        <f t="shared" si="4"/>
        <v>-416.97489500000006</v>
      </c>
      <c r="H13" s="84">
        <v>-416.97</v>
      </c>
      <c r="I13" s="84">
        <f t="shared" si="5"/>
        <v>-4.8950000000331784E-3</v>
      </c>
      <c r="J13" s="85"/>
      <c r="K13" s="68">
        <v>44743</v>
      </c>
      <c r="L13" s="104">
        <v>12756.61</v>
      </c>
      <c r="M13" s="30">
        <f t="shared" si="2"/>
        <v>-2678.8881000000001</v>
      </c>
      <c r="N13" s="20">
        <f t="shared" si="3"/>
        <v>10077.7219</v>
      </c>
      <c r="O13" s="71">
        <f>'[5]Conv F and COC UE-190529'!$E$18</f>
        <v>6.8000000000000005E-2</v>
      </c>
      <c r="P13">
        <f t="shared" si="6"/>
        <v>0.79</v>
      </c>
      <c r="Q13" s="31">
        <f t="shared" si="7"/>
        <v>-14.410361666666663</v>
      </c>
      <c r="R13" s="32">
        <v>-14.41</v>
      </c>
      <c r="S13" s="84">
        <f t="shared" si="8"/>
        <v>-3.6166666666304081E-4</v>
      </c>
      <c r="T13" s="20"/>
    </row>
    <row r="14" spans="1:20" x14ac:dyDescent="0.25">
      <c r="A14" s="68">
        <v>44774</v>
      </c>
      <c r="B14" s="104">
        <v>-66716.72</v>
      </c>
      <c r="C14" s="69">
        <f t="shared" si="0"/>
        <v>14010.511199999999</v>
      </c>
      <c r="D14" s="70">
        <f t="shared" si="1"/>
        <v>-52706.2088</v>
      </c>
      <c r="E14" s="71">
        <f>'[5]Conv F and COC UE-190529'!$E$18</f>
        <v>6.8000000000000005E-2</v>
      </c>
      <c r="F14" s="72">
        <v>0.79</v>
      </c>
      <c r="G14" s="73">
        <f t="shared" si="4"/>
        <v>-378.06141333333341</v>
      </c>
      <c r="H14" s="84">
        <v>-378.06</v>
      </c>
      <c r="I14" s="84">
        <f t="shared" si="5"/>
        <v>-1.4133333334029885E-3</v>
      </c>
      <c r="J14" s="85"/>
      <c r="K14" s="68">
        <v>44774</v>
      </c>
      <c r="L14" s="104">
        <v>44685.17</v>
      </c>
      <c r="M14" s="30">
        <f t="shared" si="2"/>
        <v>-9383.8856999999989</v>
      </c>
      <c r="N14" s="20">
        <f t="shared" si="3"/>
        <v>35301.284299999999</v>
      </c>
      <c r="O14" s="71">
        <f>'[5]Conv F and COC UE-190529'!$E$18</f>
        <v>6.8000000000000005E-2</v>
      </c>
      <c r="P14">
        <f t="shared" si="6"/>
        <v>0.79</v>
      </c>
      <c r="Q14" s="31">
        <f t="shared" si="7"/>
        <v>162.75171000000003</v>
      </c>
      <c r="R14" s="32">
        <v>162.75</v>
      </c>
      <c r="S14" s="84">
        <f t="shared" si="8"/>
        <v>1.7100000000311866E-3</v>
      </c>
      <c r="T14" s="20"/>
    </row>
    <row r="15" spans="1:20" x14ac:dyDescent="0.25">
      <c r="A15" s="68">
        <v>44805</v>
      </c>
      <c r="B15" s="106">
        <v>-65800.100000000006</v>
      </c>
      <c r="C15" s="69">
        <f t="shared" si="0"/>
        <v>13818.021000000001</v>
      </c>
      <c r="D15" s="70">
        <f t="shared" si="1"/>
        <v>-51982.079000000005</v>
      </c>
      <c r="E15" s="71">
        <f>'[5]Conv F and COC UE-190529'!$E$18</f>
        <v>6.8000000000000005E-2</v>
      </c>
      <c r="F15" s="72">
        <v>0.79</v>
      </c>
      <c r="G15" s="73">
        <f t="shared" si="4"/>
        <v>-375.46432333333337</v>
      </c>
      <c r="H15" s="84">
        <v>-375.46</v>
      </c>
      <c r="I15" s="84">
        <f t="shared" si="5"/>
        <v>-4.3233333333887458E-3</v>
      </c>
      <c r="J15" s="85"/>
      <c r="K15" s="68">
        <v>44805</v>
      </c>
      <c r="L15" s="106">
        <v>72647.83</v>
      </c>
      <c r="M15" s="30">
        <f t="shared" si="2"/>
        <v>-15256.0443</v>
      </c>
      <c r="N15" s="20">
        <f t="shared" si="3"/>
        <v>57391.7857</v>
      </c>
      <c r="O15" s="71">
        <f>'[5]Conv F and COC UE-190529'!$E$18</f>
        <v>6.8000000000000005E-2</v>
      </c>
      <c r="P15">
        <f t="shared" si="6"/>
        <v>0.79</v>
      </c>
      <c r="Q15" s="31">
        <f t="shared" si="7"/>
        <v>332.44350000000003</v>
      </c>
      <c r="R15" s="32">
        <v>332.44</v>
      </c>
      <c r="S15" s="84">
        <f t="shared" si="8"/>
        <v>3.5000000000309228E-3</v>
      </c>
      <c r="T15" s="20"/>
    </row>
    <row r="16" spans="1:20" x14ac:dyDescent="0.25">
      <c r="A16" s="68">
        <v>44835</v>
      </c>
      <c r="B16" s="105">
        <v>-64790.51</v>
      </c>
      <c r="C16" s="69">
        <f t="shared" si="0"/>
        <v>13606.007100000001</v>
      </c>
      <c r="D16" s="70">
        <f t="shared" si="1"/>
        <v>-51184.502899999999</v>
      </c>
      <c r="E16" s="71">
        <f>'[5]Conv F and COC UE-190529'!$E$18</f>
        <v>6.8000000000000005E-2</v>
      </c>
      <c r="F16" s="72">
        <v>0.79</v>
      </c>
      <c r="G16" s="73">
        <f t="shared" si="4"/>
        <v>-370.0067283333334</v>
      </c>
      <c r="H16" s="84"/>
      <c r="I16" s="84"/>
      <c r="J16" s="85"/>
      <c r="K16" s="68">
        <v>44835</v>
      </c>
      <c r="L16" s="104"/>
      <c r="M16" s="30">
        <f t="shared" si="2"/>
        <v>0</v>
      </c>
      <c r="N16" s="20">
        <f t="shared" si="3"/>
        <v>0</v>
      </c>
      <c r="O16" s="71">
        <f>'[5]Conv F and COC UE-190529'!$E$18</f>
        <v>6.8000000000000005E-2</v>
      </c>
      <c r="P16">
        <f t="shared" si="6"/>
        <v>0.79</v>
      </c>
      <c r="Q16" s="31">
        <f t="shared" si="7"/>
        <v>205.83551833333334</v>
      </c>
      <c r="R16" s="32">
        <f>+Q16</f>
        <v>205.83551833333334</v>
      </c>
      <c r="S16" s="84">
        <f t="shared" si="8"/>
        <v>0</v>
      </c>
      <c r="T16" s="20"/>
    </row>
    <row r="17" spans="1:19" x14ac:dyDescent="0.25">
      <c r="A17" s="68">
        <v>44866</v>
      </c>
      <c r="B17" s="69"/>
      <c r="C17" s="69">
        <f t="shared" si="0"/>
        <v>0</v>
      </c>
      <c r="D17" s="70">
        <f t="shared" si="1"/>
        <v>0</v>
      </c>
      <c r="E17" s="71">
        <f>'[5]Conv F and COC UE-190529'!$E$18</f>
        <v>6.8000000000000005E-2</v>
      </c>
      <c r="F17" s="72">
        <v>0.79</v>
      </c>
      <c r="G17" s="73">
        <f t="shared" si="4"/>
        <v>-183.57311166666668</v>
      </c>
      <c r="H17" s="84"/>
      <c r="I17" s="84"/>
      <c r="J17" s="85"/>
      <c r="K17" s="68">
        <v>44866</v>
      </c>
      <c r="L17" s="104"/>
      <c r="M17" s="30">
        <f t="shared" si="2"/>
        <v>0</v>
      </c>
      <c r="N17" s="20">
        <f t="shared" si="3"/>
        <v>0</v>
      </c>
      <c r="O17" s="71">
        <f>'[5]Conv F and COC UE-190529'!$E$18</f>
        <v>6.8000000000000005E-2</v>
      </c>
      <c r="P17">
        <f t="shared" si="6"/>
        <v>0.79</v>
      </c>
      <c r="Q17" s="31">
        <f t="shared" si="7"/>
        <v>0</v>
      </c>
      <c r="R17" s="32">
        <f>+Q17</f>
        <v>0</v>
      </c>
      <c r="S17" s="84">
        <f t="shared" si="8"/>
        <v>0</v>
      </c>
    </row>
    <row r="18" spans="1:19" x14ac:dyDescent="0.25">
      <c r="A18" s="68">
        <v>44896</v>
      </c>
      <c r="B18" s="69"/>
      <c r="C18" s="69">
        <f t="shared" si="0"/>
        <v>0</v>
      </c>
      <c r="D18" s="70">
        <f t="shared" si="1"/>
        <v>0</v>
      </c>
      <c r="E18" s="71">
        <f>'[5]Conv F and COC UE-190529'!$E$18</f>
        <v>6.8000000000000005E-2</v>
      </c>
      <c r="F18" s="72">
        <v>0.79</v>
      </c>
      <c r="G18" s="73">
        <f t="shared" si="4"/>
        <v>0</v>
      </c>
      <c r="H18" s="84"/>
      <c r="I18" s="84"/>
      <c r="J18" s="85"/>
      <c r="K18" s="68">
        <v>44896</v>
      </c>
      <c r="L18" s="104"/>
      <c r="M18" s="30">
        <f t="shared" si="2"/>
        <v>0</v>
      </c>
      <c r="N18" s="20">
        <f t="shared" si="3"/>
        <v>0</v>
      </c>
      <c r="O18" s="71">
        <f>'[5]Conv F and COC UE-190529'!$E$18</f>
        <v>6.8000000000000005E-2</v>
      </c>
      <c r="P18">
        <f t="shared" si="6"/>
        <v>0.79</v>
      </c>
      <c r="Q18" s="31">
        <f t="shared" si="7"/>
        <v>0</v>
      </c>
      <c r="R18" s="32">
        <f>+Q18</f>
        <v>0</v>
      </c>
      <c r="S18" s="84">
        <f t="shared" si="8"/>
        <v>0</v>
      </c>
    </row>
    <row r="19" spans="1:19" ht="15.75" thickBot="1" x14ac:dyDescent="0.3">
      <c r="C19" s="78"/>
      <c r="I19" s="86">
        <f>SUM(I5:I18)</f>
        <v>-2.2446666667121917E-2</v>
      </c>
      <c r="S19" s="86">
        <f>SUM(S5:S18)</f>
        <v>6.3549999998144813E-3</v>
      </c>
    </row>
    <row r="20" spans="1:19" ht="15.75" thickTop="1" x14ac:dyDescent="0.25">
      <c r="C20" s="78"/>
      <c r="D20" s="79"/>
      <c r="E20" s="80"/>
      <c r="F20" s="81" t="s">
        <v>85</v>
      </c>
      <c r="G20" s="78">
        <v>43100181</v>
      </c>
      <c r="H20" s="87"/>
      <c r="I20" s="88">
        <f>-I6-I7</f>
        <v>151.05132333333358</v>
      </c>
      <c r="S20" s="72"/>
    </row>
    <row r="21" spans="1:19" x14ac:dyDescent="0.25">
      <c r="D21" s="78"/>
      <c r="E21" s="78"/>
      <c r="F21" s="78"/>
      <c r="G21" s="78">
        <v>25400311</v>
      </c>
      <c r="H21" s="78"/>
      <c r="I21" s="82">
        <f>-I20</f>
        <v>-151.05132333333358</v>
      </c>
      <c r="S21" s="72"/>
    </row>
    <row r="23" spans="1:19" x14ac:dyDescent="0.25">
      <c r="A23" s="89" t="s">
        <v>71</v>
      </c>
      <c r="B23" s="90"/>
      <c r="C23" s="90"/>
      <c r="D23" s="90"/>
      <c r="E23" s="90"/>
      <c r="F23" s="90"/>
      <c r="G23" s="90"/>
      <c r="H23" s="90"/>
      <c r="I23" s="90"/>
      <c r="J23" s="90"/>
      <c r="K23" s="90"/>
      <c r="L23" s="90"/>
      <c r="M23" s="90"/>
      <c r="N23" s="90"/>
      <c r="O23" s="90"/>
      <c r="P23" s="90"/>
      <c r="Q23" s="90"/>
      <c r="R23" s="90"/>
      <c r="S23" s="90"/>
    </row>
    <row r="26" spans="1:19" ht="11.25" customHeight="1" x14ac:dyDescent="0.25"/>
    <row r="27" spans="1:19" hidden="1" x14ac:dyDescent="0.25"/>
    <row r="39" spans="8:20" ht="15.75" thickBot="1" x14ac:dyDescent="0.3"/>
    <row r="40" spans="8:20" ht="15.75" thickBot="1" x14ac:dyDescent="0.3">
      <c r="R40" s="103">
        <f>+L15</f>
        <v>72647.83</v>
      </c>
      <c r="S40" s="102" t="s">
        <v>84</v>
      </c>
      <c r="T40" s="101"/>
    </row>
    <row r="41" spans="8:20" x14ac:dyDescent="0.25">
      <c r="R41">
        <v>72647.83</v>
      </c>
    </row>
    <row r="42" spans="8:20" x14ac:dyDescent="0.25">
      <c r="R42" s="91">
        <f>+R40-R41</f>
        <v>0</v>
      </c>
    </row>
    <row r="43" spans="8:20" ht="15.75" thickBot="1" x14ac:dyDescent="0.3"/>
    <row r="44" spans="8:20" ht="15.75" thickBot="1" x14ac:dyDescent="0.3">
      <c r="H44" s="103">
        <f>+B16</f>
        <v>-64790.51</v>
      </c>
      <c r="I44" s="102" t="s">
        <v>83</v>
      </c>
      <c r="J44" s="101"/>
      <c r="R44" s="91"/>
      <c r="S44" s="22"/>
    </row>
    <row r="45" spans="8:20" x14ac:dyDescent="0.25">
      <c r="H45" s="100">
        <f>+B16</f>
        <v>-64790.51</v>
      </c>
      <c r="I45" s="94" t="s">
        <v>82</v>
      </c>
    </row>
    <row r="46" spans="8:20" x14ac:dyDescent="0.25">
      <c r="H46" s="100">
        <f>+'[5]A0 - Recon (2)'!R33</f>
        <v>-65800.099999999991</v>
      </c>
      <c r="I46" s="94" t="s">
        <v>81</v>
      </c>
    </row>
    <row r="47" spans="8:20" x14ac:dyDescent="0.25">
      <c r="H47" s="100">
        <f>+H46-H45</f>
        <v>-1009.5899999999892</v>
      </c>
      <c r="I47" s="94" t="s">
        <v>80</v>
      </c>
    </row>
    <row r="48" spans="8:20" x14ac:dyDescent="0.25">
      <c r="H48" s="92"/>
      <c r="I48" s="92"/>
    </row>
    <row r="53" spans="2:2" x14ac:dyDescent="0.25">
      <c r="B53" t="s">
        <v>79</v>
      </c>
    </row>
  </sheetData>
  <pageMargins left="0.7" right="0.7" top="0.75" bottom="0.75" header="0.3" footer="0.3"/>
  <pageSetup scale="57" fitToHeight="2" orientation="landscape" r:id="rId1"/>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J18" sqref="J18"/>
    </sheetView>
  </sheetViews>
  <sheetFormatPr defaultRowHeight="15" x14ac:dyDescent="0.25"/>
  <cols>
    <col min="2" max="2" width="41.7109375" bestFit="1" customWidth="1"/>
    <col min="6" max="6" width="6" customWidth="1"/>
    <col min="7" max="7" width="60.85546875" bestFit="1" customWidth="1"/>
    <col min="8" max="8" width="3.140625" customWidth="1"/>
  </cols>
  <sheetData>
    <row r="1" spans="1:11" ht="18.75" x14ac:dyDescent="0.3">
      <c r="A1" s="65" t="s">
        <v>68</v>
      </c>
      <c r="B1" s="40"/>
      <c r="C1" s="40"/>
      <c r="D1" s="41" t="s">
        <v>55</v>
      </c>
      <c r="E1" s="42"/>
      <c r="F1" s="40"/>
      <c r="G1" s="40"/>
      <c r="H1" s="41" t="s">
        <v>56</v>
      </c>
      <c r="I1" s="43"/>
      <c r="J1" s="42"/>
    </row>
    <row r="2" spans="1:11" x14ac:dyDescent="0.25">
      <c r="A2" s="44" t="s">
        <v>57</v>
      </c>
      <c r="B2" s="44"/>
      <c r="C2" s="44"/>
      <c r="D2" s="44"/>
      <c r="E2" s="44"/>
      <c r="F2" s="44"/>
      <c r="G2" s="44" t="s">
        <v>57</v>
      </c>
      <c r="H2" s="45"/>
      <c r="I2" s="45"/>
      <c r="J2" s="45"/>
    </row>
    <row r="3" spans="1:11" x14ac:dyDescent="0.25">
      <c r="A3" s="44" t="s">
        <v>58</v>
      </c>
      <c r="B3" s="44"/>
      <c r="C3" s="44"/>
      <c r="D3" s="44"/>
      <c r="E3" s="44"/>
      <c r="F3" s="44"/>
      <c r="G3" s="44" t="s">
        <v>58</v>
      </c>
      <c r="H3" s="45"/>
      <c r="I3" s="45"/>
      <c r="J3" s="45"/>
    </row>
    <row r="4" spans="1:11" x14ac:dyDescent="0.25">
      <c r="A4" s="44" t="s">
        <v>66</v>
      </c>
      <c r="B4" s="44"/>
      <c r="C4" s="44"/>
      <c r="D4" s="44"/>
      <c r="E4" s="44"/>
      <c r="F4" s="44"/>
      <c r="G4" s="44" t="s">
        <v>66</v>
      </c>
      <c r="H4" s="45"/>
      <c r="I4" s="45"/>
      <c r="J4" s="45"/>
    </row>
    <row r="5" spans="1:11" x14ac:dyDescent="0.25">
      <c r="A5" s="44" t="s">
        <v>65</v>
      </c>
      <c r="B5" s="44"/>
      <c r="C5" s="44"/>
      <c r="D5" s="44"/>
      <c r="E5" s="44"/>
      <c r="F5" s="44"/>
      <c r="G5" s="44" t="s">
        <v>65</v>
      </c>
      <c r="H5" s="45"/>
      <c r="I5" s="45"/>
      <c r="J5" s="45"/>
    </row>
    <row r="6" spans="1:11" x14ac:dyDescent="0.25">
      <c r="A6" s="44" t="s">
        <v>59</v>
      </c>
      <c r="B6" s="44"/>
      <c r="C6" s="44"/>
      <c r="D6" s="44"/>
      <c r="E6" s="44"/>
      <c r="F6" s="44"/>
      <c r="G6" s="44" t="s">
        <v>21</v>
      </c>
      <c r="H6" s="44"/>
      <c r="I6" s="44"/>
      <c r="J6" s="44"/>
    </row>
    <row r="7" spans="1:11" x14ac:dyDescent="0.25">
      <c r="A7" s="40"/>
      <c r="B7" s="45"/>
      <c r="C7" s="45"/>
      <c r="D7" s="45"/>
      <c r="E7" s="45"/>
      <c r="F7" s="45"/>
      <c r="G7" s="45"/>
      <c r="H7" s="45"/>
      <c r="I7" s="45"/>
      <c r="J7" s="45"/>
    </row>
    <row r="8" spans="1:11" x14ac:dyDescent="0.25">
      <c r="A8" s="40"/>
      <c r="B8" s="40"/>
      <c r="C8" s="40"/>
      <c r="D8" s="40"/>
      <c r="E8" s="40"/>
      <c r="F8" s="45"/>
      <c r="G8" s="45"/>
      <c r="H8" s="45"/>
      <c r="I8" s="45"/>
      <c r="J8" s="40"/>
    </row>
    <row r="9" spans="1:11" x14ac:dyDescent="0.25">
      <c r="A9" s="46" t="s">
        <v>22</v>
      </c>
      <c r="B9" s="46"/>
      <c r="C9" s="47" t="s">
        <v>47</v>
      </c>
      <c r="D9" s="40"/>
      <c r="E9" s="47" t="s">
        <v>60</v>
      </c>
      <c r="F9" s="46" t="s">
        <v>22</v>
      </c>
      <c r="G9" s="46"/>
      <c r="H9" s="46"/>
      <c r="I9" s="40"/>
      <c r="J9" s="40"/>
    </row>
    <row r="10" spans="1:11" x14ac:dyDescent="0.25">
      <c r="A10" s="48" t="s">
        <v>23</v>
      </c>
      <c r="B10" s="48" t="s">
        <v>24</v>
      </c>
      <c r="C10" s="49" t="s">
        <v>61</v>
      </c>
      <c r="D10" s="49" t="s">
        <v>46</v>
      </c>
      <c r="E10" s="49" t="s">
        <v>46</v>
      </c>
      <c r="F10" s="48" t="s">
        <v>23</v>
      </c>
      <c r="G10" s="48" t="s">
        <v>24</v>
      </c>
      <c r="H10" s="48"/>
      <c r="I10" s="50"/>
      <c r="J10" s="50"/>
    </row>
    <row r="11" spans="1:11" x14ac:dyDescent="0.25">
      <c r="A11" s="40"/>
      <c r="B11" s="40"/>
      <c r="C11" s="40"/>
      <c r="D11" s="40"/>
      <c r="E11" s="40"/>
      <c r="F11" s="40"/>
      <c r="G11" s="40"/>
      <c r="H11" s="40"/>
      <c r="I11" s="40"/>
      <c r="J11" s="40"/>
    </row>
    <row r="12" spans="1:11" x14ac:dyDescent="0.25">
      <c r="A12" s="51">
        <v>1</v>
      </c>
      <c r="B12" s="52" t="s">
        <v>62</v>
      </c>
      <c r="C12" s="53">
        <v>0.51500000000000001</v>
      </c>
      <c r="D12" s="53">
        <v>5.4951456310679617E-2</v>
      </c>
      <c r="E12" s="53">
        <f>ROUND(C12*D12,4)</f>
        <v>2.8299999999999999E-2</v>
      </c>
      <c r="F12" s="51">
        <v>1</v>
      </c>
      <c r="G12" s="54" t="s">
        <v>25</v>
      </c>
      <c r="H12" s="52"/>
      <c r="I12" s="52"/>
      <c r="J12" s="55">
        <v>8.4790000000000004E-3</v>
      </c>
    </row>
    <row r="13" spans="1:11" x14ac:dyDescent="0.25">
      <c r="A13" s="51">
        <f t="shared" ref="A13:A18" si="0">A12+1</f>
        <v>2</v>
      </c>
      <c r="B13" s="52" t="s">
        <v>48</v>
      </c>
      <c r="C13" s="53">
        <v>0.48499999999999999</v>
      </c>
      <c r="D13" s="53">
        <v>9.4E-2</v>
      </c>
      <c r="E13" s="53">
        <f>ROUND(C13*D13,4)</f>
        <v>4.5600000000000002E-2</v>
      </c>
      <c r="F13" s="51">
        <f t="shared" ref="F13:F20" si="1">F12+1</f>
        <v>2</v>
      </c>
      <c r="G13" s="54" t="s">
        <v>26</v>
      </c>
      <c r="H13" s="52"/>
      <c r="I13" s="52"/>
      <c r="J13" s="93">
        <v>4.0000000000000001E-3</v>
      </c>
      <c r="K13" s="94" t="s">
        <v>74</v>
      </c>
    </row>
    <row r="14" spans="1:11" x14ac:dyDescent="0.25">
      <c r="A14" s="51">
        <f t="shared" si="0"/>
        <v>3</v>
      </c>
      <c r="B14" s="52" t="s">
        <v>63</v>
      </c>
      <c r="C14" s="56">
        <f>SUM(C12:C13)</f>
        <v>1</v>
      </c>
      <c r="D14" s="57"/>
      <c r="E14" s="58">
        <f>SUM(E12:E13)</f>
        <v>7.3899999999999993E-2</v>
      </c>
      <c r="F14" s="51">
        <f t="shared" si="1"/>
        <v>3</v>
      </c>
      <c r="G14" s="54" t="str">
        <f>"STATE UTILITY TAX ( "&amp;J14*100&amp;"% - ( LINE 1 * "&amp;J14*100&amp;"% )  )"</f>
        <v>STATE UTILITY TAX ( 3.8406% - ( LINE 1 * 3.8406% )  )</v>
      </c>
      <c r="H14" s="40"/>
      <c r="I14" s="59">
        <v>3.8733999999999998E-2</v>
      </c>
      <c r="J14" s="60">
        <f>ROUND(I14-(I14*J12),6)</f>
        <v>3.8406000000000003E-2</v>
      </c>
    </row>
    <row r="15" spans="1:11" x14ac:dyDescent="0.25">
      <c r="A15" s="51">
        <f t="shared" si="0"/>
        <v>4</v>
      </c>
      <c r="B15" s="52"/>
      <c r="C15" s="40"/>
      <c r="D15" s="40"/>
      <c r="E15" s="40"/>
      <c r="F15" s="51">
        <f t="shared" si="1"/>
        <v>4</v>
      </c>
      <c r="G15" s="54"/>
      <c r="H15" s="52"/>
      <c r="I15" s="52"/>
      <c r="J15" s="61"/>
    </row>
    <row r="16" spans="1:11" x14ac:dyDescent="0.25">
      <c r="A16" s="51">
        <f t="shared" si="0"/>
        <v>5</v>
      </c>
      <c r="B16" s="52" t="s">
        <v>64</v>
      </c>
      <c r="C16" s="53">
        <f>+C12</f>
        <v>0.51500000000000001</v>
      </c>
      <c r="D16" s="53">
        <f>D12*0.79</f>
        <v>4.3411650485436902E-2</v>
      </c>
      <c r="E16" s="53">
        <f>ROUND(E12*0.79,4)</f>
        <v>2.24E-2</v>
      </c>
      <c r="F16" s="51">
        <f t="shared" si="1"/>
        <v>5</v>
      </c>
      <c r="G16" s="54" t="s">
        <v>27</v>
      </c>
      <c r="H16" s="52"/>
      <c r="I16" s="52"/>
      <c r="J16" s="55">
        <f>ROUND(SUM(J12:J14),6)</f>
        <v>5.0885E-2</v>
      </c>
    </row>
    <row r="17" spans="1:10" x14ac:dyDescent="0.25">
      <c r="A17" s="51">
        <f t="shared" si="0"/>
        <v>6</v>
      </c>
      <c r="B17" s="52" t="s">
        <v>48</v>
      </c>
      <c r="C17" s="53">
        <f>+C13</f>
        <v>0.48499999999999999</v>
      </c>
      <c r="D17" s="53">
        <f>+D13</f>
        <v>9.4E-2</v>
      </c>
      <c r="E17" s="53">
        <f>ROUND(C17*D17,4)</f>
        <v>4.5600000000000002E-2</v>
      </c>
      <c r="F17" s="51">
        <f t="shared" si="1"/>
        <v>6</v>
      </c>
      <c r="G17" s="52"/>
      <c r="H17" s="52"/>
      <c r="I17" s="52"/>
      <c r="J17" s="55"/>
    </row>
    <row r="18" spans="1:10" x14ac:dyDescent="0.25">
      <c r="A18" s="51">
        <f t="shared" si="0"/>
        <v>7</v>
      </c>
      <c r="B18" s="52" t="s">
        <v>49</v>
      </c>
      <c r="C18" s="56">
        <f>SUM(C16:C17)</f>
        <v>1</v>
      </c>
      <c r="D18" s="57"/>
      <c r="E18" s="67">
        <f>SUM(E16:E17)</f>
        <v>6.8000000000000005E-2</v>
      </c>
      <c r="F18" s="51">
        <f t="shared" si="1"/>
        <v>7</v>
      </c>
      <c r="G18" s="52" t="str">
        <f>"CONVERSION FACTOR EXCLUDING FEDERAL INCOME TAX ( 1 - LINE "&amp;$I$17&amp;" )"</f>
        <v>CONVERSION FACTOR EXCLUDING FEDERAL INCOME TAX ( 1 - LINE  )</v>
      </c>
      <c r="H18" s="52"/>
      <c r="I18" s="52"/>
      <c r="J18" s="55">
        <f>ROUND(1-J16,6)</f>
        <v>0.94911500000000004</v>
      </c>
    </row>
    <row r="19" spans="1:10" x14ac:dyDescent="0.25">
      <c r="A19" s="51"/>
      <c r="B19" s="40"/>
      <c r="C19" s="40"/>
      <c r="D19" s="40"/>
      <c r="E19" s="40"/>
      <c r="F19" s="51">
        <f t="shared" si="1"/>
        <v>8</v>
      </c>
      <c r="G19" s="54" t="s">
        <v>67</v>
      </c>
      <c r="H19" s="52"/>
      <c r="I19" s="62">
        <v>0.21</v>
      </c>
      <c r="J19" s="55">
        <f>ROUND((J18)*I19,6)</f>
        <v>0.19931399999999999</v>
      </c>
    </row>
    <row r="20" spans="1:10" ht="15.75" thickBot="1" x14ac:dyDescent="0.3">
      <c r="A20" s="51"/>
      <c r="B20" s="40"/>
      <c r="C20" s="40"/>
      <c r="D20" s="40"/>
      <c r="E20" s="40"/>
      <c r="F20" s="51">
        <f t="shared" si="1"/>
        <v>9</v>
      </c>
      <c r="G20" s="54" t="str">
        <f>"CONVERSION FACTOR INCL FEDERAL INCOME TAX ( LINE "&amp;F18&amp;" - LINE "&amp;F19&amp;" ) "</f>
        <v xml:space="preserve">CONVERSION FACTOR INCL FEDERAL INCOME TAX ( LINE 7 - LINE 8 ) </v>
      </c>
      <c r="H20" s="52"/>
      <c r="I20" s="52"/>
      <c r="J20" s="66">
        <f>ROUND(1-J19-J16,6)</f>
        <v>0.74980100000000005</v>
      </c>
    </row>
    <row r="21" spans="1:10" ht="15.75" thickTop="1" x14ac:dyDescent="0.25">
      <c r="A21" s="51"/>
      <c r="B21" s="63"/>
      <c r="C21" s="64"/>
      <c r="D21" s="40"/>
      <c r="E21" s="40"/>
      <c r="F21" s="51"/>
      <c r="G21" s="40"/>
      <c r="H21" s="52"/>
      <c r="I21" s="52"/>
      <c r="J21" s="5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B6971CF8EF53A4FBCACC6342F94385E" ma:contentTypeVersion="28" ma:contentTypeDescription="" ma:contentTypeScope="" ma:versionID="406b0a5f14e04fe1bcb7b2846215947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2022-12-01T08:00:00+00:00</OpenedDate>
    <SignificantOrder xmlns="dc463f71-b30c-4ab2-9473-d307f9d35888">false</SignificantOrder>
    <Date1 xmlns="dc463f71-b30c-4ab2-9473-d307f9d35888">2022-12-01T08:00:00+00:00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220891</DocketNumber>
    <DelegatedOrder xmlns="dc463f71-b30c-4ab2-9473-d307f9d35888">false</DelegatedOrder>
  </documentManagement>
</p:properties>
</file>

<file path=customXml/itemProps1.xml><?xml version="1.0" encoding="utf-8"?>
<ds:datastoreItem xmlns:ds="http://schemas.openxmlformats.org/officeDocument/2006/customXml" ds:itemID="{D737968F-6773-48A6-9A52-3C7B61F766A8}"/>
</file>

<file path=customXml/itemProps2.xml><?xml version="1.0" encoding="utf-8"?>
<ds:datastoreItem xmlns:ds="http://schemas.openxmlformats.org/officeDocument/2006/customXml" ds:itemID="{C04EE3E5-61A0-45FC-BBBA-DD25ACB97E61}"/>
</file>

<file path=customXml/itemProps3.xml><?xml version="1.0" encoding="utf-8"?>
<ds:datastoreItem xmlns:ds="http://schemas.openxmlformats.org/officeDocument/2006/customXml" ds:itemID="{997DBFD8-212D-4729-86C0-6CACE33F02D1}"/>
</file>

<file path=customXml/itemProps4.xml><?xml version="1.0" encoding="utf-8"?>
<ds:datastoreItem xmlns:ds="http://schemas.openxmlformats.org/officeDocument/2006/customXml" ds:itemID="{621E4A1B-4919-404D-8783-8FFAFB10A9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Revenue Requirement</vt:lpstr>
      <vt:lpstr>Tracking Accounts</vt:lpstr>
      <vt:lpstr>Intrst Rev &amp; Tfr Bal Jan 23</vt:lpstr>
      <vt:lpstr>Conv F UE-190529 + filing fee</vt:lpstr>
      <vt:lpstr>'Revenue Requirement'!Print_Area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SFree</dc:creator>
  <cp:lastModifiedBy>Puget Sound Energy</cp:lastModifiedBy>
  <cp:lastPrinted>2018-11-09T22:24:05Z</cp:lastPrinted>
  <dcterms:created xsi:type="dcterms:W3CDTF">2017-11-21T20:51:05Z</dcterms:created>
  <dcterms:modified xsi:type="dcterms:W3CDTF">2022-12-01T03:39:52Z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c4cb4ca9-60c0-45de-a3a5-3e2512bb96b6</vt:lpwstr>
  </property>
  <property fmtid="{D5CDD505-2E9C-101B-9397-08002B2CF9AE}" pid="3" name="ContentTypeId">
    <vt:lpwstr>0x0101006E56B4D1795A2E4DB2F0B01679ED314A000B6971CF8EF53A4FBCACC6342F94385E</vt:lpwstr>
  </property>
  <property fmtid="{D5CDD505-2E9C-101B-9397-08002B2CF9AE}" pid="4" name="_docset_NoMedatataSyncRequired">
    <vt:lpwstr>False</vt:lpwstr>
  </property>
  <property fmtid="{D5CDD505-2E9C-101B-9397-08002B2CF9AE}" pid="5" name="IsEFSEC">
    <vt:bool>false</vt:bool>
  </property>
</Properties>
</file>