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miesha_johnson_utc_wa_gov/Documents/Timesheet/2022/Nov/11-17-22/TG-220853/"/>
    </mc:Choice>
  </mc:AlternateContent>
  <xr:revisionPtr revIDLastSave="0" documentId="8_{9D69BB0F-0BBF-4BB9-ACB5-CB100EDCDB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venue &amp; Expense Adj." sheetId="3" r:id="rId1"/>
    <sheet name="References" sheetId="5" r:id="rId2"/>
    <sheet name="Priceout" sheetId="6" r:id="rId3"/>
  </sheets>
  <definedNames>
    <definedName name="_xlnm.Print_Area" localSheetId="2">Priceout!$A$1:$R$76</definedName>
    <definedName name="_xlnm.Print_Area" localSheetId="0">'Revenue &amp; Expense Adj.'!$A$1:$K$34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3" l="1"/>
  <c r="G29" i="6"/>
  <c r="G31" i="6"/>
  <c r="G30" i="6"/>
  <c r="G38" i="6"/>
  <c r="F38" i="6"/>
  <c r="E38" i="6"/>
  <c r="E10" i="6"/>
  <c r="F10" i="6" s="1"/>
  <c r="H10" i="6" s="1"/>
  <c r="G10" i="6"/>
  <c r="O10" i="6"/>
  <c r="H38" i="6" l="1"/>
  <c r="G69" i="6" l="1"/>
  <c r="H69" i="6" s="1"/>
  <c r="G68" i="6"/>
  <c r="H68" i="6" s="1"/>
  <c r="G55" i="6"/>
  <c r="H55" i="6" s="1"/>
  <c r="G44" i="6"/>
  <c r="H44" i="6" s="1"/>
  <c r="G45" i="6"/>
  <c r="H45" i="6" s="1"/>
  <c r="G46" i="6"/>
  <c r="H46" i="6" s="1"/>
  <c r="H29" i="6"/>
  <c r="O29" i="6"/>
  <c r="D15" i="6" l="1"/>
  <c r="D14" i="6"/>
  <c r="D13" i="6"/>
  <c r="G11" i="6"/>
  <c r="O11" i="6"/>
  <c r="E11" i="6"/>
  <c r="F11" i="6" s="1"/>
  <c r="H11" i="6" l="1"/>
  <c r="G12" i="3" l="1"/>
  <c r="O2" i="6" l="1"/>
  <c r="G28" i="6" l="1"/>
  <c r="G27" i="6"/>
  <c r="G18" i="6"/>
  <c r="G59" i="6"/>
  <c r="G58" i="6"/>
  <c r="G62" i="6"/>
  <c r="G63" i="6"/>
  <c r="G57" i="6"/>
  <c r="G43" i="6" l="1"/>
  <c r="H43" i="6" s="1"/>
  <c r="G42" i="6"/>
  <c r="H42" i="6" s="1"/>
  <c r="G41" i="6"/>
  <c r="H41" i="6" s="1"/>
  <c r="H63" i="6"/>
  <c r="H62" i="6"/>
  <c r="H57" i="6"/>
  <c r="G65" i="6"/>
  <c r="H65" i="6" s="1"/>
  <c r="G64" i="6"/>
  <c r="H64" i="6" s="1"/>
  <c r="G73" i="6"/>
  <c r="H73" i="6" s="1"/>
  <c r="G72" i="6"/>
  <c r="H72" i="6" s="1"/>
  <c r="G71" i="6"/>
  <c r="H71" i="6" s="1"/>
  <c r="G70" i="6"/>
  <c r="H70" i="6" s="1"/>
  <c r="G56" i="6"/>
  <c r="H56" i="6" s="1"/>
  <c r="H58" i="6"/>
  <c r="G49" i="6"/>
  <c r="H49" i="6" s="1"/>
  <c r="G50" i="6"/>
  <c r="H50" i="6" s="1"/>
  <c r="G51" i="6"/>
  <c r="H51" i="6" s="1"/>
  <c r="G52" i="6"/>
  <c r="G53" i="6"/>
  <c r="G54" i="6"/>
  <c r="H54" i="6" s="1"/>
  <c r="G48" i="6"/>
  <c r="G61" i="6"/>
  <c r="G60" i="6"/>
  <c r="G47" i="6"/>
  <c r="G37" i="6"/>
  <c r="H52" i="6" l="1"/>
  <c r="H53" i="6"/>
  <c r="H47" i="6"/>
  <c r="H59" i="6"/>
  <c r="H60" i="6"/>
  <c r="H61" i="6"/>
  <c r="H48" i="6"/>
  <c r="G67" i="6"/>
  <c r="H67" i="6" s="1"/>
  <c r="G66" i="6"/>
  <c r="H66" i="6" s="1"/>
  <c r="G26" i="6" l="1"/>
  <c r="G25" i="6"/>
  <c r="G24" i="6"/>
  <c r="G23" i="6"/>
  <c r="G22" i="6"/>
  <c r="G21" i="6"/>
  <c r="G20" i="6"/>
  <c r="G19" i="6"/>
  <c r="G16" i="6" l="1"/>
  <c r="G14" i="6"/>
  <c r="G15" i="6"/>
  <c r="G13" i="6"/>
  <c r="G12" i="6"/>
  <c r="G7" i="6"/>
  <c r="G8" i="6"/>
  <c r="G9" i="6"/>
  <c r="G6" i="6"/>
  <c r="G5" i="6"/>
  <c r="G3" i="6"/>
  <c r="G2" i="6"/>
  <c r="O14" i="6"/>
  <c r="O15" i="6"/>
  <c r="O13" i="6" l="1"/>
  <c r="D32" i="6" l="1"/>
  <c r="O12" i="6"/>
  <c r="O8" i="6"/>
  <c r="O3" i="6"/>
  <c r="D17" i="6"/>
  <c r="B49" i="5"/>
  <c r="B52" i="5" s="1"/>
  <c r="C48" i="5"/>
  <c r="C47" i="5"/>
  <c r="B9" i="5"/>
  <c r="E9" i="5" s="1"/>
  <c r="B8" i="5"/>
  <c r="H8" i="5" s="1"/>
  <c r="B7" i="5"/>
  <c r="B6" i="5"/>
  <c r="G6" i="5" s="1"/>
  <c r="B5" i="5"/>
  <c r="F5" i="5" s="1"/>
  <c r="B4" i="5"/>
  <c r="F4" i="5" s="1"/>
  <c r="B3" i="5"/>
  <c r="F3" i="5" s="1"/>
  <c r="H6" i="5" l="1"/>
  <c r="G50" i="5"/>
  <c r="G52" i="5" s="1"/>
  <c r="J12" i="3" s="1"/>
  <c r="E6" i="5"/>
  <c r="C49" i="5"/>
  <c r="C5" i="5"/>
  <c r="H5" i="5"/>
  <c r="F9" i="5"/>
  <c r="E16" i="6"/>
  <c r="F16" i="6" s="1"/>
  <c r="H16" i="6" s="1"/>
  <c r="E3" i="6"/>
  <c r="F3" i="6" s="1"/>
  <c r="E2" i="6"/>
  <c r="F2" i="6" s="1"/>
  <c r="H2" i="6" s="1"/>
  <c r="G9" i="5"/>
  <c r="G5" i="5"/>
  <c r="E3" i="5"/>
  <c r="D5" i="5"/>
  <c r="C7" i="5"/>
  <c r="E37" i="6"/>
  <c r="F37" i="6" s="1"/>
  <c r="H37" i="6" s="1"/>
  <c r="E7" i="6"/>
  <c r="F7" i="6" s="1"/>
  <c r="H7" i="6" s="1"/>
  <c r="E8" i="6"/>
  <c r="F8" i="6" s="1"/>
  <c r="H8" i="6" s="1"/>
  <c r="E9" i="6"/>
  <c r="F9" i="6" s="1"/>
  <c r="H9" i="6" s="1"/>
  <c r="E12" i="6"/>
  <c r="F12" i="6" s="1"/>
  <c r="H12" i="6" s="1"/>
  <c r="E4" i="6"/>
  <c r="F4" i="6" s="1"/>
  <c r="H4" i="6" s="1"/>
  <c r="E13" i="6"/>
  <c r="F13" i="6" s="1"/>
  <c r="H13" i="6" s="1"/>
  <c r="E15" i="6"/>
  <c r="F15" i="6" s="1"/>
  <c r="H15" i="6" s="1"/>
  <c r="E5" i="6"/>
  <c r="F5" i="6" s="1"/>
  <c r="H5" i="6" s="1"/>
  <c r="E14" i="6"/>
  <c r="F14" i="6" s="1"/>
  <c r="H14" i="6" s="1"/>
  <c r="E6" i="6"/>
  <c r="F6" i="6" s="1"/>
  <c r="H6" i="6" s="1"/>
  <c r="C9" i="5"/>
  <c r="H9" i="5"/>
  <c r="E5" i="5"/>
  <c r="D6" i="5"/>
  <c r="E7" i="5"/>
  <c r="D9" i="5"/>
  <c r="D33" i="6"/>
  <c r="H3" i="6"/>
  <c r="O4" i="6"/>
  <c r="O9" i="6"/>
  <c r="O16" i="6"/>
  <c r="O6" i="6"/>
  <c r="O7" i="6"/>
  <c r="O5" i="6"/>
  <c r="F8" i="5"/>
  <c r="C4" i="5"/>
  <c r="G4" i="5"/>
  <c r="F7" i="5"/>
  <c r="G8" i="5"/>
  <c r="C3" i="5"/>
  <c r="G3" i="5"/>
  <c r="D4" i="5"/>
  <c r="H4" i="5"/>
  <c r="F6" i="5"/>
  <c r="G7" i="5"/>
  <c r="D8" i="5"/>
  <c r="D3" i="5"/>
  <c r="H3" i="5"/>
  <c r="E4" i="5"/>
  <c r="C6" i="5"/>
  <c r="D7" i="5"/>
  <c r="H7" i="5"/>
  <c r="E8" i="5"/>
  <c r="C8" i="5"/>
  <c r="G28" i="3"/>
  <c r="H28" i="3" s="1"/>
  <c r="H29" i="3" s="1"/>
  <c r="F28" i="3"/>
  <c r="F29" i="3" s="1"/>
  <c r="O18" i="6"/>
  <c r="D13" i="3"/>
  <c r="D20" i="3"/>
  <c r="D29" i="3"/>
  <c r="F19" i="3"/>
  <c r="F20" i="3" s="1"/>
  <c r="F12" i="3"/>
  <c r="F13" i="3" s="1"/>
  <c r="H12" i="3"/>
  <c r="H13" i="3" s="1"/>
  <c r="D22" i="3" l="1"/>
  <c r="O17" i="6"/>
  <c r="B53" i="5"/>
  <c r="G19" i="3"/>
  <c r="H19" i="3" s="1"/>
  <c r="H20" i="3" s="1"/>
  <c r="B54" i="5"/>
  <c r="C82" i="6" s="1"/>
  <c r="C83" i="6" s="1"/>
  <c r="D32" i="3"/>
  <c r="I28" i="3"/>
  <c r="I12" i="3"/>
  <c r="I13" i="3" s="1"/>
  <c r="F22" i="3"/>
  <c r="F32" i="3" s="1"/>
  <c r="H18" i="6"/>
  <c r="F17" i="6"/>
  <c r="H17" i="6"/>
  <c r="B55" i="5" l="1"/>
  <c r="I19" i="3"/>
  <c r="I20" i="3" s="1"/>
  <c r="I22" i="3" s="1"/>
  <c r="O30" i="6"/>
  <c r="H30" i="6"/>
  <c r="O22" i="6"/>
  <c r="H22" i="6"/>
  <c r="H22" i="3"/>
  <c r="H32" i="3" s="1"/>
  <c r="O28" i="6"/>
  <c r="H28" i="6"/>
  <c r="H19" i="6"/>
  <c r="O27" i="6"/>
  <c r="H27" i="6"/>
  <c r="O25" i="6"/>
  <c r="H25" i="6"/>
  <c r="O26" i="6"/>
  <c r="H26" i="6"/>
  <c r="K28" i="3"/>
  <c r="I29" i="3"/>
  <c r="H31" i="6"/>
  <c r="O31" i="6"/>
  <c r="O21" i="6"/>
  <c r="H21" i="6"/>
  <c r="O23" i="6"/>
  <c r="H23" i="6"/>
  <c r="I32" i="3" l="1"/>
  <c r="O19" i="6"/>
  <c r="K29" i="3"/>
  <c r="O20" i="6"/>
  <c r="H20" i="6"/>
  <c r="F32" i="6"/>
  <c r="F33" i="6" s="1"/>
  <c r="C84" i="6" s="1"/>
  <c r="O24" i="6"/>
  <c r="H24" i="6"/>
  <c r="H32" i="6" l="1"/>
  <c r="H33" i="6" s="1"/>
  <c r="C85" i="6" s="1"/>
  <c r="I38" i="6" s="1"/>
  <c r="J38" i="6" s="1"/>
  <c r="K38" i="6" s="1"/>
  <c r="L38" i="6" s="1"/>
  <c r="N38" i="6" s="1"/>
  <c r="T38" i="6" s="1"/>
  <c r="O32" i="6"/>
  <c r="O33" i="6" s="1"/>
  <c r="I69" i="6" l="1"/>
  <c r="J69" i="6" s="1"/>
  <c r="K69" i="6" s="1"/>
  <c r="L69" i="6" s="1"/>
  <c r="N69" i="6" s="1"/>
  <c r="T69" i="6" s="1"/>
  <c r="I10" i="6"/>
  <c r="J10" i="6" s="1"/>
  <c r="K10" i="6" s="1"/>
  <c r="L10" i="6" s="1"/>
  <c r="N10" i="6" s="1"/>
  <c r="I55" i="6"/>
  <c r="J55" i="6" s="1"/>
  <c r="K55" i="6" s="1"/>
  <c r="L55" i="6" s="1"/>
  <c r="N55" i="6" s="1"/>
  <c r="T55" i="6" s="1"/>
  <c r="I68" i="6"/>
  <c r="J68" i="6" s="1"/>
  <c r="K68" i="6" s="1"/>
  <c r="L68" i="6" s="1"/>
  <c r="N68" i="6" s="1"/>
  <c r="T68" i="6" s="1"/>
  <c r="I46" i="6"/>
  <c r="J46" i="6" s="1"/>
  <c r="K46" i="6" s="1"/>
  <c r="L46" i="6" s="1"/>
  <c r="N46" i="6" s="1"/>
  <c r="T46" i="6" s="1"/>
  <c r="I45" i="6"/>
  <c r="J45" i="6" s="1"/>
  <c r="K45" i="6" s="1"/>
  <c r="L45" i="6" s="1"/>
  <c r="N45" i="6" s="1"/>
  <c r="T45" i="6" s="1"/>
  <c r="I44" i="6"/>
  <c r="J44" i="6" s="1"/>
  <c r="K44" i="6" s="1"/>
  <c r="L44" i="6" s="1"/>
  <c r="N44" i="6" s="1"/>
  <c r="T44" i="6" s="1"/>
  <c r="I11" i="6"/>
  <c r="J11" i="6" s="1"/>
  <c r="K11" i="6" s="1"/>
  <c r="L11" i="6" s="1"/>
  <c r="N11" i="6" s="1"/>
  <c r="I29" i="6"/>
  <c r="J29" i="6" s="1"/>
  <c r="K29" i="6" s="1"/>
  <c r="L29" i="6" s="1"/>
  <c r="N29" i="6" s="1"/>
  <c r="T29" i="6" s="1"/>
  <c r="I43" i="6"/>
  <c r="J43" i="6" s="1"/>
  <c r="K43" i="6" s="1"/>
  <c r="L43" i="6" s="1"/>
  <c r="N43" i="6" s="1"/>
  <c r="T43" i="6" s="1"/>
  <c r="I41" i="6"/>
  <c r="I42" i="6"/>
  <c r="J42" i="6" s="1"/>
  <c r="K42" i="6" s="1"/>
  <c r="L42" i="6" s="1"/>
  <c r="N42" i="6" s="1"/>
  <c r="T42" i="6" s="1"/>
  <c r="I65" i="6"/>
  <c r="J65" i="6" s="1"/>
  <c r="K65" i="6" s="1"/>
  <c r="L65" i="6" s="1"/>
  <c r="N65" i="6" s="1"/>
  <c r="T65" i="6" s="1"/>
  <c r="I62" i="6"/>
  <c r="J62" i="6" s="1"/>
  <c r="K62" i="6" s="1"/>
  <c r="L62" i="6" s="1"/>
  <c r="N62" i="6" s="1"/>
  <c r="T62" i="6" s="1"/>
  <c r="I57" i="6"/>
  <c r="J57" i="6" s="1"/>
  <c r="K57" i="6" s="1"/>
  <c r="L57" i="6" s="1"/>
  <c r="N57" i="6" s="1"/>
  <c r="T57" i="6" s="1"/>
  <c r="I63" i="6"/>
  <c r="J63" i="6" s="1"/>
  <c r="K63" i="6" s="1"/>
  <c r="L63" i="6" s="1"/>
  <c r="N63" i="6" s="1"/>
  <c r="T63" i="6" s="1"/>
  <c r="I64" i="6"/>
  <c r="J64" i="6" s="1"/>
  <c r="K64" i="6" s="1"/>
  <c r="L64" i="6" s="1"/>
  <c r="N64" i="6" s="1"/>
  <c r="T64" i="6" s="1"/>
  <c r="I73" i="6"/>
  <c r="J73" i="6" s="1"/>
  <c r="K73" i="6" s="1"/>
  <c r="L73" i="6" s="1"/>
  <c r="N73" i="6" s="1"/>
  <c r="T73" i="6" s="1"/>
  <c r="I70" i="6"/>
  <c r="J70" i="6" s="1"/>
  <c r="K70" i="6" s="1"/>
  <c r="L70" i="6" s="1"/>
  <c r="N70" i="6" s="1"/>
  <c r="T70" i="6" s="1"/>
  <c r="I71" i="6"/>
  <c r="J71" i="6" s="1"/>
  <c r="K71" i="6" s="1"/>
  <c r="L71" i="6" s="1"/>
  <c r="N71" i="6" s="1"/>
  <c r="T71" i="6" s="1"/>
  <c r="I72" i="6"/>
  <c r="J72" i="6" s="1"/>
  <c r="K72" i="6" s="1"/>
  <c r="L72" i="6" s="1"/>
  <c r="N72" i="6" s="1"/>
  <c r="T72" i="6" s="1"/>
  <c r="I58" i="6"/>
  <c r="J58" i="6" s="1"/>
  <c r="K58" i="6" s="1"/>
  <c r="L58" i="6" s="1"/>
  <c r="N58" i="6" s="1"/>
  <c r="T58" i="6" s="1"/>
  <c r="I56" i="6"/>
  <c r="J56" i="6" s="1"/>
  <c r="K56" i="6" s="1"/>
  <c r="L56" i="6" s="1"/>
  <c r="N56" i="6" s="1"/>
  <c r="T56" i="6" s="1"/>
  <c r="I50" i="6"/>
  <c r="J50" i="6" s="1"/>
  <c r="K50" i="6" s="1"/>
  <c r="L50" i="6" s="1"/>
  <c r="N50" i="6" s="1"/>
  <c r="T50" i="6" s="1"/>
  <c r="I52" i="6"/>
  <c r="J52" i="6" s="1"/>
  <c r="K52" i="6" s="1"/>
  <c r="L52" i="6" s="1"/>
  <c r="N52" i="6" s="1"/>
  <c r="T52" i="6" s="1"/>
  <c r="I54" i="6"/>
  <c r="J54" i="6" s="1"/>
  <c r="K54" i="6" s="1"/>
  <c r="L54" i="6" s="1"/>
  <c r="N54" i="6" s="1"/>
  <c r="T54" i="6" s="1"/>
  <c r="I53" i="6"/>
  <c r="J53" i="6" s="1"/>
  <c r="K53" i="6" s="1"/>
  <c r="L53" i="6" s="1"/>
  <c r="N53" i="6" s="1"/>
  <c r="T53" i="6" s="1"/>
  <c r="I51" i="6"/>
  <c r="J51" i="6" s="1"/>
  <c r="K51" i="6" s="1"/>
  <c r="L51" i="6" s="1"/>
  <c r="N51" i="6" s="1"/>
  <c r="T51" i="6" s="1"/>
  <c r="I49" i="6"/>
  <c r="J49" i="6" s="1"/>
  <c r="K49" i="6" s="1"/>
  <c r="L49" i="6" s="1"/>
  <c r="N49" i="6" s="1"/>
  <c r="T49" i="6" s="1"/>
  <c r="I37" i="6"/>
  <c r="J37" i="6" s="1"/>
  <c r="K37" i="6" s="1"/>
  <c r="L37" i="6" s="1"/>
  <c r="N37" i="6" s="1"/>
  <c r="T37" i="6" s="1"/>
  <c r="I48" i="6"/>
  <c r="J48" i="6" s="1"/>
  <c r="K48" i="6" s="1"/>
  <c r="L48" i="6" s="1"/>
  <c r="N48" i="6" s="1"/>
  <c r="T48" i="6" s="1"/>
  <c r="I59" i="6"/>
  <c r="J59" i="6" s="1"/>
  <c r="K59" i="6" s="1"/>
  <c r="L59" i="6" s="1"/>
  <c r="N59" i="6" s="1"/>
  <c r="T59" i="6" s="1"/>
  <c r="I61" i="6"/>
  <c r="J61" i="6" s="1"/>
  <c r="K61" i="6" s="1"/>
  <c r="L61" i="6" s="1"/>
  <c r="N61" i="6" s="1"/>
  <c r="T61" i="6" s="1"/>
  <c r="I47" i="6"/>
  <c r="J47" i="6" s="1"/>
  <c r="K47" i="6" s="1"/>
  <c r="L47" i="6" s="1"/>
  <c r="N47" i="6" s="1"/>
  <c r="T47" i="6" s="1"/>
  <c r="I60" i="6"/>
  <c r="J60" i="6" s="1"/>
  <c r="K60" i="6" s="1"/>
  <c r="L60" i="6" s="1"/>
  <c r="N60" i="6" s="1"/>
  <c r="T60" i="6" s="1"/>
  <c r="I23" i="6"/>
  <c r="J23" i="6" s="1"/>
  <c r="K23" i="6" s="1"/>
  <c r="L23" i="6" s="1"/>
  <c r="N23" i="6" s="1"/>
  <c r="T23" i="6" s="1"/>
  <c r="I24" i="6"/>
  <c r="J24" i="6" s="1"/>
  <c r="K24" i="6" s="1"/>
  <c r="L24" i="6" s="1"/>
  <c r="N24" i="6" s="1"/>
  <c r="T24" i="6" s="1"/>
  <c r="I12" i="6"/>
  <c r="J12" i="6" s="1"/>
  <c r="K12" i="6" s="1"/>
  <c r="L12" i="6" s="1"/>
  <c r="N12" i="6" s="1"/>
  <c r="T12" i="6" s="1"/>
  <c r="I67" i="6"/>
  <c r="I6" i="6"/>
  <c r="J6" i="6" s="1"/>
  <c r="K6" i="6" s="1"/>
  <c r="L6" i="6" s="1"/>
  <c r="N6" i="6" s="1"/>
  <c r="T6" i="6" s="1"/>
  <c r="I66" i="6"/>
  <c r="I9" i="6"/>
  <c r="J9" i="6" s="1"/>
  <c r="K9" i="6" s="1"/>
  <c r="L9" i="6" s="1"/>
  <c r="N9" i="6" s="1"/>
  <c r="T9" i="6" s="1"/>
  <c r="I4" i="6"/>
  <c r="J4" i="6" s="1"/>
  <c r="K4" i="6" s="1"/>
  <c r="L4" i="6" s="1"/>
  <c r="N4" i="6" s="1"/>
  <c r="T4" i="6" s="1"/>
  <c r="I26" i="6"/>
  <c r="J26" i="6" s="1"/>
  <c r="K26" i="6" s="1"/>
  <c r="L26" i="6" s="1"/>
  <c r="N26" i="6" s="1"/>
  <c r="T26" i="6" s="1"/>
  <c r="I16" i="6"/>
  <c r="J16" i="6" s="1"/>
  <c r="K16" i="6" s="1"/>
  <c r="L16" i="6" s="1"/>
  <c r="N16" i="6" s="1"/>
  <c r="T16" i="6" s="1"/>
  <c r="I15" i="6"/>
  <c r="J15" i="6" s="1"/>
  <c r="K15" i="6" s="1"/>
  <c r="L15" i="6" s="1"/>
  <c r="N15" i="6" s="1"/>
  <c r="T15" i="6" s="1"/>
  <c r="I28" i="6"/>
  <c r="J28" i="6" s="1"/>
  <c r="K28" i="6" s="1"/>
  <c r="L28" i="6" s="1"/>
  <c r="N28" i="6" s="1"/>
  <c r="T28" i="6" s="1"/>
  <c r="I22" i="6"/>
  <c r="J22" i="6" s="1"/>
  <c r="K22" i="6" s="1"/>
  <c r="L22" i="6" s="1"/>
  <c r="N22" i="6" s="1"/>
  <c r="T22" i="6" s="1"/>
  <c r="I3" i="6"/>
  <c r="J3" i="6" s="1"/>
  <c r="K3" i="6" s="1"/>
  <c r="L3" i="6" s="1"/>
  <c r="N3" i="6" s="1"/>
  <c r="T3" i="6" s="1"/>
  <c r="I19" i="6"/>
  <c r="J19" i="6" s="1"/>
  <c r="K19" i="6" s="1"/>
  <c r="L19" i="6" s="1"/>
  <c r="N19" i="6" s="1"/>
  <c r="T19" i="6" s="1"/>
  <c r="I18" i="6"/>
  <c r="J18" i="6" s="1"/>
  <c r="K18" i="6" s="1"/>
  <c r="L18" i="6" s="1"/>
  <c r="N18" i="6" s="1"/>
  <c r="T18" i="6" s="1"/>
  <c r="I14" i="6"/>
  <c r="J14" i="6" s="1"/>
  <c r="K14" i="6" s="1"/>
  <c r="L14" i="6" s="1"/>
  <c r="N14" i="6" s="1"/>
  <c r="T14" i="6" s="1"/>
  <c r="I21" i="6"/>
  <c r="J21" i="6" s="1"/>
  <c r="K21" i="6" s="1"/>
  <c r="L21" i="6" s="1"/>
  <c r="N21" i="6" s="1"/>
  <c r="T21" i="6" s="1"/>
  <c r="I30" i="6"/>
  <c r="J30" i="6" s="1"/>
  <c r="K30" i="6" s="1"/>
  <c r="L30" i="6" s="1"/>
  <c r="N30" i="6" s="1"/>
  <c r="T30" i="6" s="1"/>
  <c r="I20" i="6"/>
  <c r="J20" i="6" s="1"/>
  <c r="K20" i="6" s="1"/>
  <c r="L20" i="6" s="1"/>
  <c r="N20" i="6" s="1"/>
  <c r="T20" i="6" s="1"/>
  <c r="I7" i="6"/>
  <c r="J7" i="6" s="1"/>
  <c r="K7" i="6" s="1"/>
  <c r="L7" i="6" s="1"/>
  <c r="N7" i="6" s="1"/>
  <c r="T7" i="6" s="1"/>
  <c r="I2" i="6"/>
  <c r="I8" i="6"/>
  <c r="J8" i="6" s="1"/>
  <c r="K8" i="6" s="1"/>
  <c r="L8" i="6" s="1"/>
  <c r="N8" i="6" s="1"/>
  <c r="T8" i="6" s="1"/>
  <c r="I5" i="6"/>
  <c r="J5" i="6" s="1"/>
  <c r="K5" i="6" s="1"/>
  <c r="L5" i="6" s="1"/>
  <c r="N5" i="6" s="1"/>
  <c r="T5" i="6" s="1"/>
  <c r="I13" i="6"/>
  <c r="J13" i="6" s="1"/>
  <c r="K13" i="6" s="1"/>
  <c r="L13" i="6" s="1"/>
  <c r="N13" i="6" s="1"/>
  <c r="T13" i="6" s="1"/>
  <c r="I31" i="6"/>
  <c r="J31" i="6" s="1"/>
  <c r="K31" i="6" s="1"/>
  <c r="L31" i="6" s="1"/>
  <c r="N31" i="6" s="1"/>
  <c r="T31" i="6" s="1"/>
  <c r="I25" i="6"/>
  <c r="J25" i="6" s="1"/>
  <c r="K25" i="6" s="1"/>
  <c r="L25" i="6" s="1"/>
  <c r="N25" i="6" s="1"/>
  <c r="T25" i="6" s="1"/>
  <c r="I27" i="6"/>
  <c r="T10" i="6" l="1"/>
  <c r="P10" i="6"/>
  <c r="Q10" i="6"/>
  <c r="R10" i="6" s="1"/>
  <c r="P11" i="6"/>
  <c r="T11" i="6"/>
  <c r="Q11" i="6"/>
  <c r="R11" i="6" s="1"/>
  <c r="P29" i="6"/>
  <c r="Q29" i="6"/>
  <c r="R29" i="6" s="1"/>
  <c r="P21" i="6"/>
  <c r="Q21" i="6"/>
  <c r="R21" i="6" s="1"/>
  <c r="P24" i="6"/>
  <c r="Q24" i="6"/>
  <c r="R24" i="6" s="1"/>
  <c r="P14" i="6"/>
  <c r="Q14" i="6"/>
  <c r="R14" i="6" s="1"/>
  <c r="P31" i="6"/>
  <c r="Q31" i="6"/>
  <c r="R31" i="6" s="1"/>
  <c r="P16" i="6"/>
  <c r="Q16" i="6"/>
  <c r="R16" i="6" s="1"/>
  <c r="P7" i="6"/>
  <c r="Q7" i="6"/>
  <c r="R7" i="6" s="1"/>
  <c r="P22" i="6"/>
  <c r="Q22" i="6"/>
  <c r="R22" i="6" s="1"/>
  <c r="P6" i="6"/>
  <c r="Q6" i="6"/>
  <c r="R6" i="6" s="1"/>
  <c r="P5" i="6"/>
  <c r="Q5" i="6"/>
  <c r="R5" i="6" s="1"/>
  <c r="P20" i="6"/>
  <c r="Q20" i="6"/>
  <c r="R20" i="6" s="1"/>
  <c r="P18" i="6"/>
  <c r="Q18" i="6"/>
  <c r="R18" i="6" s="1"/>
  <c r="P28" i="6"/>
  <c r="Q28" i="6"/>
  <c r="R28" i="6" s="1"/>
  <c r="P4" i="6"/>
  <c r="Q4" i="6"/>
  <c r="R4" i="6" s="1"/>
  <c r="P23" i="6"/>
  <c r="Q23" i="6"/>
  <c r="R23" i="6" s="1"/>
  <c r="P3" i="6"/>
  <c r="Q3" i="6"/>
  <c r="R3" i="6" s="1"/>
  <c r="P13" i="6"/>
  <c r="Q13" i="6"/>
  <c r="R13" i="6" s="1"/>
  <c r="P26" i="6"/>
  <c r="Q26" i="6"/>
  <c r="R26" i="6" s="1"/>
  <c r="P25" i="6"/>
  <c r="Q25" i="6"/>
  <c r="R25" i="6" s="1"/>
  <c r="P8" i="6"/>
  <c r="Q8" i="6"/>
  <c r="R8" i="6" s="1"/>
  <c r="P30" i="6"/>
  <c r="Q30" i="6"/>
  <c r="R30" i="6" s="1"/>
  <c r="P19" i="6"/>
  <c r="Q19" i="6"/>
  <c r="R19" i="6" s="1"/>
  <c r="P15" i="6"/>
  <c r="Q15" i="6"/>
  <c r="R15" i="6" s="1"/>
  <c r="P9" i="6"/>
  <c r="Q9" i="6"/>
  <c r="R9" i="6" s="1"/>
  <c r="P12" i="6"/>
  <c r="Q12" i="6"/>
  <c r="R12" i="6" s="1"/>
  <c r="J41" i="6"/>
  <c r="K41" i="6" s="1"/>
  <c r="L41" i="6" s="1"/>
  <c r="N41" i="6" s="1"/>
  <c r="T41" i="6" s="1"/>
  <c r="J66" i="6"/>
  <c r="K66" i="6" s="1"/>
  <c r="L66" i="6" s="1"/>
  <c r="N66" i="6" s="1"/>
  <c r="T66" i="6" s="1"/>
  <c r="J67" i="6"/>
  <c r="K67" i="6" s="1"/>
  <c r="L67" i="6" s="1"/>
  <c r="N67" i="6" s="1"/>
  <c r="T67" i="6" s="1"/>
  <c r="J2" i="6"/>
  <c r="K2" i="6" s="1"/>
  <c r="L2" i="6" s="1"/>
  <c r="N2" i="6" s="1"/>
  <c r="T2" i="6" s="1"/>
  <c r="I17" i="6"/>
  <c r="I32" i="6"/>
  <c r="J27" i="6"/>
  <c r="K27" i="6" s="1"/>
  <c r="L27" i="6" s="1"/>
  <c r="N27" i="6" s="1"/>
  <c r="T27" i="6" s="1"/>
  <c r="P2" i="6" l="1"/>
  <c r="Q2" i="6"/>
  <c r="P27" i="6"/>
  <c r="Q27" i="6"/>
  <c r="R27" i="6" s="1"/>
  <c r="I33" i="6"/>
  <c r="R32" i="6" l="1"/>
  <c r="T32" i="6" s="1"/>
  <c r="Q32" i="6"/>
  <c r="Q17" i="6"/>
  <c r="R2" i="6"/>
  <c r="R17" i="6" s="1"/>
  <c r="T17" i="6" s="1"/>
  <c r="R33" i="6" l="1"/>
  <c r="T33" i="6" s="1"/>
  <c r="Q33" i="6"/>
  <c r="K12" i="3" l="1"/>
  <c r="K13" i="3" s="1"/>
  <c r="J19" i="3"/>
  <c r="K19" i="3" s="1"/>
  <c r="K20" i="3" s="1"/>
  <c r="K22" i="3" l="1"/>
  <c r="K32" i="3" s="1"/>
</calcChain>
</file>

<file path=xl/sharedStrings.xml><?xml version="1.0" encoding="utf-8"?>
<sst xmlns="http://schemas.openxmlformats.org/spreadsheetml/2006/main" count="230" uniqueCount="178">
  <si>
    <t>Waste Management - Seattle/South Sound</t>
  </si>
  <si>
    <t>Pro Forma</t>
  </si>
  <si>
    <t>Proposed</t>
  </si>
  <si>
    <t>Revenue</t>
  </si>
  <si>
    <t>Rate</t>
  </si>
  <si>
    <t>Tons</t>
  </si>
  <si>
    <t>TG-140471</t>
  </si>
  <si>
    <t>Extras</t>
  </si>
  <si>
    <t>Regulated Revenue and Expense Adjustment</t>
  </si>
  <si>
    <t>Regulated</t>
  </si>
  <si>
    <t>Expense</t>
  </si>
  <si>
    <t>Gross up</t>
  </si>
  <si>
    <t>Cost</t>
  </si>
  <si>
    <t>Adj.</t>
  </si>
  <si>
    <t>Factor</t>
  </si>
  <si>
    <t>Commercial</t>
  </si>
  <si>
    <t>King County</t>
  </si>
  <si>
    <t>Residential</t>
  </si>
  <si>
    <t>Roll Off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</si>
  <si>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</si>
  <si>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</si>
  <si>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</si>
  <si>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</si>
  <si>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</si>
  <si>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</si>
  <si>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</si>
  <si>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</si>
  <si>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</si>
  <si>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Transfer Station</t>
  </si>
  <si>
    <t>Increase per ton</t>
  </si>
  <si>
    <t>Grossed Up Increase per ton</t>
  </si>
  <si>
    <t>Total</t>
  </si>
  <si>
    <t>Tons Collected</t>
  </si>
  <si>
    <t>Disposal Fee Revenue Increase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</si>
  <si>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</si>
  <si>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</si>
  <si>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</si>
  <si>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</si>
  <si>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</si>
  <si>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</si>
  <si>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</si>
  <si>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</si>
  <si>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</si>
  <si>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</si>
  <si>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</si>
  <si>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</si>
  <si>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</si>
  <si>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</si>
  <si>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</si>
  <si>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</si>
  <si>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</si>
  <si>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</si>
  <si>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</si>
  <si>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</si>
  <si>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</si>
  <si>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</si>
  <si>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</si>
  <si>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</si>
  <si>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</si>
  <si>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</si>
  <si>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</si>
  <si>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</si>
  <si>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</si>
  <si>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35 gallon Can</t>
  </si>
  <si>
    <t>*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</si>
  <si>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</si>
  <si>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</si>
  <si>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</si>
  <si>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</si>
  <si>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</si>
  <si>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</si>
  <si>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</si>
  <si>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</si>
  <si>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</si>
  <si>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</si>
  <si>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</si>
  <si>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</si>
  <si>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</si>
  <si>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</si>
  <si>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</si>
  <si>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</si>
  <si>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</si>
  <si>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</si>
  <si>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</si>
  <si>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</si>
  <si>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</si>
  <si>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</si>
  <si>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Tariff Page</t>
  </si>
  <si>
    <t>Line of Service</t>
  </si>
  <si>
    <t>Monthly Customers</t>
  </si>
  <si>
    <t>Monthly Frequency</t>
  </si>
  <si>
    <t>Annual PU's</t>
  </si>
  <si>
    <t>Calculated Annual Pounds</t>
  </si>
  <si>
    <t>Adjusted Annual Pounds</t>
  </si>
  <si>
    <t>Gross Up</t>
  </si>
  <si>
    <t>Tariff Rate Increase</t>
  </si>
  <si>
    <t>Company Current Tariff</t>
  </si>
  <si>
    <t>Company Current Revenue</t>
  </si>
  <si>
    <t>Revised Tariff Rate</t>
  </si>
  <si>
    <t>Revised Revenue</t>
  </si>
  <si>
    <t>Revised Revenue Increase</t>
  </si>
  <si>
    <t>Mini-Can Weekly</t>
  </si>
  <si>
    <t>1 Can Monthly</t>
  </si>
  <si>
    <t>1 Can Weekly</t>
  </si>
  <si>
    <t>2 Can Weekly</t>
  </si>
  <si>
    <t>3 Can Weekly</t>
  </si>
  <si>
    <t>4 Can Weekly</t>
  </si>
  <si>
    <t>20 Gal. Cart Weekly</t>
  </si>
  <si>
    <t>35 Gal. Cart Weekly</t>
  </si>
  <si>
    <t>64 Gal. Cart Weekly</t>
  </si>
  <si>
    <t>96 Gal. Cart Weekly</t>
  </si>
  <si>
    <t>Extra Can/Bag</t>
  </si>
  <si>
    <t>32 Gal Can</t>
  </si>
  <si>
    <t>35 Gal Cart</t>
  </si>
  <si>
    <t>64 Gal Cart</t>
  </si>
  <si>
    <t>96 Gal Cart</t>
  </si>
  <si>
    <t>1 Yd</t>
  </si>
  <si>
    <t>1.5 Yd</t>
  </si>
  <si>
    <t>2 Yd</t>
  </si>
  <si>
    <t>3 Yd</t>
  </si>
  <si>
    <t>4 Yd</t>
  </si>
  <si>
    <t>6 Yd</t>
  </si>
  <si>
    <t>8 Yd</t>
  </si>
  <si>
    <t>3 Yd Compact</t>
  </si>
  <si>
    <t>6 Yd Compact</t>
  </si>
  <si>
    <t>Totals</t>
  </si>
  <si>
    <t>No Current Customers</t>
  </si>
  <si>
    <t>5 Cans Weekly</t>
  </si>
  <si>
    <t>4 Yd Compact</t>
  </si>
  <si>
    <t>Adjustment Factor Calculation</t>
  </si>
  <si>
    <t>Total Tonnage</t>
  </si>
  <si>
    <t>Total Pounds</t>
  </si>
  <si>
    <t>Total Pick Ups</t>
  </si>
  <si>
    <t>Adjustment factor</t>
  </si>
  <si>
    <t>Mini-Can Monthly</t>
  </si>
  <si>
    <t>Micro-Can Weekly</t>
  </si>
  <si>
    <t>3 Yd Temp</t>
  </si>
  <si>
    <t>4 Yd Temp</t>
  </si>
  <si>
    <t>6 Yd Temp</t>
  </si>
  <si>
    <t>5 Yd Compact</t>
  </si>
  <si>
    <t>8 Yd Temp</t>
  </si>
  <si>
    <t>35 Gal Cart Spec</t>
  </si>
  <si>
    <t>64 Gal Cart Spec</t>
  </si>
  <si>
    <t>96 Gal Cart Spec</t>
  </si>
  <si>
    <t>1 Yd Spec</t>
  </si>
  <si>
    <t>1.5 Yd Spec</t>
  </si>
  <si>
    <t>2 Yd Spec</t>
  </si>
  <si>
    <t>3 Yd Spec</t>
  </si>
  <si>
    <t>4 Yd Spec</t>
  </si>
  <si>
    <t>6 Yd Spec</t>
  </si>
  <si>
    <t>8 Yd Spec</t>
  </si>
  <si>
    <t>20 Gal Can Spec</t>
  </si>
  <si>
    <t>32 Gal Can Spec</t>
  </si>
  <si>
    <t>3 Yd Compact Spec</t>
  </si>
  <si>
    <t>4 Yd Compact Spec</t>
  </si>
  <si>
    <t>5 Yd Compact Spec</t>
  </si>
  <si>
    <t>6 Yd Compact Spec</t>
  </si>
  <si>
    <t>20 Gal Commercial Pickup</t>
  </si>
  <si>
    <t>20 Gal Commercial Minimum Charge</t>
  </si>
  <si>
    <t>20 Gal Commercial Temp</t>
  </si>
  <si>
    <t>32 Gal Commercial Pickup</t>
  </si>
  <si>
    <t>32 Gal Commercial Minimum Charge</t>
  </si>
  <si>
    <t>32 Gal Commercial Temp</t>
  </si>
  <si>
    <t>1 Yd Temp</t>
  </si>
  <si>
    <t>1.5 Yd Temp</t>
  </si>
  <si>
    <t>2 Yd Temp</t>
  </si>
  <si>
    <t>Multi-Family / Commercial</t>
  </si>
  <si>
    <t>Loose/Bulky Material Per Yd</t>
  </si>
  <si>
    <t>From TG-140471</t>
  </si>
  <si>
    <t>Company Calculated Rate</t>
  </si>
  <si>
    <t>Seattle/South Sound</t>
  </si>
  <si>
    <t>26 and 36</t>
  </si>
  <si>
    <t>26 and 37</t>
  </si>
  <si>
    <t>25 and 36</t>
  </si>
  <si>
    <t>20 Gal. Cart Monthly</t>
  </si>
  <si>
    <t>35 Gal. Cart Monthly</t>
  </si>
  <si>
    <t>2 Yd Compact</t>
  </si>
  <si>
    <t>2 Yd Compact Spec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</si>
</sst>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_);_(&quot;$&quot;* \(#,##0.000\);_(&quot;$&quot;* &quot;-&quot;??_);_(@_)"/>
    <numFmt numFmtId="167" formatCode="0.0000%"/>
    <numFmt numFmtId="168" formatCode="_(&quot;$&quot;* #,##0.000000_);_(&quot;$&quot;* \(#,##0.000000\);_(&quot;$&quot;* &quot;-&quot;??_);_(@_)"/>
    <numFmt numFmtId="169" formatCode="0.000000"/>
    <numFmt numFmtId="170" formatCode="0.0000"/>
    <numFmt numFmtId="171" formatCode="0.0000000%"/>
    <numFmt numFmtId="172" formatCode="0.00000%"/>
    <numFmt numFmtId="173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 val="singleAccounting"/>
      <sz val="10"/>
      <name val="Arial"/>
      <family val="2"/>
    </font>
    <font>
      <b/>
      <u val="double"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indexed="10"/>
      <name val="Helv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theme="3" tint="0.39997558519241921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16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3" fillId="0" borderId="0" xfId="0" applyFont="1"/>
    <xf numFmtId="43" fontId="8" fillId="0" borderId="0" xfId="5" applyFont="1" applyBorder="1"/>
    <xf numFmtId="44" fontId="3" fillId="0" borderId="0" xfId="7" applyFont="1" applyBorder="1"/>
    <xf numFmtId="165" fontId="8" fillId="0" borderId="0" xfId="2" applyNumberFormat="1" applyFont="1" applyBorder="1"/>
    <xf numFmtId="165" fontId="9" fillId="0" borderId="0" xfId="0" applyNumberFormat="1" applyFont="1"/>
    <xf numFmtId="165" fontId="9" fillId="0" borderId="0" xfId="2" applyNumberFormat="1" applyFont="1"/>
    <xf numFmtId="43" fontId="7" fillId="0" borderId="0" xfId="0" applyNumberFormat="1" applyFont="1"/>
    <xf numFmtId="44" fontId="6" fillId="0" borderId="0" xfId="7" applyFont="1" applyBorder="1"/>
    <xf numFmtId="165" fontId="7" fillId="0" borderId="0" xfId="7" applyNumberFormat="1" applyFont="1" applyBorder="1"/>
    <xf numFmtId="44" fontId="7" fillId="0" borderId="0" xfId="7" applyFont="1" applyBorder="1"/>
    <xf numFmtId="0" fontId="1" fillId="0" borderId="0" xfId="0" applyFont="1"/>
    <xf numFmtId="165" fontId="0" fillId="0" borderId="0" xfId="0" applyNumberFormat="1"/>
    <xf numFmtId="165" fontId="8" fillId="0" borderId="0" xfId="5" applyNumberFormat="1" applyFont="1" applyBorder="1"/>
    <xf numFmtId="43" fontId="10" fillId="0" borderId="0" xfId="0" applyNumberFormat="1" applyFont="1"/>
    <xf numFmtId="165" fontId="10" fillId="0" borderId="0" xfId="2" applyNumberFormat="1" applyFont="1" applyBorder="1"/>
    <xf numFmtId="2" fontId="0" fillId="0" borderId="0" xfId="0" applyNumberFormat="1"/>
    <xf numFmtId="43" fontId="11" fillId="0" borderId="0" xfId="0" applyNumberFormat="1" applyFont="1"/>
    <xf numFmtId="44" fontId="11" fillId="0" borderId="0" xfId="7" applyFont="1" applyBorder="1"/>
    <xf numFmtId="165" fontId="11" fillId="0" borderId="0" xfId="0" applyNumberFormat="1" applyFont="1"/>
    <xf numFmtId="165" fontId="11" fillId="0" borderId="0" xfId="7" applyNumberFormat="1" applyFont="1" applyBorder="1"/>
    <xf numFmtId="0" fontId="11" fillId="0" borderId="0" xfId="0" applyFont="1"/>
    <xf numFmtId="0" fontId="12" fillId="0" borderId="0" xfId="0" applyFont="1"/>
    <xf numFmtId="43" fontId="12" fillId="0" borderId="0" xfId="0" applyNumberFormat="1" applyFont="1"/>
    <xf numFmtId="165" fontId="12" fillId="0" borderId="0" xfId="2" applyNumberFormat="1" applyFont="1"/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44" fontId="1" fillId="0" borderId="0" xfId="2" applyFont="1" applyFill="1"/>
    <xf numFmtId="166" fontId="1" fillId="0" borderId="0" xfId="2" applyNumberFormat="1" applyFont="1" applyFill="1"/>
    <xf numFmtId="167" fontId="1" fillId="0" borderId="0" xfId="3" applyNumberFormat="1" applyFont="1"/>
    <xf numFmtId="166" fontId="1" fillId="0" borderId="1" xfId="2" applyNumberFormat="1" applyFont="1" applyFill="1" applyBorder="1"/>
    <xf numFmtId="167" fontId="1" fillId="0" borderId="0" xfId="3" applyNumberFormat="1" applyFont="1" applyBorder="1"/>
    <xf numFmtId="0" fontId="0" fillId="0" borderId="0" xfId="0" applyAlignment="1">
      <alignment horizontal="left" indent="1"/>
    </xf>
    <xf numFmtId="168" fontId="1" fillId="0" borderId="0" xfId="2" applyNumberFormat="1" applyFont="1" applyFill="1"/>
    <xf numFmtId="0" fontId="0" fillId="2" borderId="1" xfId="0" applyFill="1" applyBorder="1"/>
    <xf numFmtId="44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13" fillId="0" borderId="0" xfId="0" applyFont="1"/>
    <xf numFmtId="0" fontId="14" fillId="0" borderId="0" xfId="0" applyFont="1"/>
    <xf numFmtId="0" fontId="0" fillId="0" borderId="1" xfId="0" applyBorder="1" applyAlignment="1">
      <alignment horizontal="center"/>
    </xf>
    <xf numFmtId="43" fontId="1" fillId="0" borderId="0" xfId="1" applyFont="1"/>
    <xf numFmtId="43" fontId="0" fillId="0" borderId="0" xfId="0" applyNumberFormat="1" applyAlignment="1">
      <alignment horizontal="center"/>
    </xf>
    <xf numFmtId="43" fontId="0" fillId="0" borderId="0" xfId="0" applyNumberFormat="1"/>
    <xf numFmtId="43" fontId="1" fillId="0" borderId="0" xfId="1" applyFont="1" applyAlignment="1">
      <alignment horizontal="center"/>
    </xf>
    <xf numFmtId="164" fontId="1" fillId="0" borderId="0" xfId="1" applyNumberFormat="1" applyFont="1"/>
    <xf numFmtId="0" fontId="0" fillId="3" borderId="0" xfId="0" applyFill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44" fontId="1" fillId="4" borderId="0" xfId="2" applyFont="1" applyFill="1"/>
    <xf numFmtId="44" fontId="1" fillId="4" borderId="1" xfId="2" applyFont="1" applyFill="1" applyBorder="1"/>
    <xf numFmtId="167" fontId="0" fillId="0" borderId="0" xfId="0" applyNumberFormat="1"/>
    <xf numFmtId="44" fontId="2" fillId="0" borderId="0" xfId="0" applyNumberFormat="1" applyFont="1"/>
    <xf numFmtId="43" fontId="3" fillId="0" borderId="0" xfId="9" applyFont="1" applyFill="1"/>
    <xf numFmtId="164" fontId="3" fillId="0" borderId="0" xfId="1" applyNumberFormat="1" applyFont="1" applyFill="1"/>
    <xf numFmtId="164" fontId="3" fillId="0" borderId="0" xfId="1" applyNumberFormat="1" applyFont="1" applyFill="1" applyBorder="1"/>
    <xf numFmtId="43" fontId="3" fillId="0" borderId="0" xfId="9" applyFont="1" applyFill="1" applyBorder="1"/>
    <xf numFmtId="172" fontId="16" fillId="0" borderId="1" xfId="6" applyNumberFormat="1" applyFont="1" applyBorder="1" applyProtection="1"/>
    <xf numFmtId="165" fontId="8" fillId="4" borderId="0" xfId="7" applyNumberFormat="1" applyFont="1" applyFill="1" applyBorder="1"/>
    <xf numFmtId="165" fontId="8" fillId="4" borderId="0" xfId="5" applyNumberFormat="1" applyFont="1" applyFill="1" applyBorder="1"/>
    <xf numFmtId="165" fontId="10" fillId="4" borderId="0" xfId="2" applyNumberFormat="1" applyFont="1" applyFill="1" applyBorder="1"/>
    <xf numFmtId="164" fontId="1" fillId="4" borderId="1" xfId="1" applyNumberFormat="1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164" fontId="17" fillId="2" borderId="1" xfId="1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164" fontId="18" fillId="0" borderId="0" xfId="1" applyNumberFormat="1" applyFont="1" applyFill="1" applyBorder="1"/>
    <xf numFmtId="43" fontId="3" fillId="0" borderId="0" xfId="1" applyFont="1" applyFill="1" applyBorder="1"/>
    <xf numFmtId="164" fontId="18" fillId="0" borderId="0" xfId="1" applyNumberFormat="1" applyFont="1" applyFill="1" applyBorder="1" applyAlignment="1">
      <alignment horizontal="center" wrapText="1"/>
    </xf>
    <xf numFmtId="44" fontId="18" fillId="0" borderId="0" xfId="2" applyFont="1" applyFill="1" applyBorder="1"/>
    <xf numFmtId="44" fontId="18" fillId="7" borderId="0" xfId="2" applyFont="1" applyFill="1" applyBorder="1"/>
    <xf numFmtId="165" fontId="18" fillId="0" borderId="0" xfId="2" applyNumberFormat="1" applyFont="1" applyFill="1" applyBorder="1"/>
    <xf numFmtId="44" fontId="18" fillId="5" borderId="0" xfId="2" applyFont="1" applyFill="1" applyBorder="1"/>
    <xf numFmtId="0" fontId="18" fillId="0" borderId="0" xfId="0" applyFont="1" applyAlignment="1">
      <alignment horizontal="center" vertical="center" textRotation="90"/>
    </xf>
    <xf numFmtId="0" fontId="18" fillId="2" borderId="1" xfId="0" applyFont="1" applyFill="1" applyBorder="1" applyAlignment="1">
      <alignment vertical="center" textRotation="90"/>
    </xf>
    <xf numFmtId="44" fontId="18" fillId="2" borderId="1" xfId="2" applyFont="1" applyFill="1" applyBorder="1"/>
    <xf numFmtId="0" fontId="6" fillId="2" borderId="1" xfId="10" applyFont="1" applyFill="1" applyBorder="1" applyAlignment="1">
      <alignment horizontal="left"/>
    </xf>
    <xf numFmtId="3" fontId="17" fillId="2" borderId="1" xfId="0" applyNumberFormat="1" applyFont="1" applyFill="1" applyBorder="1" applyAlignment="1">
      <alignment horizontal="right"/>
    </xf>
    <xf numFmtId="43" fontId="18" fillId="2" borderId="1" xfId="1" applyFont="1" applyFill="1" applyBorder="1"/>
    <xf numFmtId="164" fontId="17" fillId="2" borderId="1" xfId="0" applyNumberFormat="1" applyFont="1" applyFill="1" applyBorder="1"/>
    <xf numFmtId="43" fontId="18" fillId="2" borderId="1" xfId="0" applyNumberFormat="1" applyFont="1" applyFill="1" applyBorder="1"/>
    <xf numFmtId="3" fontId="17" fillId="2" borderId="1" xfId="0" applyNumberFormat="1" applyFont="1" applyFill="1" applyBorder="1"/>
    <xf numFmtId="164" fontId="17" fillId="2" borderId="1" xfId="1" applyNumberFormat="1" applyFont="1" applyFill="1" applyBorder="1"/>
    <xf numFmtId="165" fontId="17" fillId="4" borderId="1" xfId="2" applyNumberFormat="1" applyFont="1" applyFill="1" applyBorder="1"/>
    <xf numFmtId="44" fontId="17" fillId="2" borderId="1" xfId="2" applyFont="1" applyFill="1" applyBorder="1"/>
    <xf numFmtId="43" fontId="18" fillId="0" borderId="0" xfId="1" applyFont="1" applyFill="1" applyBorder="1"/>
    <xf numFmtId="43" fontId="18" fillId="0" borderId="0" xfId="2" applyNumberFormat="1" applyFont="1" applyFill="1" applyBorder="1"/>
    <xf numFmtId="0" fontId="6" fillId="0" borderId="0" xfId="10" applyFont="1" applyAlignment="1">
      <alignment horizontal="left"/>
    </xf>
    <xf numFmtId="164" fontId="17" fillId="0" borderId="0" xfId="1" applyNumberFormat="1" applyFont="1" applyBorder="1" applyAlignment="1">
      <alignment horizontal="right"/>
    </xf>
    <xf numFmtId="44" fontId="17" fillId="0" borderId="0" xfId="2" applyFont="1" applyBorder="1" applyAlignment="1">
      <alignment horizontal="right"/>
    </xf>
    <xf numFmtId="165" fontId="17" fillId="0" borderId="0" xfId="2" applyNumberFormat="1" applyFont="1" applyBorder="1" applyAlignment="1">
      <alignment horizontal="right"/>
    </xf>
    <xf numFmtId="0" fontId="18" fillId="0" borderId="0" xfId="0" applyFont="1" applyAlignment="1">
      <alignment horizontal="right"/>
    </xf>
    <xf numFmtId="164" fontId="18" fillId="0" borderId="0" xfId="1" applyNumberFormat="1" applyFont="1" applyBorder="1"/>
    <xf numFmtId="44" fontId="18" fillId="0" borderId="0" xfId="1" applyNumberFormat="1" applyFont="1" applyFill="1" applyBorder="1"/>
    <xf numFmtId="0" fontId="18" fillId="6" borderId="0" xfId="0" applyFont="1" applyFill="1"/>
    <xf numFmtId="0" fontId="17" fillId="6" borderId="0" xfId="0" applyFont="1" applyFill="1"/>
    <xf numFmtId="0" fontId="18" fillId="6" borderId="0" xfId="0" applyFont="1" applyFill="1" applyAlignment="1">
      <alignment horizontal="right"/>
    </xf>
    <xf numFmtId="164" fontId="18" fillId="6" borderId="0" xfId="1" applyNumberFormat="1" applyFont="1" applyFill="1" applyBorder="1"/>
    <xf numFmtId="44" fontId="18" fillId="6" borderId="0" xfId="1" applyNumberFormat="1" applyFont="1" applyFill="1" applyBorder="1"/>
    <xf numFmtId="164" fontId="18" fillId="0" borderId="0" xfId="1" applyNumberFormat="1" applyFont="1" applyFill="1" applyBorder="1" applyAlignment="1">
      <alignment horizontal="right"/>
    </xf>
    <xf numFmtId="171" fontId="18" fillId="0" borderId="0" xfId="3" applyNumberFormat="1" applyFont="1" applyFill="1" applyBorder="1"/>
    <xf numFmtId="0" fontId="18" fillId="0" borderId="0" xfId="0" applyFont="1" applyAlignment="1">
      <alignment horizontal="center"/>
    </xf>
    <xf numFmtId="44" fontId="18" fillId="0" borderId="0" xfId="0" applyNumberFormat="1" applyFont="1"/>
    <xf numFmtId="164" fontId="18" fillId="0" borderId="0" xfId="0" applyNumberFormat="1" applyFont="1"/>
    <xf numFmtId="0" fontId="18" fillId="0" borderId="3" xfId="0" applyFont="1" applyBorder="1" applyAlignment="1">
      <alignment horizontal="center"/>
    </xf>
    <xf numFmtId="0" fontId="3" fillId="0" borderId="1" xfId="11" applyBorder="1"/>
    <xf numFmtId="164" fontId="18" fillId="0" borderId="1" xfId="1" applyNumberFormat="1" applyFont="1" applyFill="1" applyBorder="1" applyAlignment="1">
      <alignment horizontal="right"/>
    </xf>
    <xf numFmtId="43" fontId="18" fillId="0" borderId="1" xfId="1" applyFont="1" applyFill="1" applyBorder="1"/>
    <xf numFmtId="164" fontId="18" fillId="0" borderId="1" xfId="1" applyNumberFormat="1" applyFont="1" applyFill="1" applyBorder="1"/>
    <xf numFmtId="44" fontId="18" fillId="0" borderId="1" xfId="2" applyFont="1" applyFill="1" applyBorder="1"/>
    <xf numFmtId="0" fontId="18" fillId="0" borderId="3" xfId="0" applyFont="1" applyBorder="1"/>
    <xf numFmtId="0" fontId="18" fillId="0" borderId="1" xfId="0" applyFont="1" applyBorder="1"/>
    <xf numFmtId="0" fontId="18" fillId="0" borderId="0" xfId="0" applyFont="1" applyAlignment="1">
      <alignment vertical="center" textRotation="90"/>
    </xf>
    <xf numFmtId="0" fontId="19" fillId="0" borderId="0" xfId="12" applyFont="1" applyAlignment="1">
      <alignment horizontal="left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164" fontId="17" fillId="0" borderId="1" xfId="1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18" fillId="0" borderId="0" xfId="0" applyNumberFormat="1" applyFont="1"/>
    <xf numFmtId="164" fontId="20" fillId="4" borderId="2" xfId="14" applyNumberFormat="1" applyFont="1" applyFill="1" applyBorder="1"/>
    <xf numFmtId="164" fontId="3" fillId="0" borderId="0" xfId="1" applyNumberFormat="1" applyFont="1" applyFill="1" applyBorder="1" applyAlignment="1">
      <alignment horizontal="left"/>
    </xf>
    <xf numFmtId="0" fontId="18" fillId="0" borderId="0" xfId="1" applyNumberFormat="1" applyFont="1" applyFill="1" applyBorder="1"/>
    <xf numFmtId="164" fontId="18" fillId="0" borderId="0" xfId="1" applyNumberFormat="1" applyFont="1" applyBorder="1" applyAlignment="1">
      <alignment horizontal="right"/>
    </xf>
    <xf numFmtId="0" fontId="21" fillId="0" borderId="0" xfId="1" applyNumberFormat="1" applyFont="1" applyBorder="1" applyAlignment="1">
      <alignment horizontal="left"/>
    </xf>
    <xf numFmtId="10" fontId="18" fillId="0" borderId="0" xfId="3" applyNumberFormat="1" applyFont="1" applyFill="1" applyBorder="1" applyAlignment="1">
      <alignment horizontal="right"/>
    </xf>
    <xf numFmtId="10" fontId="18" fillId="0" borderId="0" xfId="3" applyNumberFormat="1" applyFont="1" applyBorder="1" applyAlignment="1">
      <alignment horizontal="right"/>
    </xf>
    <xf numFmtId="10" fontId="18" fillId="0" borderId="0" xfId="3" applyNumberFormat="1" applyFont="1" applyBorder="1"/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horizontal="center" wrapText="1"/>
    </xf>
    <xf numFmtId="0" fontId="3" fillId="0" borderId="0" xfId="10" applyAlignment="1">
      <alignment horizontal="left"/>
    </xf>
    <xf numFmtId="43" fontId="18" fillId="0" borderId="0" xfId="1" applyFont="1" applyBorder="1"/>
    <xf numFmtId="165" fontId="18" fillId="0" borderId="0" xfId="2" applyNumberFormat="1" applyFont="1" applyBorder="1"/>
    <xf numFmtId="165" fontId="18" fillId="0" borderId="0" xfId="0" applyNumberFormat="1" applyFont="1"/>
    <xf numFmtId="44" fontId="18" fillId="0" borderId="0" xfId="2" applyFont="1" applyBorder="1" applyAlignment="1">
      <alignment horizontal="right"/>
    </xf>
    <xf numFmtId="166" fontId="18" fillId="0" borderId="0" xfId="2" applyNumberFormat="1" applyFont="1" applyBorder="1"/>
    <xf numFmtId="10" fontId="18" fillId="0" borderId="0" xfId="3" applyNumberFormat="1" applyFont="1"/>
    <xf numFmtId="44" fontId="19" fillId="0" borderId="0" xfId="7" applyFont="1" applyFill="1"/>
    <xf numFmtId="44" fontId="19" fillId="0" borderId="0" xfId="2" applyFont="1" applyFill="1" applyBorder="1"/>
    <xf numFmtId="0" fontId="19" fillId="0" borderId="0" xfId="0" applyFont="1"/>
    <xf numFmtId="44" fontId="19" fillId="0" borderId="1" xfId="2" applyFont="1" applyFill="1" applyBorder="1"/>
    <xf numFmtId="165" fontId="17" fillId="2" borderId="1" xfId="2" applyNumberFormat="1" applyFont="1" applyFill="1" applyBorder="1" applyAlignment="1">
      <alignment horizontal="center" wrapText="1"/>
    </xf>
    <xf numFmtId="165" fontId="18" fillId="5" borderId="0" xfId="2" applyNumberFormat="1" applyFont="1" applyFill="1" applyBorder="1"/>
    <xf numFmtId="165" fontId="17" fillId="2" borderId="1" xfId="2" applyNumberFormat="1" applyFont="1" applyFill="1" applyBorder="1"/>
    <xf numFmtId="165" fontId="18" fillId="0" borderId="0" xfId="2" applyNumberFormat="1" applyFont="1"/>
    <xf numFmtId="10" fontId="17" fillId="0" borderId="0" xfId="3" applyNumberFormat="1" applyFont="1"/>
    <xf numFmtId="173" fontId="18" fillId="0" borderId="0" xfId="3" applyNumberFormat="1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0" fontId="18" fillId="0" borderId="0" xfId="0" applyFont="1" applyAlignment="1">
      <alignment horizontal="center" vertical="center" textRotation="90"/>
    </xf>
    <xf numFmtId="0" fontId="18" fillId="0" borderId="2" xfId="0" applyFont="1" applyBorder="1" applyAlignment="1">
      <alignment horizontal="center" vertical="center" textRotation="90"/>
    </xf>
  </cellXfs>
  <cellStyles count="15">
    <cellStyle name="Comma" xfId="1" builtinId="3"/>
    <cellStyle name="Comma 10" xfId="9" xr:uid="{00000000-0005-0000-0000-000001000000}"/>
    <cellStyle name="Comma 2 6 2 2" xfId="5" xr:uid="{00000000-0005-0000-0000-000002000000}"/>
    <cellStyle name="Comma 20" xfId="14" xr:uid="{00000000-0005-0000-0000-000003000000}"/>
    <cellStyle name="Currency" xfId="2" builtinId="4"/>
    <cellStyle name="Currency 2 6 2 2" xfId="7" xr:uid="{00000000-0005-0000-0000-000005000000}"/>
    <cellStyle name="Normal" xfId="0" builtinId="0"/>
    <cellStyle name="Normal 10 2" xfId="4" xr:uid="{00000000-0005-0000-0000-000007000000}"/>
    <cellStyle name="Normal 2" xfId="8" xr:uid="{00000000-0005-0000-0000-000008000000}"/>
    <cellStyle name="Normal 84 2" xfId="11" xr:uid="{00000000-0005-0000-0000-000009000000}"/>
    <cellStyle name="Normal 87" xfId="13" xr:uid="{00000000-0005-0000-0000-00000A000000}"/>
    <cellStyle name="Normal 90" xfId="12" xr:uid="{00000000-0005-0000-0000-00000B000000}"/>
    <cellStyle name="Normal_Price out" xfId="10" xr:uid="{00000000-0005-0000-0000-00000C000000}"/>
    <cellStyle name="Percent" xfId="3" builtinId="5"/>
    <cellStyle name="Percent 2 6 2 2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2"/>
  <sheetViews>
    <sheetView tabSelected="1" workbookViewId="0">
      <selection activeCell="E29" sqref="E29"/>
    </sheetView>
  </sheetViews>
  <sheetFormatPr defaultRowHeight="15" x14ac:dyDescent="0.25"/>
  <cols>
    <col min="4" max="4" width="10.28515625" bestFit="1" customWidth="1"/>
    <col min="6" max="6" width="11.5703125" bestFit="1" customWidth="1"/>
    <col min="8" max="8" width="11.5703125" bestFit="1" customWidth="1"/>
    <col min="9" max="9" width="10.5703125" bestFit="1" customWidth="1"/>
    <col min="11" max="11" width="10.5703125" bestFit="1" customWidth="1"/>
  </cols>
  <sheetData>
    <row r="1" spans="1:11" ht="23.25" x14ac:dyDescent="0.35">
      <c r="A1" s="47" t="s">
        <v>0</v>
      </c>
    </row>
    <row r="2" spans="1:11" ht="18.75" x14ac:dyDescent="0.3">
      <c r="A2" s="46" t="s">
        <v>8</v>
      </c>
    </row>
    <row r="3" spans="1:11" ht="15.75" x14ac:dyDescent="0.25">
      <c r="A3" s="1" t="s">
        <v>6</v>
      </c>
    </row>
    <row r="6" spans="1:11" x14ac:dyDescent="0.25">
      <c r="D6" s="2"/>
      <c r="E6" s="2"/>
      <c r="F6" s="2"/>
      <c r="H6" s="2"/>
      <c r="I6" s="3" t="s">
        <v>1</v>
      </c>
      <c r="K6" s="3" t="s">
        <v>1</v>
      </c>
    </row>
    <row r="7" spans="1:11" x14ac:dyDescent="0.25">
      <c r="D7" s="3" t="s">
        <v>9</v>
      </c>
      <c r="E7" s="2"/>
      <c r="F7" s="2"/>
      <c r="G7" s="4" t="s">
        <v>2</v>
      </c>
      <c r="H7" s="3" t="s">
        <v>1</v>
      </c>
      <c r="I7" s="3" t="s">
        <v>10</v>
      </c>
      <c r="J7" s="4" t="s">
        <v>11</v>
      </c>
      <c r="K7" s="3" t="s">
        <v>3</v>
      </c>
    </row>
    <row r="8" spans="1:11" x14ac:dyDescent="0.25">
      <c r="D8" s="5" t="s">
        <v>5</v>
      </c>
      <c r="E8" s="5" t="s">
        <v>4</v>
      </c>
      <c r="F8" s="5" t="s">
        <v>12</v>
      </c>
      <c r="G8" s="5" t="s">
        <v>4</v>
      </c>
      <c r="H8" s="5" t="s">
        <v>12</v>
      </c>
      <c r="I8" s="5" t="s">
        <v>13</v>
      </c>
      <c r="J8" s="5" t="s">
        <v>14</v>
      </c>
      <c r="K8" s="5" t="s">
        <v>13</v>
      </c>
    </row>
    <row r="9" spans="1:11" x14ac:dyDescent="0.25">
      <c r="A9" s="6" t="s">
        <v>15</v>
      </c>
    </row>
    <row r="10" spans="1:11" x14ac:dyDescent="0.25">
      <c r="A10" s="6"/>
    </row>
    <row r="11" spans="1:11" x14ac:dyDescent="0.25">
      <c r="A11" s="7" t="s">
        <v>16</v>
      </c>
      <c r="B11" s="7"/>
      <c r="C11" s="7"/>
    </row>
    <row r="12" spans="1:11" ht="17.25" x14ac:dyDescent="0.4">
      <c r="B12" s="8" t="s">
        <v>170</v>
      </c>
      <c r="D12" s="9">
        <v>11057.79</v>
      </c>
      <c r="E12" s="10">
        <v>154.02000000000001</v>
      </c>
      <c r="F12" s="66">
        <f>+D12*E12</f>
        <v>1703120.8158000002</v>
      </c>
      <c r="G12" s="10">
        <f>+References!B48</f>
        <v>168.68</v>
      </c>
      <c r="H12" s="11">
        <f>+G12*D12</f>
        <v>1865228.0172000001</v>
      </c>
      <c r="I12" s="12">
        <f>+H12-F12</f>
        <v>162107.2013999999</v>
      </c>
      <c r="J12" s="45">
        <f>+References!G52</f>
        <v>0.97273753102907079</v>
      </c>
      <c r="K12" s="13">
        <f>+I12/J12</f>
        <v>166650.50563897204</v>
      </c>
    </row>
    <row r="13" spans="1:11" s="6" customFormat="1" ht="12.75" x14ac:dyDescent="0.2">
      <c r="D13" s="14">
        <f>SUM(D12:D12)</f>
        <v>11057.79</v>
      </c>
      <c r="E13" s="15"/>
      <c r="F13" s="16">
        <f>SUM(F12:F12)</f>
        <v>1703120.8158000002</v>
      </c>
      <c r="G13" s="17"/>
      <c r="H13" s="16">
        <f>SUM(H12:H12)</f>
        <v>1865228.0172000001</v>
      </c>
      <c r="I13" s="16">
        <f>SUM(I12:I12)</f>
        <v>162107.2013999999</v>
      </c>
      <c r="K13" s="16">
        <f>SUM(K12:K12)</f>
        <v>166650.50563897204</v>
      </c>
    </row>
    <row r="14" spans="1:11" x14ac:dyDescent="0.25">
      <c r="E14" s="18"/>
      <c r="F14" s="19"/>
    </row>
    <row r="15" spans="1:11" x14ac:dyDescent="0.25">
      <c r="E15" s="18"/>
      <c r="F15" s="19"/>
    </row>
    <row r="16" spans="1:11" x14ac:dyDescent="0.25">
      <c r="A16" s="6" t="s">
        <v>17</v>
      </c>
      <c r="E16" s="18"/>
      <c r="F16" s="19"/>
    </row>
    <row r="17" spans="1:11" x14ac:dyDescent="0.25">
      <c r="A17" s="6"/>
      <c r="E17" s="18"/>
      <c r="F17" s="19"/>
    </row>
    <row r="18" spans="1:11" x14ac:dyDescent="0.25">
      <c r="A18" s="7" t="s">
        <v>16</v>
      </c>
      <c r="E18" s="18"/>
      <c r="F18" s="19"/>
    </row>
    <row r="19" spans="1:11" ht="17.25" x14ac:dyDescent="0.4">
      <c r="B19" s="8" t="s">
        <v>170</v>
      </c>
      <c r="D19" s="9">
        <v>12487.24</v>
      </c>
      <c r="E19" s="10">
        <f>+E12</f>
        <v>154.02000000000001</v>
      </c>
      <c r="F19" s="67">
        <f>+E19*D19</f>
        <v>1923284.7048000002</v>
      </c>
      <c r="G19" s="10">
        <f>+G12</f>
        <v>168.68</v>
      </c>
      <c r="H19" s="11">
        <f>+G19*D19</f>
        <v>2106347.6431999998</v>
      </c>
      <c r="I19" s="12">
        <f>+H19-F19</f>
        <v>183062.93839999964</v>
      </c>
      <c r="J19">
        <f>+J12</f>
        <v>0.97273753102907079</v>
      </c>
      <c r="K19" s="13">
        <f>+I19/J19</f>
        <v>188193.55947573559</v>
      </c>
    </row>
    <row r="20" spans="1:11" s="6" customFormat="1" ht="12.75" x14ac:dyDescent="0.2">
      <c r="D20" s="14">
        <f>SUM(D19:D19)</f>
        <v>12487.24</v>
      </c>
      <c r="E20" s="15"/>
      <c r="F20" s="16">
        <f>SUM(F19:F19)</f>
        <v>1923284.7048000002</v>
      </c>
      <c r="G20" s="17"/>
      <c r="H20" s="16">
        <f>SUM(H19:H19)</f>
        <v>2106347.6431999998</v>
      </c>
      <c r="I20" s="16">
        <f>SUM(I19:I19)</f>
        <v>183062.93839999964</v>
      </c>
      <c r="K20" s="16">
        <f>SUM(K19:K19)</f>
        <v>188193.55947573559</v>
      </c>
    </row>
    <row r="21" spans="1:11" x14ac:dyDescent="0.25">
      <c r="E21" s="18"/>
      <c r="F21" s="19"/>
    </row>
    <row r="22" spans="1:11" ht="17.25" x14ac:dyDescent="0.4">
      <c r="D22" s="21">
        <f>+D20+D13</f>
        <v>23545.03</v>
      </c>
      <c r="E22" s="21"/>
      <c r="F22" s="68">
        <f t="shared" ref="F22:I22" si="0">+F20+F13</f>
        <v>3626405.5206000004</v>
      </c>
      <c r="G22" s="22"/>
      <c r="H22" s="22">
        <f t="shared" si="0"/>
        <v>3971575.6603999999</v>
      </c>
      <c r="I22" s="22">
        <f t="shared" si="0"/>
        <v>345170.13979999954</v>
      </c>
      <c r="K22" s="22">
        <f>+K20+K13</f>
        <v>354844.06511470763</v>
      </c>
    </row>
    <row r="23" spans="1:11" x14ac:dyDescent="0.25">
      <c r="E23" s="18"/>
      <c r="F23" s="19"/>
    </row>
    <row r="24" spans="1:11" x14ac:dyDescent="0.25">
      <c r="E24" s="18"/>
      <c r="F24" s="19"/>
    </row>
    <row r="25" spans="1:11" x14ac:dyDescent="0.25">
      <c r="A25" s="6" t="s">
        <v>18</v>
      </c>
      <c r="E25" s="18"/>
      <c r="F25" s="19"/>
    </row>
    <row r="26" spans="1:11" x14ac:dyDescent="0.25">
      <c r="A26" s="6"/>
      <c r="E26" s="18"/>
      <c r="F26" s="19"/>
    </row>
    <row r="27" spans="1:11" x14ac:dyDescent="0.25">
      <c r="A27" s="7" t="s">
        <v>16</v>
      </c>
      <c r="E27" s="18"/>
      <c r="F27" s="19"/>
    </row>
    <row r="28" spans="1:11" ht="17.25" x14ac:dyDescent="0.4">
      <c r="B28" s="8" t="s">
        <v>170</v>
      </c>
      <c r="D28" s="9">
        <v>4222.854372971623</v>
      </c>
      <c r="E28" s="10">
        <v>154.02000000000001</v>
      </c>
      <c r="F28" s="20">
        <f>+E28*D28</f>
        <v>650404.03052508936</v>
      </c>
      <c r="G28" s="10">
        <f>+G12</f>
        <v>168.68</v>
      </c>
      <c r="H28" s="11">
        <f>+G28*D28</f>
        <v>712311.07563285343</v>
      </c>
      <c r="I28" s="12">
        <f>+H28-F28</f>
        <v>61907.045107764076</v>
      </c>
      <c r="J28" s="23">
        <v>1</v>
      </c>
      <c r="K28" s="13">
        <f>+I28/J28</f>
        <v>61907.045107764076</v>
      </c>
    </row>
    <row r="29" spans="1:11" s="6" customFormat="1" x14ac:dyDescent="0.35">
      <c r="D29" s="24">
        <f>SUM(D28:D28)</f>
        <v>4222.854372971623</v>
      </c>
      <c r="E29" s="25"/>
      <c r="F29" s="26">
        <f>SUM(F28:F28)</f>
        <v>650404.03052508936</v>
      </c>
      <c r="G29" s="25"/>
      <c r="H29" s="27">
        <f>SUM(H28:H28)</f>
        <v>712311.07563285343</v>
      </c>
      <c r="I29" s="27">
        <f>SUM(I28:I28)</f>
        <v>61907.045107764076</v>
      </c>
      <c r="J29" s="28"/>
      <c r="K29" s="27">
        <f>SUM(K28:K28)</f>
        <v>61907.045107764076</v>
      </c>
    </row>
    <row r="30" spans="1:11" x14ac:dyDescent="0.25">
      <c r="F30" s="19"/>
    </row>
    <row r="31" spans="1:11" x14ac:dyDescent="0.25">
      <c r="A31" s="7"/>
      <c r="F31" s="19"/>
    </row>
    <row r="32" spans="1:11" s="29" customFormat="1" ht="12.75" x14ac:dyDescent="0.2">
      <c r="D32" s="30">
        <f>+D29+D22</f>
        <v>27767.884372971621</v>
      </c>
      <c r="E32" s="30"/>
      <c r="F32" s="31">
        <f t="shared" ref="F32:K32" si="1">+F29+F22</f>
        <v>4276809.5511250896</v>
      </c>
      <c r="G32" s="30"/>
      <c r="H32" s="31">
        <f t="shared" si="1"/>
        <v>4683886.7360328529</v>
      </c>
      <c r="I32" s="31">
        <f t="shared" si="1"/>
        <v>407077.18490776361</v>
      </c>
      <c r="J32" s="31"/>
      <c r="K32" s="31">
        <f t="shared" si="1"/>
        <v>416751.1102224717</v>
      </c>
    </row>
  </sheetData>
  <pageMargins left="0.7" right="0.7" top="0.5" bottom="0.5" header="0.3" footer="0.3"/>
  <pageSetup orientation="landscape" verticalDpi="599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H55"/>
  <sheetViews>
    <sheetView topLeftCell="A16" workbookViewId="0">
      <selection activeCell="B49" sqref="B49"/>
    </sheetView>
  </sheetViews>
  <sheetFormatPr defaultRowHeight="15" x14ac:dyDescent="0.25"/>
  <cols>
    <col min="1" max="1" width="36.28515625" bestFit="1" customWidth="1"/>
    <col min="2" max="2" width="19" bestFit="1" customWidth="1"/>
    <col min="3" max="3" width="16" customWidth="1"/>
    <col min="4" max="5" width="7" bestFit="1" customWidth="1"/>
    <col min="6" max="6" width="11.42578125" bestFit="1" customWidth="1"/>
    <col min="7" max="7" width="11.140625" customWidth="1"/>
  </cols>
  <sheetData>
    <row r="1" spans="1:8" x14ac:dyDescent="0.25">
      <c r="A1" s="158" t="s">
        <v>34</v>
      </c>
      <c r="B1" s="158"/>
      <c r="C1" s="158"/>
      <c r="D1" s="158"/>
      <c r="E1" s="158"/>
      <c r="F1" s="158"/>
      <c r="G1" s="158"/>
      <c r="H1" s="158"/>
    </row>
    <row r="2" spans="1:8" x14ac:dyDescent="0.25">
      <c r="A2" t="s">
        <v>35</v>
      </c>
      <c r="B2" s="48" t="s">
        <v>36</v>
      </c>
      <c r="C2" s="48" t="s">
        <v>37</v>
      </c>
      <c r="D2" s="48" t="s">
        <v>38</v>
      </c>
      <c r="E2" s="48" t="s">
        <v>39</v>
      </c>
      <c r="F2" s="48" t="s">
        <v>40</v>
      </c>
      <c r="G2" s="48" t="s">
        <v>41</v>
      </c>
      <c r="H2" s="48" t="s">
        <v>42</v>
      </c>
    </row>
    <row r="3" spans="1:8" x14ac:dyDescent="0.25">
      <c r="A3" t="s">
        <v>43</v>
      </c>
      <c r="B3" s="49">
        <f>52*5/12</f>
        <v>21.666666666666668</v>
      </c>
      <c r="C3" s="50">
        <f>$B$3*2</f>
        <v>43.333333333333336</v>
      </c>
      <c r="D3" s="50">
        <f>$B$3*3</f>
        <v>65</v>
      </c>
      <c r="E3" s="50">
        <f>$B$3*4</f>
        <v>86.666666666666671</v>
      </c>
      <c r="F3" s="50">
        <f>$B$3*5</f>
        <v>108.33333333333334</v>
      </c>
      <c r="G3" s="50">
        <f>$B$3*6</f>
        <v>130</v>
      </c>
      <c r="H3" s="50">
        <f>$B$3*7</f>
        <v>151.66666666666669</v>
      </c>
    </row>
    <row r="4" spans="1:8" x14ac:dyDescent="0.25">
      <c r="A4" t="s">
        <v>44</v>
      </c>
      <c r="B4" s="49">
        <f>52*4/12</f>
        <v>17.333333333333332</v>
      </c>
      <c r="C4" s="50">
        <f>$B$4*2</f>
        <v>34.666666666666664</v>
      </c>
      <c r="D4" s="50">
        <f>$B$4*3</f>
        <v>52</v>
      </c>
      <c r="E4" s="50">
        <f>$B$4*4</f>
        <v>69.333333333333329</v>
      </c>
      <c r="F4" s="50">
        <f>$B$4*5</f>
        <v>86.666666666666657</v>
      </c>
      <c r="G4" s="50">
        <f>$B$4*6</f>
        <v>104</v>
      </c>
      <c r="H4" s="50">
        <f>$B$4*7</f>
        <v>121.33333333333333</v>
      </c>
    </row>
    <row r="5" spans="1:8" x14ac:dyDescent="0.25">
      <c r="A5" t="s">
        <v>45</v>
      </c>
      <c r="B5" s="49">
        <f>52*3/12</f>
        <v>13</v>
      </c>
      <c r="C5" s="50">
        <f>$B$5*2</f>
        <v>26</v>
      </c>
      <c r="D5" s="50">
        <f>$B$5*3</f>
        <v>39</v>
      </c>
      <c r="E5" s="50">
        <f>$B$5*4</f>
        <v>52</v>
      </c>
      <c r="F5" s="50">
        <f>$B$5*5</f>
        <v>65</v>
      </c>
      <c r="G5" s="50">
        <f>$B$5*6</f>
        <v>78</v>
      </c>
      <c r="H5" s="50">
        <f>$B$5*7</f>
        <v>91</v>
      </c>
    </row>
    <row r="6" spans="1:8" x14ac:dyDescent="0.25">
      <c r="A6" t="s">
        <v>46</v>
      </c>
      <c r="B6" s="49">
        <f>52*2/12</f>
        <v>8.6666666666666661</v>
      </c>
      <c r="C6" s="51">
        <f>$B$6*2</f>
        <v>17.333333333333332</v>
      </c>
      <c r="D6" s="51">
        <f>$B$6*3</f>
        <v>26</v>
      </c>
      <c r="E6" s="51">
        <f>$B$6*4</f>
        <v>34.666666666666664</v>
      </c>
      <c r="F6" s="51">
        <f>$B$6*5</f>
        <v>43.333333333333329</v>
      </c>
      <c r="G6" s="51">
        <f>$B$6*6</f>
        <v>52</v>
      </c>
      <c r="H6" s="51">
        <f>$B$6*7</f>
        <v>60.666666666666664</v>
      </c>
    </row>
    <row r="7" spans="1:8" x14ac:dyDescent="0.25">
      <c r="A7" t="s">
        <v>47</v>
      </c>
      <c r="B7" s="49">
        <f>52/12</f>
        <v>4.333333333333333</v>
      </c>
      <c r="C7" s="51">
        <f>$B$7*2</f>
        <v>8.6666666666666661</v>
      </c>
      <c r="D7" s="51">
        <f>$B$7*3</f>
        <v>13</v>
      </c>
      <c r="E7" s="51">
        <f>$B$7*4</f>
        <v>17.333333333333332</v>
      </c>
      <c r="F7" s="51">
        <f>$B$7*5</f>
        <v>21.666666666666664</v>
      </c>
      <c r="G7" s="51">
        <f>$B$7*6</f>
        <v>26</v>
      </c>
      <c r="H7" s="51">
        <f>$B$7*7</f>
        <v>30.333333333333332</v>
      </c>
    </row>
    <row r="8" spans="1:8" x14ac:dyDescent="0.25">
      <c r="A8" t="s">
        <v>48</v>
      </c>
      <c r="B8" s="49">
        <f>26/12</f>
        <v>2.1666666666666665</v>
      </c>
      <c r="C8" s="51">
        <f>$B$8*2</f>
        <v>4.333333333333333</v>
      </c>
      <c r="D8" s="51">
        <f>$B$8*3</f>
        <v>6.5</v>
      </c>
      <c r="E8" s="51">
        <f>$B$8*4</f>
        <v>8.6666666666666661</v>
      </c>
      <c r="F8" s="51">
        <f>$B$8*5</f>
        <v>10.833333333333332</v>
      </c>
      <c r="G8" s="51">
        <f>$B$8*6</f>
        <v>13</v>
      </c>
      <c r="H8" s="51">
        <f>$B$8*7</f>
        <v>15.166666666666666</v>
      </c>
    </row>
    <row r="9" spans="1:8" x14ac:dyDescent="0.25">
      <c r="A9" t="s">
        <v>49</v>
      </c>
      <c r="B9" s="49">
        <f>12/12</f>
        <v>1</v>
      </c>
      <c r="C9" s="51">
        <f>$B$9*2</f>
        <v>2</v>
      </c>
      <c r="D9" s="51">
        <f>$B$9*3</f>
        <v>3</v>
      </c>
      <c r="E9" s="51">
        <f>$B$9*4</f>
        <v>4</v>
      </c>
      <c r="F9" s="51">
        <f>$B$9*5</f>
        <v>5</v>
      </c>
      <c r="G9" s="51">
        <f>$B$9*6</f>
        <v>6</v>
      </c>
      <c r="H9" s="51">
        <f>$B$9*7</f>
        <v>7</v>
      </c>
    </row>
    <row r="10" spans="1:8" x14ac:dyDescent="0.25">
      <c r="B10" s="49"/>
      <c r="C10" s="51"/>
      <c r="D10" s="51"/>
      <c r="E10" s="51"/>
      <c r="F10" s="51"/>
      <c r="G10" s="51"/>
      <c r="H10" s="51"/>
    </row>
    <row r="11" spans="1:8" x14ac:dyDescent="0.25">
      <c r="A11" s="158" t="s">
        <v>50</v>
      </c>
      <c r="B11" s="158"/>
      <c r="C11" s="51"/>
      <c r="D11" s="51"/>
      <c r="E11" s="51"/>
      <c r="F11" s="51"/>
      <c r="G11" s="51"/>
      <c r="H11" s="51"/>
    </row>
    <row r="12" spans="1:8" x14ac:dyDescent="0.25">
      <c r="A12" s="4" t="s">
        <v>51</v>
      </c>
      <c r="B12" s="52" t="s">
        <v>52</v>
      </c>
      <c r="C12" s="51"/>
      <c r="D12" s="51"/>
      <c r="E12" s="51"/>
      <c r="F12" s="51"/>
      <c r="G12" s="51"/>
      <c r="H12" s="51"/>
    </row>
    <row r="13" spans="1:8" x14ac:dyDescent="0.25">
      <c r="A13" s="40" t="s">
        <v>53</v>
      </c>
      <c r="B13" s="53">
        <v>20</v>
      </c>
      <c r="C13" s="51"/>
      <c r="D13" s="51"/>
      <c r="E13" s="51"/>
      <c r="F13" s="51"/>
      <c r="G13" s="51"/>
      <c r="H13" s="51"/>
    </row>
    <row r="14" spans="1:8" x14ac:dyDescent="0.25">
      <c r="A14" s="40" t="s">
        <v>54</v>
      </c>
      <c r="B14" s="53">
        <v>34</v>
      </c>
      <c r="C14" s="51"/>
      <c r="D14" s="51"/>
      <c r="E14" s="51"/>
      <c r="F14" s="51"/>
      <c r="G14" s="51"/>
      <c r="H14" s="51"/>
    </row>
    <row r="15" spans="1:8" x14ac:dyDescent="0.25">
      <c r="A15" s="40" t="s">
        <v>55</v>
      </c>
      <c r="B15" s="53">
        <v>51</v>
      </c>
      <c r="C15" s="51"/>
      <c r="D15" s="51"/>
      <c r="E15" s="51"/>
      <c r="F15" s="51"/>
      <c r="G15" s="51"/>
      <c r="H15" s="51"/>
    </row>
    <row r="16" spans="1:8" x14ac:dyDescent="0.25">
      <c r="A16" s="40" t="s">
        <v>56</v>
      </c>
      <c r="B16" s="53">
        <v>77</v>
      </c>
      <c r="C16" s="51"/>
      <c r="D16" s="51"/>
      <c r="E16" s="51"/>
      <c r="F16" t="s">
        <v>57</v>
      </c>
      <c r="G16" s="53">
        <v>2000</v>
      </c>
      <c r="H16" s="51"/>
    </row>
    <row r="17" spans="1:8" x14ac:dyDescent="0.25">
      <c r="A17" s="40" t="s">
        <v>58</v>
      </c>
      <c r="B17" s="53">
        <v>97</v>
      </c>
      <c r="C17" s="51"/>
      <c r="D17" s="51"/>
      <c r="E17" s="51"/>
      <c r="F17" t="s">
        <v>59</v>
      </c>
      <c r="G17" s="54" t="s">
        <v>60</v>
      </c>
      <c r="H17" s="51"/>
    </row>
    <row r="18" spans="1:8" x14ac:dyDescent="0.25">
      <c r="A18" s="40" t="s">
        <v>61</v>
      </c>
      <c r="B18" s="53">
        <v>117</v>
      </c>
      <c r="C18" s="51"/>
      <c r="D18" s="51"/>
      <c r="E18" s="51"/>
      <c r="H18" s="51"/>
    </row>
    <row r="19" spans="1:8" x14ac:dyDescent="0.25">
      <c r="A19" s="40" t="s">
        <v>62</v>
      </c>
      <c r="B19" s="53">
        <v>157</v>
      </c>
      <c r="C19" s="51"/>
      <c r="D19" s="51"/>
      <c r="E19" s="51"/>
      <c r="F19" s="55"/>
      <c r="G19" s="56"/>
      <c r="H19" s="51"/>
    </row>
    <row r="20" spans="1:8" x14ac:dyDescent="0.25">
      <c r="A20" s="40" t="s">
        <v>63</v>
      </c>
      <c r="B20" s="53">
        <v>37</v>
      </c>
      <c r="C20" s="51" t="s">
        <v>64</v>
      </c>
      <c r="D20" s="51"/>
      <c r="E20" s="51"/>
      <c r="F20" s="55"/>
      <c r="G20" s="56"/>
      <c r="H20" s="51"/>
    </row>
    <row r="21" spans="1:8" x14ac:dyDescent="0.25">
      <c r="A21" s="40" t="s">
        <v>65</v>
      </c>
      <c r="B21" s="53">
        <v>47</v>
      </c>
      <c r="C21" s="51"/>
      <c r="D21" s="51"/>
      <c r="E21" s="51"/>
      <c r="F21" s="51"/>
      <c r="G21" s="51"/>
      <c r="H21" s="51"/>
    </row>
    <row r="22" spans="1:8" x14ac:dyDescent="0.25">
      <c r="A22" s="40" t="s">
        <v>66</v>
      </c>
      <c r="B22" s="53">
        <v>68</v>
      </c>
      <c r="C22" s="51"/>
      <c r="D22" s="51"/>
      <c r="E22" s="51"/>
      <c r="F22" s="51"/>
      <c r="G22" s="51"/>
      <c r="H22" s="51"/>
    </row>
    <row r="23" spans="1:8" x14ac:dyDescent="0.25">
      <c r="A23" s="40" t="s">
        <v>67</v>
      </c>
      <c r="B23" s="53">
        <v>34</v>
      </c>
      <c r="C23" s="51"/>
      <c r="D23" s="51"/>
      <c r="E23" s="51"/>
      <c r="F23" s="51"/>
      <c r="G23" s="51"/>
      <c r="H23" s="51"/>
    </row>
    <row r="24" spans="1:8" x14ac:dyDescent="0.25">
      <c r="A24" s="40" t="s">
        <v>7</v>
      </c>
      <c r="B24" s="53">
        <v>34</v>
      </c>
      <c r="C24" s="51"/>
      <c r="D24" s="51"/>
      <c r="E24" s="51"/>
      <c r="F24" s="51"/>
      <c r="G24" s="51"/>
      <c r="H24" s="51"/>
    </row>
    <row r="25" spans="1:8" x14ac:dyDescent="0.25">
      <c r="A25" s="4" t="s">
        <v>68</v>
      </c>
      <c r="B25" s="53"/>
      <c r="C25" s="51"/>
      <c r="D25" s="51"/>
      <c r="E25" s="51"/>
      <c r="F25" s="51"/>
      <c r="G25" s="51"/>
      <c r="H25" s="51"/>
    </row>
    <row r="26" spans="1:8" x14ac:dyDescent="0.25">
      <c r="A26" s="40" t="s">
        <v>69</v>
      </c>
      <c r="B26" s="53">
        <v>29</v>
      </c>
      <c r="C26" s="51"/>
      <c r="D26" s="51"/>
      <c r="E26" s="51"/>
      <c r="F26" s="51"/>
      <c r="G26" s="51"/>
      <c r="H26" s="51"/>
    </row>
    <row r="27" spans="1:8" x14ac:dyDescent="0.25">
      <c r="A27" s="40" t="s">
        <v>70</v>
      </c>
      <c r="B27" s="53">
        <v>175</v>
      </c>
      <c r="C27" s="51"/>
      <c r="D27" s="51"/>
      <c r="E27" s="51"/>
      <c r="F27" s="51"/>
      <c r="G27" s="51"/>
      <c r="H27" s="51"/>
    </row>
    <row r="28" spans="1:8" x14ac:dyDescent="0.25">
      <c r="A28" s="40" t="s">
        <v>71</v>
      </c>
      <c r="B28" s="53">
        <v>250</v>
      </c>
      <c r="C28" s="51"/>
      <c r="D28" s="51"/>
      <c r="E28" s="51"/>
      <c r="F28" s="51"/>
      <c r="G28" s="51"/>
      <c r="H28" s="51"/>
    </row>
    <row r="29" spans="1:8" x14ac:dyDescent="0.25">
      <c r="A29" s="40" t="s">
        <v>72</v>
      </c>
      <c r="B29" s="53">
        <v>324</v>
      </c>
      <c r="C29" s="51"/>
      <c r="D29" s="51"/>
      <c r="E29" s="51"/>
      <c r="F29" s="51"/>
      <c r="G29" s="51"/>
      <c r="H29" s="51"/>
    </row>
    <row r="30" spans="1:8" x14ac:dyDescent="0.25">
      <c r="A30" s="40" t="s">
        <v>73</v>
      </c>
      <c r="B30" s="53">
        <v>473</v>
      </c>
      <c r="C30" s="51"/>
      <c r="D30" s="51"/>
      <c r="E30" s="51"/>
      <c r="F30" s="51"/>
      <c r="G30" s="51"/>
      <c r="H30" s="51"/>
    </row>
    <row r="31" spans="1:8" x14ac:dyDescent="0.25">
      <c r="A31" s="40" t="s">
        <v>74</v>
      </c>
      <c r="B31" s="53">
        <v>613</v>
      </c>
      <c r="C31" s="51"/>
      <c r="D31" s="51"/>
      <c r="E31" s="51"/>
      <c r="F31" s="51"/>
      <c r="G31" s="51"/>
      <c r="H31" s="51"/>
    </row>
    <row r="32" spans="1:8" x14ac:dyDescent="0.25">
      <c r="A32" s="40" t="s">
        <v>75</v>
      </c>
      <c r="B32" s="53">
        <v>840</v>
      </c>
      <c r="C32" s="51"/>
      <c r="D32" s="51"/>
      <c r="E32" s="51"/>
      <c r="F32" s="51"/>
      <c r="G32" s="51"/>
      <c r="H32" s="51"/>
    </row>
    <row r="33" spans="1:8" x14ac:dyDescent="0.25">
      <c r="A33" s="40" t="s">
        <v>76</v>
      </c>
      <c r="B33" s="53">
        <v>980</v>
      </c>
      <c r="C33" s="51"/>
      <c r="D33" s="51"/>
      <c r="E33" s="51"/>
      <c r="F33" s="51"/>
      <c r="G33" s="51"/>
      <c r="H33" s="51"/>
    </row>
    <row r="34" spans="1:8" x14ac:dyDescent="0.25">
      <c r="A34" s="40" t="s">
        <v>77</v>
      </c>
      <c r="B34" s="53">
        <v>482</v>
      </c>
      <c r="C34" s="51" t="s">
        <v>64</v>
      </c>
      <c r="D34" s="51"/>
      <c r="E34" s="51"/>
      <c r="F34" s="51"/>
      <c r="G34" s="51"/>
      <c r="H34" s="51"/>
    </row>
    <row r="35" spans="1:8" x14ac:dyDescent="0.25">
      <c r="A35" s="40" t="s">
        <v>78</v>
      </c>
      <c r="B35" s="53">
        <v>689</v>
      </c>
      <c r="C35" s="51" t="s">
        <v>64</v>
      </c>
      <c r="D35" s="51"/>
      <c r="E35" s="51"/>
      <c r="F35" s="51"/>
      <c r="G35" s="51"/>
      <c r="H35" s="51"/>
    </row>
    <row r="36" spans="1:8" x14ac:dyDescent="0.25">
      <c r="A36" s="40" t="s">
        <v>79</v>
      </c>
      <c r="B36" s="53">
        <v>892</v>
      </c>
      <c r="C36" s="51" t="s">
        <v>64</v>
      </c>
      <c r="D36" s="51"/>
      <c r="E36" s="51"/>
      <c r="F36" s="51"/>
      <c r="G36" s="51"/>
      <c r="H36" s="51"/>
    </row>
    <row r="37" spans="1:8" x14ac:dyDescent="0.25">
      <c r="A37" s="40" t="s">
        <v>80</v>
      </c>
      <c r="B37" s="53">
        <v>1301</v>
      </c>
      <c r="C37" s="51"/>
      <c r="D37" s="51"/>
      <c r="E37" s="51"/>
      <c r="F37" s="51"/>
      <c r="G37" s="51"/>
      <c r="H37" s="51"/>
    </row>
    <row r="38" spans="1:8" x14ac:dyDescent="0.25">
      <c r="A38" s="40" t="s">
        <v>81</v>
      </c>
      <c r="B38" s="53">
        <v>1686</v>
      </c>
      <c r="C38" s="51"/>
      <c r="D38" s="51"/>
      <c r="E38" s="51"/>
      <c r="F38" s="51"/>
      <c r="G38" s="51"/>
      <c r="H38" s="51"/>
    </row>
    <row r="39" spans="1:8" x14ac:dyDescent="0.25">
      <c r="A39" s="40" t="s">
        <v>82</v>
      </c>
      <c r="B39" s="53">
        <v>2046</v>
      </c>
      <c r="C39" s="51"/>
      <c r="D39" s="51"/>
      <c r="E39" s="51"/>
      <c r="F39" s="51"/>
      <c r="G39" s="51"/>
      <c r="H39" s="51"/>
    </row>
    <row r="40" spans="1:8" x14ac:dyDescent="0.25">
      <c r="A40" s="40" t="s">
        <v>83</v>
      </c>
      <c r="B40" s="53">
        <v>2310</v>
      </c>
      <c r="C40" s="51"/>
      <c r="D40" s="51"/>
      <c r="E40" s="51"/>
      <c r="F40" s="51"/>
      <c r="G40" s="51"/>
      <c r="H40" s="51"/>
    </row>
    <row r="41" spans="1:8" x14ac:dyDescent="0.25">
      <c r="A41" s="40" t="s">
        <v>84</v>
      </c>
      <c r="B41" s="53">
        <v>2800</v>
      </c>
      <c r="C41" s="51" t="s">
        <v>64</v>
      </c>
      <c r="D41" s="51"/>
      <c r="E41" s="51"/>
      <c r="F41" s="51"/>
      <c r="G41" s="51"/>
      <c r="H41" s="51"/>
    </row>
    <row r="42" spans="1:8" x14ac:dyDescent="0.25">
      <c r="A42" s="40" t="s">
        <v>85</v>
      </c>
      <c r="B42" s="53">
        <v>125</v>
      </c>
      <c r="C42" s="51"/>
      <c r="D42" s="51"/>
      <c r="E42" s="51"/>
      <c r="F42" s="51"/>
      <c r="G42" s="51"/>
      <c r="H42" s="51"/>
    </row>
    <row r="43" spans="1:8" x14ac:dyDescent="0.25">
      <c r="B43" s="159" t="s">
        <v>86</v>
      </c>
      <c r="C43" s="159"/>
    </row>
    <row r="46" spans="1:8" x14ac:dyDescent="0.25">
      <c r="A46" s="32" t="s">
        <v>16</v>
      </c>
      <c r="B46" s="33" t="s">
        <v>19</v>
      </c>
      <c r="C46" s="33" t="s">
        <v>20</v>
      </c>
      <c r="F46" s="160" t="s">
        <v>21</v>
      </c>
      <c r="G46" s="160"/>
    </row>
    <row r="47" spans="1:8" x14ac:dyDescent="0.25">
      <c r="A47" s="34" t="s">
        <v>22</v>
      </c>
      <c r="B47" s="57">
        <v>154.02000000000001</v>
      </c>
      <c r="C47" s="36">
        <f>B47/2000</f>
        <v>7.7010000000000009E-2</v>
      </c>
      <c r="F47" t="s">
        <v>23</v>
      </c>
      <c r="G47" s="37">
        <v>1.7500000000000002E-2</v>
      </c>
    </row>
    <row r="48" spans="1:8" x14ac:dyDescent="0.25">
      <c r="A48" s="34" t="s">
        <v>24</v>
      </c>
      <c r="B48" s="58">
        <v>168.68</v>
      </c>
      <c r="C48" s="38">
        <f>B48/2000</f>
        <v>8.4339999999999998E-2</v>
      </c>
      <c r="F48" t="s">
        <v>25</v>
      </c>
      <c r="G48" s="39">
        <v>5.1000000000000004E-3</v>
      </c>
    </row>
    <row r="49" spans="1:8" x14ac:dyDescent="0.25">
      <c r="A49" s="40" t="s">
        <v>26</v>
      </c>
      <c r="B49" s="35">
        <f>B48-B47</f>
        <v>14.659999999999997</v>
      </c>
      <c r="C49" s="41">
        <f>C48-C47</f>
        <v>7.3299999999999893E-3</v>
      </c>
      <c r="F49" t="s">
        <v>27</v>
      </c>
      <c r="G49" s="65">
        <v>4.6624689709292297E-3</v>
      </c>
      <c r="H49" t="s">
        <v>168</v>
      </c>
    </row>
    <row r="50" spans="1:8" x14ac:dyDescent="0.25">
      <c r="F50" t="s">
        <v>31</v>
      </c>
      <c r="G50" s="59">
        <f>SUM(G47:G49)</f>
        <v>2.7262468970929231E-2</v>
      </c>
    </row>
    <row r="51" spans="1:8" x14ac:dyDescent="0.25">
      <c r="B51" s="42" t="s">
        <v>28</v>
      </c>
    </row>
    <row r="52" spans="1:8" x14ac:dyDescent="0.25">
      <c r="A52" t="s">
        <v>29</v>
      </c>
      <c r="B52" s="43">
        <f>B49</f>
        <v>14.659999999999997</v>
      </c>
      <c r="F52" t="s">
        <v>14</v>
      </c>
      <c r="G52" s="44">
        <f>1-G50</f>
        <v>0.97273753102907079</v>
      </c>
    </row>
    <row r="53" spans="1:8" x14ac:dyDescent="0.25">
      <c r="A53" t="s">
        <v>30</v>
      </c>
      <c r="B53" s="43">
        <f>B52/$G$52</f>
        <v>15.070869101237417</v>
      </c>
    </row>
    <row r="54" spans="1:8" x14ac:dyDescent="0.25">
      <c r="A54" t="s">
        <v>32</v>
      </c>
      <c r="B54" s="69">
        <f>'Revenue &amp; Expense Adj.'!D22</f>
        <v>23545.03</v>
      </c>
    </row>
    <row r="55" spans="1:8" x14ac:dyDescent="0.25">
      <c r="A55" s="4" t="s">
        <v>33</v>
      </c>
      <c r="B55" s="60">
        <f>B53*B54</f>
        <v>354844.06511470798</v>
      </c>
    </row>
  </sheetData>
  <mergeCells count="4">
    <mergeCell ref="A1:H1"/>
    <mergeCell ref="A11:B11"/>
    <mergeCell ref="B43:C43"/>
    <mergeCell ref="F46:G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A1:V89"/>
  <sheetViews>
    <sheetView topLeftCell="A37" workbookViewId="0">
      <selection activeCell="M41" sqref="M41:M73"/>
    </sheetView>
  </sheetViews>
  <sheetFormatPr defaultRowHeight="12.75" x14ac:dyDescent="0.2"/>
  <cols>
    <col min="1" max="1" width="3.7109375" style="75" bestFit="1" customWidth="1"/>
    <col min="2" max="2" width="16.85546875" style="75" customWidth="1"/>
    <col min="3" max="3" width="27.42578125" style="75" customWidth="1"/>
    <col min="4" max="4" width="11.42578125" style="75" customWidth="1"/>
    <col min="5" max="5" width="10.42578125" style="75" customWidth="1"/>
    <col min="6" max="6" width="11.7109375" style="75" customWidth="1"/>
    <col min="7" max="7" width="9.28515625" style="75" customWidth="1"/>
    <col min="8" max="8" width="14.85546875" style="75" customWidth="1"/>
    <col min="9" max="9" width="13.28515625" style="75" customWidth="1"/>
    <col min="10" max="10" width="14.140625" style="75" customWidth="1"/>
    <col min="11" max="11" width="13.85546875" style="75" customWidth="1"/>
    <col min="12" max="12" width="10" style="75" customWidth="1"/>
    <col min="13" max="13" width="10.140625" style="75" customWidth="1"/>
    <col min="14" max="14" width="11.140625" style="75" customWidth="1"/>
    <col min="15" max="15" width="15.42578125" style="75" bestFit="1" customWidth="1"/>
    <col min="16" max="16" width="9.85546875" style="75" bestFit="1" customWidth="1"/>
    <col min="17" max="17" width="15.7109375" style="155" bestFit="1" customWidth="1"/>
    <col min="18" max="18" width="13.28515625" style="155" customWidth="1"/>
    <col min="19" max="16384" width="9.140625" style="75"/>
  </cols>
  <sheetData>
    <row r="1" spans="1:22" ht="48" customHeight="1" x14ac:dyDescent="0.2">
      <c r="A1" s="70"/>
      <c r="B1" s="71" t="s">
        <v>87</v>
      </c>
      <c r="C1" s="72" t="s">
        <v>88</v>
      </c>
      <c r="D1" s="71" t="s">
        <v>89</v>
      </c>
      <c r="E1" s="71" t="s">
        <v>90</v>
      </c>
      <c r="F1" s="70" t="s">
        <v>91</v>
      </c>
      <c r="G1" s="71" t="s">
        <v>50</v>
      </c>
      <c r="H1" s="71" t="s">
        <v>92</v>
      </c>
      <c r="I1" s="73" t="s">
        <v>93</v>
      </c>
      <c r="J1" s="74" t="s">
        <v>26</v>
      </c>
      <c r="K1" s="71" t="s">
        <v>94</v>
      </c>
      <c r="L1" s="71" t="s">
        <v>95</v>
      </c>
      <c r="M1" s="71" t="s">
        <v>96</v>
      </c>
      <c r="N1" s="71" t="s">
        <v>169</v>
      </c>
      <c r="O1" s="71" t="s">
        <v>97</v>
      </c>
      <c r="P1" s="71" t="s">
        <v>98</v>
      </c>
      <c r="Q1" s="152" t="s">
        <v>99</v>
      </c>
      <c r="R1" s="152" t="s">
        <v>100</v>
      </c>
    </row>
    <row r="2" spans="1:22" x14ac:dyDescent="0.2">
      <c r="A2" s="161" t="s">
        <v>17</v>
      </c>
      <c r="B2" s="76">
        <v>22</v>
      </c>
      <c r="C2" s="75" t="s">
        <v>134</v>
      </c>
      <c r="D2" s="77">
        <v>22</v>
      </c>
      <c r="E2" s="78">
        <f>References!$B$9</f>
        <v>1</v>
      </c>
      <c r="F2" s="77">
        <f t="shared" ref="F2:F16" si="0">D2*E2*12</f>
        <v>264</v>
      </c>
      <c r="G2" s="61">
        <f>References!B13</f>
        <v>20</v>
      </c>
      <c r="H2" s="77">
        <f>G2*F2</f>
        <v>5280</v>
      </c>
      <c r="I2" s="79">
        <f t="shared" ref="I2:I16" si="1">$C$85*H2</f>
        <v>3866.9178466702106</v>
      </c>
      <c r="J2" s="80">
        <f>(References!$C$49*I2)</f>
        <v>28.344507816092602</v>
      </c>
      <c r="K2" s="80">
        <f>J2/References!$G$52</f>
        <v>29.138906346202766</v>
      </c>
      <c r="L2" s="80">
        <f t="shared" ref="L2:L16" si="2">(K2/F2)*E2</f>
        <v>0.11037464525076805</v>
      </c>
      <c r="M2" s="148">
        <v>8.2393823545232028</v>
      </c>
      <c r="N2" s="81">
        <f>L2+M2</f>
        <v>8.3497569997739713</v>
      </c>
      <c r="O2" s="82">
        <f t="shared" ref="O2:O16" si="3">D2*M2*12</f>
        <v>2175.1969415941253</v>
      </c>
      <c r="P2" s="83">
        <f t="shared" ref="P2:P16" si="4">N2</f>
        <v>8.3497569997739713</v>
      </c>
      <c r="Q2" s="153">
        <f>D2*N2*12</f>
        <v>2204.3358479403287</v>
      </c>
      <c r="R2" s="153">
        <f t="shared" ref="R2:R16" si="5">Q2-O2</f>
        <v>29.138906346203385</v>
      </c>
      <c r="T2" s="147">
        <f>+N2/M2-1</f>
        <v>1.3395985342296468E-2</v>
      </c>
      <c r="V2" s="113"/>
    </row>
    <row r="3" spans="1:22" x14ac:dyDescent="0.2">
      <c r="A3" s="161"/>
      <c r="B3" s="76">
        <v>22</v>
      </c>
      <c r="C3" s="75" t="s">
        <v>102</v>
      </c>
      <c r="D3" s="77">
        <v>111</v>
      </c>
      <c r="E3" s="78">
        <f>References!$B$9</f>
        <v>1</v>
      </c>
      <c r="F3" s="77">
        <f t="shared" si="0"/>
        <v>1332</v>
      </c>
      <c r="G3" s="61">
        <f>References!B14</f>
        <v>34</v>
      </c>
      <c r="H3" s="77">
        <f t="shared" ref="H3:H16" si="6">G3*F3</f>
        <v>45288</v>
      </c>
      <c r="I3" s="79">
        <f t="shared" si="1"/>
        <v>33167.608984848579</v>
      </c>
      <c r="J3" s="80">
        <f>(References!$C$49*I3)</f>
        <v>243.11857385893973</v>
      </c>
      <c r="K3" s="80">
        <f>J3/References!$G$52</f>
        <v>249.93234670583919</v>
      </c>
      <c r="L3" s="80">
        <f t="shared" si="2"/>
        <v>0.1876368969263057</v>
      </c>
      <c r="M3" s="148">
        <v>9.2689500026894436</v>
      </c>
      <c r="N3" s="81">
        <f>L3+M3</f>
        <v>9.4565868996157487</v>
      </c>
      <c r="O3" s="82">
        <f t="shared" si="3"/>
        <v>12346.241403582339</v>
      </c>
      <c r="P3" s="83">
        <f t="shared" si="4"/>
        <v>9.4565868996157487</v>
      </c>
      <c r="Q3" s="153">
        <f t="shared" ref="Q3:Q16" si="7">D3*N3*12</f>
        <v>12596.173750288177</v>
      </c>
      <c r="R3" s="153">
        <f t="shared" si="5"/>
        <v>249.93234670583843</v>
      </c>
      <c r="T3" s="147">
        <f t="shared" ref="T3:T31" si="8">+N3/M3-1</f>
        <v>2.0243597912585676E-2</v>
      </c>
      <c r="V3" s="113"/>
    </row>
    <row r="4" spans="1:22" x14ac:dyDescent="0.2">
      <c r="A4" s="161"/>
      <c r="B4" s="76">
        <v>22</v>
      </c>
      <c r="C4" s="75" t="s">
        <v>135</v>
      </c>
      <c r="D4" s="77">
        <v>43</v>
      </c>
      <c r="E4" s="78">
        <f>References!$B$7</f>
        <v>4.333333333333333</v>
      </c>
      <c r="F4" s="77">
        <f t="shared" si="0"/>
        <v>2236</v>
      </c>
      <c r="G4" s="61">
        <v>10</v>
      </c>
      <c r="H4" s="77">
        <f t="shared" si="6"/>
        <v>22360</v>
      </c>
      <c r="I4" s="79">
        <f t="shared" si="1"/>
        <v>16375.811184004906</v>
      </c>
      <c r="J4" s="80">
        <f>(References!$C$49*I4)</f>
        <v>120.03469597875579</v>
      </c>
      <c r="K4" s="80">
        <f>J4/References!$G$52</f>
        <v>123.3988533903587</v>
      </c>
      <c r="L4" s="80">
        <f t="shared" si="2"/>
        <v>0.23914506470999747</v>
      </c>
      <c r="M4" s="148">
        <v>10.345328434800273</v>
      </c>
      <c r="N4" s="81">
        <f t="shared" ref="N4:N16" si="9">L4+M4</f>
        <v>10.58447349951027</v>
      </c>
      <c r="O4" s="82">
        <f t="shared" si="3"/>
        <v>5338.1894723569403</v>
      </c>
      <c r="P4" s="83">
        <f t="shared" si="4"/>
        <v>10.58447349951027</v>
      </c>
      <c r="Q4" s="153">
        <f t="shared" si="7"/>
        <v>5461.5883257472997</v>
      </c>
      <c r="R4" s="153">
        <f t="shared" si="5"/>
        <v>123.39885339035936</v>
      </c>
      <c r="T4" s="147">
        <f t="shared" si="8"/>
        <v>2.3116237074267021E-2</v>
      </c>
      <c r="V4" s="113"/>
    </row>
    <row r="5" spans="1:22" x14ac:dyDescent="0.2">
      <c r="A5" s="161"/>
      <c r="B5" s="76">
        <v>22</v>
      </c>
      <c r="C5" s="75" t="s">
        <v>101</v>
      </c>
      <c r="D5" s="77">
        <v>550</v>
      </c>
      <c r="E5" s="78">
        <f>References!$B$7</f>
        <v>4.333333333333333</v>
      </c>
      <c r="F5" s="77">
        <f t="shared" si="0"/>
        <v>28599.999999999996</v>
      </c>
      <c r="G5" s="61">
        <f>References!B13</f>
        <v>20</v>
      </c>
      <c r="H5" s="77">
        <f t="shared" si="6"/>
        <v>571999.99999999988</v>
      </c>
      <c r="I5" s="79">
        <f t="shared" si="1"/>
        <v>418916.1000559394</v>
      </c>
      <c r="J5" s="80">
        <f>(References!$C$49*I5)</f>
        <v>3070.6550134100312</v>
      </c>
      <c r="K5" s="80">
        <f>J5/References!$G$52</f>
        <v>3156.7148541719657</v>
      </c>
      <c r="L5" s="80">
        <f t="shared" si="2"/>
        <v>0.47829012941999488</v>
      </c>
      <c r="M5" s="148">
        <v>12.290656869600541</v>
      </c>
      <c r="N5" s="81">
        <f t="shared" si="9"/>
        <v>12.768946999020535</v>
      </c>
      <c r="O5" s="82">
        <f t="shared" si="3"/>
        <v>81118.335339363577</v>
      </c>
      <c r="P5" s="83">
        <f t="shared" si="4"/>
        <v>12.768946999020535</v>
      </c>
      <c r="Q5" s="153">
        <f t="shared" si="7"/>
        <v>84275.050193535528</v>
      </c>
      <c r="R5" s="153">
        <f t="shared" si="5"/>
        <v>3156.7148541719507</v>
      </c>
      <c r="T5" s="147">
        <f t="shared" si="8"/>
        <v>3.8914936320693094E-2</v>
      </c>
      <c r="V5" s="113"/>
    </row>
    <row r="6" spans="1:22" x14ac:dyDescent="0.2">
      <c r="A6" s="161"/>
      <c r="B6" s="76">
        <v>22</v>
      </c>
      <c r="C6" s="75" t="s">
        <v>103</v>
      </c>
      <c r="D6" s="77">
        <v>1893</v>
      </c>
      <c r="E6" s="78">
        <f>References!$B$7</f>
        <v>4.333333333333333</v>
      </c>
      <c r="F6" s="77">
        <f t="shared" si="0"/>
        <v>98436</v>
      </c>
      <c r="G6" s="61">
        <f>References!B14</f>
        <v>34</v>
      </c>
      <c r="H6" s="77">
        <f t="shared" si="6"/>
        <v>3346824</v>
      </c>
      <c r="I6" s="79">
        <f t="shared" si="1"/>
        <v>2451116.1847091252</v>
      </c>
      <c r="J6" s="80">
        <f>(References!$C$49*I6)</f>
        <v>17966.681633917862</v>
      </c>
      <c r="K6" s="80">
        <f>J6/References!$G$52</f>
        <v>18470.22558583783</v>
      </c>
      <c r="L6" s="80">
        <f t="shared" si="2"/>
        <v>0.81309322001399142</v>
      </c>
      <c r="M6" s="148">
        <v>20.582116678320922</v>
      </c>
      <c r="N6" s="81">
        <f t="shared" si="9"/>
        <v>21.395209898334915</v>
      </c>
      <c r="O6" s="82">
        <f t="shared" si="3"/>
        <v>467543.36246473808</v>
      </c>
      <c r="P6" s="83">
        <f t="shared" si="4"/>
        <v>21.395209898334915</v>
      </c>
      <c r="Q6" s="153">
        <f t="shared" si="7"/>
        <v>486013.58805057593</v>
      </c>
      <c r="R6" s="153">
        <f t="shared" si="5"/>
        <v>18470.225585837848</v>
      </c>
      <c r="T6" s="147">
        <f t="shared" si="8"/>
        <v>3.9504839697581895E-2</v>
      </c>
      <c r="V6" s="113"/>
    </row>
    <row r="7" spans="1:22" x14ac:dyDescent="0.2">
      <c r="A7" s="161"/>
      <c r="B7" s="76">
        <v>22</v>
      </c>
      <c r="C7" s="75" t="s">
        <v>104</v>
      </c>
      <c r="D7" s="77">
        <v>147</v>
      </c>
      <c r="E7" s="78">
        <f>References!$B$7</f>
        <v>4.333333333333333</v>
      </c>
      <c r="F7" s="77">
        <f t="shared" si="0"/>
        <v>7644</v>
      </c>
      <c r="G7" s="61">
        <f>References!B15</f>
        <v>51</v>
      </c>
      <c r="H7" s="77">
        <f t="shared" si="6"/>
        <v>389844</v>
      </c>
      <c r="I7" s="79">
        <f t="shared" si="1"/>
        <v>285510.36382903438</v>
      </c>
      <c r="J7" s="80">
        <f>(References!$C$49*I7)</f>
        <v>2092.790966866819</v>
      </c>
      <c r="K7" s="80">
        <f>J7/References!$G$52</f>
        <v>2151.4446601570212</v>
      </c>
      <c r="L7" s="80">
        <f t="shared" si="2"/>
        <v>1.219639830020987</v>
      </c>
      <c r="M7" s="148">
        <v>31.368175017481384</v>
      </c>
      <c r="N7" s="81">
        <f t="shared" si="9"/>
        <v>32.587814847502372</v>
      </c>
      <c r="O7" s="82">
        <f t="shared" si="3"/>
        <v>55333.460730837163</v>
      </c>
      <c r="P7" s="83">
        <f t="shared" si="4"/>
        <v>32.587814847502372</v>
      </c>
      <c r="Q7" s="153">
        <f t="shared" si="7"/>
        <v>57484.905390994179</v>
      </c>
      <c r="R7" s="153">
        <f t="shared" si="5"/>
        <v>2151.4446601570162</v>
      </c>
      <c r="T7" s="147">
        <f t="shared" si="8"/>
        <v>3.8881440483588436E-2</v>
      </c>
      <c r="V7" s="113"/>
    </row>
    <row r="8" spans="1:22" x14ac:dyDescent="0.2">
      <c r="A8" s="161"/>
      <c r="B8" s="76">
        <v>22</v>
      </c>
      <c r="C8" s="75" t="s">
        <v>105</v>
      </c>
      <c r="D8" s="77">
        <v>7</v>
      </c>
      <c r="E8" s="78">
        <f>References!$B$7</f>
        <v>4.333333333333333</v>
      </c>
      <c r="F8" s="77">
        <f t="shared" si="0"/>
        <v>364</v>
      </c>
      <c r="G8" s="61">
        <f>References!B16</f>
        <v>77</v>
      </c>
      <c r="H8" s="77">
        <f t="shared" si="6"/>
        <v>28028</v>
      </c>
      <c r="I8" s="79">
        <f t="shared" si="1"/>
        <v>20526.888902741033</v>
      </c>
      <c r="J8" s="80">
        <f>(References!$C$49*I8)</f>
        <v>150.46209565709157</v>
      </c>
      <c r="K8" s="80">
        <f>J8/References!$G$52</f>
        <v>154.67902785442635</v>
      </c>
      <c r="L8" s="80">
        <f t="shared" si="2"/>
        <v>1.8414169982669801</v>
      </c>
      <c r="M8" s="148">
        <v>42.668028947962085</v>
      </c>
      <c r="N8" s="81">
        <f t="shared" si="9"/>
        <v>44.509445946229064</v>
      </c>
      <c r="O8" s="82">
        <f t="shared" si="3"/>
        <v>3584.1144316288155</v>
      </c>
      <c r="P8" s="83">
        <f t="shared" si="4"/>
        <v>44.509445946229064</v>
      </c>
      <c r="Q8" s="153">
        <f t="shared" si="7"/>
        <v>3738.7934594832413</v>
      </c>
      <c r="R8" s="153">
        <f t="shared" si="5"/>
        <v>154.67902785442584</v>
      </c>
      <c r="T8" s="147">
        <f t="shared" si="8"/>
        <v>4.3156832965328018E-2</v>
      </c>
      <c r="V8" s="113"/>
    </row>
    <row r="9" spans="1:22" x14ac:dyDescent="0.2">
      <c r="A9" s="161"/>
      <c r="B9" s="76">
        <v>22</v>
      </c>
      <c r="C9" s="75" t="s">
        <v>106</v>
      </c>
      <c r="D9" s="77">
        <v>2</v>
      </c>
      <c r="E9" s="78">
        <f>References!$B$7</f>
        <v>4.333333333333333</v>
      </c>
      <c r="F9" s="77">
        <f t="shared" si="0"/>
        <v>104</v>
      </c>
      <c r="G9" s="61">
        <f>References!B17</f>
        <v>97</v>
      </c>
      <c r="H9" s="77">
        <f t="shared" si="6"/>
        <v>10088</v>
      </c>
      <c r="I9" s="79">
        <f t="shared" si="1"/>
        <v>7388.1566737138419</v>
      </c>
      <c r="J9" s="80">
        <f>(References!$C$49*I9)</f>
        <v>54.155188418322382</v>
      </c>
      <c r="K9" s="80">
        <f>J9/References!$G$52</f>
        <v>55.672971064487413</v>
      </c>
      <c r="L9" s="80">
        <f t="shared" si="2"/>
        <v>2.3197071276869754</v>
      </c>
      <c r="M9" s="148">
        <v>53.60868581756263</v>
      </c>
      <c r="N9" s="81">
        <f t="shared" si="9"/>
        <v>55.928392945249605</v>
      </c>
      <c r="O9" s="82">
        <f t="shared" si="3"/>
        <v>1286.6084596215032</v>
      </c>
      <c r="P9" s="83">
        <f t="shared" si="4"/>
        <v>55.928392945249605</v>
      </c>
      <c r="Q9" s="153">
        <f t="shared" si="7"/>
        <v>1342.2814306859905</v>
      </c>
      <c r="R9" s="153">
        <f t="shared" si="5"/>
        <v>55.672971064487228</v>
      </c>
      <c r="T9" s="147">
        <f t="shared" si="8"/>
        <v>4.3271106021536276E-2</v>
      </c>
      <c r="V9" s="113"/>
    </row>
    <row r="10" spans="1:22" x14ac:dyDescent="0.2">
      <c r="A10" s="161"/>
      <c r="B10" s="76">
        <v>22</v>
      </c>
      <c r="C10" s="75" t="s">
        <v>174</v>
      </c>
      <c r="D10" s="77">
        <v>20</v>
      </c>
      <c r="E10" s="78">
        <f>References!$B$9</f>
        <v>1</v>
      </c>
      <c r="F10" s="77">
        <f t="shared" ref="F10" si="10">D10*E10*12</f>
        <v>240</v>
      </c>
      <c r="G10" s="61">
        <f>+References!B13</f>
        <v>20</v>
      </c>
      <c r="H10" s="77">
        <f t="shared" ref="H10" si="11">G10*F10</f>
        <v>4800</v>
      </c>
      <c r="I10" s="79">
        <f t="shared" si="1"/>
        <v>3515.3798606092823</v>
      </c>
      <c r="J10" s="80">
        <f>(References!$C$49*I10)</f>
        <v>25.767734378266002</v>
      </c>
      <c r="K10" s="80">
        <f>J10/References!$G$52</f>
        <v>26.489914860184335</v>
      </c>
      <c r="L10" s="80">
        <f t="shared" ref="L10" si="12">(K10/F10)*E10</f>
        <v>0.11037464525076807</v>
      </c>
      <c r="M10" s="148">
        <v>9.3793823545232016</v>
      </c>
      <c r="N10" s="81">
        <f t="shared" ref="N10" si="13">L10+M10</f>
        <v>9.4897569997739701</v>
      </c>
      <c r="O10" s="82">
        <f t="shared" ref="O10" si="14">D10*M10*12</f>
        <v>2251.0517650855681</v>
      </c>
      <c r="P10" s="83">
        <f t="shared" ref="P10" si="15">N10</f>
        <v>9.4897569997739701</v>
      </c>
      <c r="Q10" s="153">
        <f t="shared" ref="Q10" si="16">D10*N10*12</f>
        <v>2277.541679945753</v>
      </c>
      <c r="R10" s="153">
        <f t="shared" ref="R10" si="17">Q10-O10</f>
        <v>26.489914860184854</v>
      </c>
      <c r="T10" s="147">
        <f t="shared" ref="T10:T12" si="18">+N10/M10-1</f>
        <v>1.1767794624295336E-2</v>
      </c>
      <c r="V10" s="113"/>
    </row>
    <row r="11" spans="1:22" x14ac:dyDescent="0.2">
      <c r="A11" s="161"/>
      <c r="B11" s="76">
        <v>22</v>
      </c>
      <c r="C11" s="75" t="s">
        <v>175</v>
      </c>
      <c r="D11" s="77">
        <v>54</v>
      </c>
      <c r="E11" s="78">
        <f>References!$B$9</f>
        <v>1</v>
      </c>
      <c r="F11" s="77">
        <f t="shared" ref="F11" si="19">D11*E11*12</f>
        <v>648</v>
      </c>
      <c r="G11" s="61">
        <f>+References!B14</f>
        <v>34</v>
      </c>
      <c r="H11" s="77">
        <f t="shared" ref="H11" si="20">G11*F11</f>
        <v>22032</v>
      </c>
      <c r="I11" s="79">
        <f t="shared" si="1"/>
        <v>16135.593560196605</v>
      </c>
      <c r="J11" s="80">
        <f>(References!$C$49*I11)</f>
        <v>118.27390079624094</v>
      </c>
      <c r="K11" s="80">
        <f>J11/References!$G$52</f>
        <v>121.58870920824609</v>
      </c>
      <c r="L11" s="80">
        <f t="shared" ref="L11" si="21">(K11/F11)*E11</f>
        <v>0.1876368969263057</v>
      </c>
      <c r="M11" s="148">
        <v>10.428950002689444</v>
      </c>
      <c r="N11" s="81">
        <f t="shared" ref="N11" si="22">L11+M11</f>
        <v>10.616586899615749</v>
      </c>
      <c r="O11" s="82">
        <f t="shared" ref="O11" si="23">D11*M11*12</f>
        <v>6757.9596017427593</v>
      </c>
      <c r="P11" s="83">
        <f t="shared" ref="P11" si="24">N11</f>
        <v>10.616586899615749</v>
      </c>
      <c r="Q11" s="153">
        <f t="shared" ref="Q11" si="25">D11*N11*12</f>
        <v>6879.5483109510042</v>
      </c>
      <c r="R11" s="153">
        <f t="shared" ref="R11" si="26">Q11-O11</f>
        <v>121.58870920824484</v>
      </c>
      <c r="T11" s="147">
        <f t="shared" si="18"/>
        <v>1.7991926021115878E-2</v>
      </c>
      <c r="V11" s="113"/>
    </row>
    <row r="12" spans="1:22" x14ac:dyDescent="0.2">
      <c r="A12" s="161"/>
      <c r="B12" s="76">
        <v>22</v>
      </c>
      <c r="C12" s="75" t="s">
        <v>107</v>
      </c>
      <c r="D12" s="77">
        <v>2758</v>
      </c>
      <c r="E12" s="78">
        <f>References!$B$7</f>
        <v>4.333333333333333</v>
      </c>
      <c r="F12" s="77">
        <f t="shared" si="0"/>
        <v>143416</v>
      </c>
      <c r="G12" s="61">
        <f>References!B13</f>
        <v>20</v>
      </c>
      <c r="H12" s="77">
        <f t="shared" si="6"/>
        <v>2868320</v>
      </c>
      <c r="I12" s="79">
        <f t="shared" si="1"/>
        <v>2100673.82537142</v>
      </c>
      <c r="J12" s="80">
        <f>(References!$C$49*I12)</f>
        <v>15397.939139972486</v>
      </c>
      <c r="K12" s="80">
        <f>J12/References!$G$52</f>
        <v>15829.490123284151</v>
      </c>
      <c r="L12" s="80">
        <f t="shared" si="2"/>
        <v>0.47829012941999488</v>
      </c>
      <c r="M12" s="148">
        <v>14.450656869600541</v>
      </c>
      <c r="N12" s="81">
        <f t="shared" si="9"/>
        <v>14.928946999020535</v>
      </c>
      <c r="O12" s="82">
        <f t="shared" si="3"/>
        <v>478258.93975629949</v>
      </c>
      <c r="P12" s="83">
        <f t="shared" si="4"/>
        <v>14.928946999020535</v>
      </c>
      <c r="Q12" s="153">
        <f t="shared" si="7"/>
        <v>494088.42987958365</v>
      </c>
      <c r="R12" s="153">
        <f t="shared" si="5"/>
        <v>15829.490123284166</v>
      </c>
      <c r="T12" s="147">
        <f t="shared" si="18"/>
        <v>3.3098158356120067E-2</v>
      </c>
      <c r="V12" s="113"/>
    </row>
    <row r="13" spans="1:22" x14ac:dyDescent="0.2">
      <c r="A13" s="84"/>
      <c r="B13" s="76">
        <v>22</v>
      </c>
      <c r="C13" s="75" t="s">
        <v>108</v>
      </c>
      <c r="D13" s="77">
        <f>7225+4+4</f>
        <v>7233</v>
      </c>
      <c r="E13" s="78">
        <f>References!$B$7</f>
        <v>4.333333333333333</v>
      </c>
      <c r="F13" s="77">
        <f t="shared" ref="F13:F15" si="27">D13*E13*12</f>
        <v>376115.99999999994</v>
      </c>
      <c r="G13" s="61">
        <f>References!B20</f>
        <v>37</v>
      </c>
      <c r="H13" s="77">
        <f t="shared" ref="H13:H15" si="28">G13*F13</f>
        <v>13916291.999999998</v>
      </c>
      <c r="I13" s="79">
        <f t="shared" si="1"/>
        <v>10191885.964824596</v>
      </c>
      <c r="J13" s="80">
        <f>(References!$C$49*I13)</f>
        <v>74706.524122164177</v>
      </c>
      <c r="K13" s="80">
        <f>J13/References!$G$52</f>
        <v>76800.28963530506</v>
      </c>
      <c r="L13" s="80">
        <f t="shared" ref="L13:L15" si="29">(K13/F13)*E13</f>
        <v>0.88483673942699048</v>
      </c>
      <c r="M13" s="148">
        <v>22.636715208761004</v>
      </c>
      <c r="N13" s="81">
        <f t="shared" si="9"/>
        <v>23.521551948187994</v>
      </c>
      <c r="O13" s="82">
        <f t="shared" si="3"/>
        <v>1964776.3332596202</v>
      </c>
      <c r="P13" s="83">
        <f t="shared" si="4"/>
        <v>23.521551948187994</v>
      </c>
      <c r="Q13" s="153">
        <f t="shared" si="7"/>
        <v>2041576.6228949251</v>
      </c>
      <c r="R13" s="153">
        <f t="shared" si="5"/>
        <v>76800.289635304827</v>
      </c>
      <c r="T13" s="147">
        <f t="shared" si="8"/>
        <v>3.9088566131031843E-2</v>
      </c>
      <c r="V13" s="113"/>
    </row>
    <row r="14" spans="1:22" x14ac:dyDescent="0.2">
      <c r="A14" s="84"/>
      <c r="B14" s="76">
        <v>22</v>
      </c>
      <c r="C14" s="75" t="s">
        <v>109</v>
      </c>
      <c r="D14" s="77">
        <f>4211+33+33+3+3+3+4</f>
        <v>4290</v>
      </c>
      <c r="E14" s="78">
        <f>References!$B$7</f>
        <v>4.333333333333333</v>
      </c>
      <c r="F14" s="77">
        <f t="shared" si="27"/>
        <v>223080</v>
      </c>
      <c r="G14" s="61">
        <f>References!B21</f>
        <v>47</v>
      </c>
      <c r="H14" s="77">
        <f t="shared" si="28"/>
        <v>10484760</v>
      </c>
      <c r="I14" s="79">
        <f t="shared" si="1"/>
        <v>7678732.1140253702</v>
      </c>
      <c r="J14" s="80">
        <f>(References!$C$49*I14)</f>
        <v>56285.10639580588</v>
      </c>
      <c r="K14" s="80">
        <f>J14/References!$G$52</f>
        <v>57862.583276972138</v>
      </c>
      <c r="L14" s="80">
        <f t="shared" si="29"/>
        <v>1.123981804136988</v>
      </c>
      <c r="M14" s="148">
        <v>32.972043643561278</v>
      </c>
      <c r="N14" s="81">
        <f t="shared" si="9"/>
        <v>34.096025447698267</v>
      </c>
      <c r="O14" s="82">
        <f t="shared" si="3"/>
        <v>1697400.8067705345</v>
      </c>
      <c r="P14" s="83">
        <f t="shared" si="4"/>
        <v>34.096025447698267</v>
      </c>
      <c r="Q14" s="153">
        <f t="shared" si="7"/>
        <v>1755263.3900475069</v>
      </c>
      <c r="R14" s="153">
        <f t="shared" si="5"/>
        <v>57862.583276972407</v>
      </c>
      <c r="T14" s="147">
        <f t="shared" si="8"/>
        <v>3.4088933530708854E-2</v>
      </c>
      <c r="V14" s="113"/>
    </row>
    <row r="15" spans="1:22" x14ac:dyDescent="0.2">
      <c r="A15" s="84"/>
      <c r="B15" s="76">
        <v>22</v>
      </c>
      <c r="C15" s="75" t="s">
        <v>110</v>
      </c>
      <c r="D15" s="77">
        <f>1167+43+43+2+2+2</f>
        <v>1259</v>
      </c>
      <c r="E15" s="78">
        <f>References!$B$7</f>
        <v>4.333333333333333</v>
      </c>
      <c r="F15" s="77">
        <f t="shared" si="27"/>
        <v>65467.999999999993</v>
      </c>
      <c r="G15" s="61">
        <f>References!B22</f>
        <v>68</v>
      </c>
      <c r="H15" s="77">
        <f t="shared" si="28"/>
        <v>4451823.9999999991</v>
      </c>
      <c r="I15" s="79">
        <f t="shared" si="1"/>
        <v>3260385.9234535531</v>
      </c>
      <c r="J15" s="80">
        <f>(References!$C$49*I15)</f>
        <v>23898.628818914509</v>
      </c>
      <c r="K15" s="80">
        <f>J15/References!$G$52</f>
        <v>24568.424735942757</v>
      </c>
      <c r="L15" s="80">
        <f t="shared" si="29"/>
        <v>1.6261864400279824</v>
      </c>
      <c r="M15" s="148">
        <v>45.834233356641839</v>
      </c>
      <c r="N15" s="81">
        <f t="shared" si="9"/>
        <v>47.460419796669818</v>
      </c>
      <c r="O15" s="82">
        <f t="shared" si="3"/>
        <v>692463.5975521449</v>
      </c>
      <c r="P15" s="83">
        <f t="shared" si="4"/>
        <v>47.460419796669818</v>
      </c>
      <c r="Q15" s="153">
        <f t="shared" si="7"/>
        <v>717032.02228808752</v>
      </c>
      <c r="R15" s="153">
        <f t="shared" si="5"/>
        <v>24568.424735942623</v>
      </c>
      <c r="T15" s="147">
        <f t="shared" si="8"/>
        <v>3.5479734707776656E-2</v>
      </c>
      <c r="V15" s="113"/>
    </row>
    <row r="16" spans="1:22" x14ac:dyDescent="0.2">
      <c r="A16" s="84"/>
      <c r="B16" s="76">
        <v>23</v>
      </c>
      <c r="C16" s="75" t="s">
        <v>111</v>
      </c>
      <c r="D16" s="77">
        <v>2197</v>
      </c>
      <c r="E16" s="78">
        <f>References!$B$9</f>
        <v>1</v>
      </c>
      <c r="F16" s="77">
        <f t="shared" si="0"/>
        <v>26364</v>
      </c>
      <c r="G16" s="61">
        <f>References!B24</f>
        <v>34</v>
      </c>
      <c r="H16" s="77">
        <f t="shared" si="6"/>
        <v>896376</v>
      </c>
      <c r="I16" s="79">
        <f t="shared" si="1"/>
        <v>656479.61206948035</v>
      </c>
      <c r="J16" s="80">
        <f>(References!$C$49*I16)</f>
        <v>4811.9955564692837</v>
      </c>
      <c r="K16" s="80">
        <f>J16/References!$G$52</f>
        <v>4946.8591505651229</v>
      </c>
      <c r="L16" s="80">
        <f t="shared" si="2"/>
        <v>0.18763689692630567</v>
      </c>
      <c r="M16" s="148">
        <v>5.8689500026894441</v>
      </c>
      <c r="N16" s="81">
        <f t="shared" si="9"/>
        <v>6.0565868996157501</v>
      </c>
      <c r="O16" s="82">
        <f t="shared" si="3"/>
        <v>154728.99787090451</v>
      </c>
      <c r="P16" s="83">
        <f t="shared" si="4"/>
        <v>6.0565868996157501</v>
      </c>
      <c r="Q16" s="153">
        <f t="shared" si="7"/>
        <v>159675.85702146965</v>
      </c>
      <c r="R16" s="153">
        <f t="shared" si="5"/>
        <v>4946.859150565142</v>
      </c>
      <c r="T16" s="147">
        <f t="shared" si="8"/>
        <v>3.1971118656713982E-2</v>
      </c>
      <c r="V16" s="113"/>
    </row>
    <row r="17" spans="1:20" x14ac:dyDescent="0.2">
      <c r="A17" s="85"/>
      <c r="B17" s="86"/>
      <c r="C17" s="87" t="s">
        <v>31</v>
      </c>
      <c r="D17" s="88">
        <f>SUM(D2:D16)</f>
        <v>20586</v>
      </c>
      <c r="E17" s="89"/>
      <c r="F17" s="90">
        <f>SUM(F2:F16)</f>
        <v>974312</v>
      </c>
      <c r="G17" s="91"/>
      <c r="H17" s="92">
        <f>SUM(H2:H16)</f>
        <v>37064116</v>
      </c>
      <c r="I17" s="93">
        <f>SUM(I2:I16)</f>
        <v>27144676.445351306</v>
      </c>
      <c r="J17" s="86"/>
      <c r="K17" s="86"/>
      <c r="L17" s="95"/>
      <c r="M17" s="86"/>
      <c r="N17" s="86"/>
      <c r="O17" s="94">
        <f>SUM(O2:O16)</f>
        <v>5625363.195820054</v>
      </c>
      <c r="P17" s="95"/>
      <c r="Q17" s="154">
        <f>SUM(Q2:Q16)</f>
        <v>5829910.1285717208</v>
      </c>
      <c r="R17" s="154">
        <f>SUM(R2:R16)</f>
        <v>204546.93275166574</v>
      </c>
      <c r="T17" s="156">
        <f>+R17/O17</f>
        <v>3.6361551357902554E-2</v>
      </c>
    </row>
    <row r="18" spans="1:20" x14ac:dyDescent="0.2">
      <c r="A18" s="161"/>
      <c r="B18" s="76" t="s">
        <v>172</v>
      </c>
      <c r="C18" s="75" t="s">
        <v>112</v>
      </c>
      <c r="D18" s="96"/>
      <c r="E18" s="96"/>
      <c r="F18" s="62">
        <v>5044</v>
      </c>
      <c r="G18" s="61">
        <f>References!B26</f>
        <v>29</v>
      </c>
      <c r="H18" s="63">
        <f t="shared" ref="H18:H30" si="30">F18*G18</f>
        <v>146276</v>
      </c>
      <c r="I18" s="79">
        <f t="shared" ref="I18:I31" si="31">$C$85*H18</f>
        <v>107128.2717688507</v>
      </c>
      <c r="J18" s="80">
        <f>References!$C$49*I18</f>
        <v>785.25023206567448</v>
      </c>
      <c r="K18" s="80">
        <f>J18/References!$G$52</f>
        <v>807.25808043506743</v>
      </c>
      <c r="L18" s="80">
        <f t="shared" ref="L18:L30" si="32">K18/F18</f>
        <v>0.16004323561361369</v>
      </c>
      <c r="M18" s="148">
        <v>5.014104414058643</v>
      </c>
      <c r="N18" s="81">
        <f t="shared" ref="N18:N31" si="33">L18+M18</f>
        <v>5.1741476496722569</v>
      </c>
      <c r="O18" s="82">
        <f t="shared" ref="O18:O31" si="34">F18*M18</f>
        <v>25291.142664511797</v>
      </c>
      <c r="P18" s="83">
        <f t="shared" ref="P18:P31" si="35">N18</f>
        <v>5.1741476496722569</v>
      </c>
      <c r="Q18" s="153">
        <f t="shared" ref="Q18:Q31" si="36">F18*N18</f>
        <v>26098.400744946863</v>
      </c>
      <c r="R18" s="153">
        <f t="shared" ref="R18:R31" si="37">Q18-O18</f>
        <v>807.25808043506549</v>
      </c>
      <c r="T18" s="147">
        <f t="shared" si="8"/>
        <v>3.1918608468719079E-2</v>
      </c>
    </row>
    <row r="19" spans="1:20" x14ac:dyDescent="0.2">
      <c r="A19" s="161"/>
      <c r="B19" s="76" t="s">
        <v>171</v>
      </c>
      <c r="C19" s="75" t="s">
        <v>113</v>
      </c>
      <c r="D19" s="96"/>
      <c r="E19" s="96"/>
      <c r="F19" s="62">
        <v>7981</v>
      </c>
      <c r="G19" s="61">
        <f>References!B20</f>
        <v>37</v>
      </c>
      <c r="H19" s="63">
        <f>F19*G19</f>
        <v>295297</v>
      </c>
      <c r="I19" s="79">
        <f t="shared" si="31"/>
        <v>216266.90139548734</v>
      </c>
      <c r="J19" s="80">
        <f>References!$C$49*I19</f>
        <v>1585.23638722892</v>
      </c>
      <c r="K19" s="80">
        <f>J19/References!$G$52</f>
        <v>1629.6650809308028</v>
      </c>
      <c r="L19" s="80">
        <f>K19/F19</f>
        <v>0.20419309371392091</v>
      </c>
      <c r="M19" s="148">
        <v>5.2238573558679242</v>
      </c>
      <c r="N19" s="81">
        <f t="shared" si="33"/>
        <v>5.4280504495818453</v>
      </c>
      <c r="O19" s="82">
        <f t="shared" si="34"/>
        <v>41691.605557181902</v>
      </c>
      <c r="P19" s="83">
        <f t="shared" si="35"/>
        <v>5.4280504495818453</v>
      </c>
      <c r="Q19" s="153">
        <f t="shared" si="36"/>
        <v>43321.270638112706</v>
      </c>
      <c r="R19" s="153">
        <f t="shared" si="37"/>
        <v>1629.6650809308048</v>
      </c>
      <c r="T19" s="147">
        <f t="shared" si="8"/>
        <v>3.9088566131032065E-2</v>
      </c>
    </row>
    <row r="20" spans="1:20" x14ac:dyDescent="0.2">
      <c r="A20" s="161"/>
      <c r="B20" s="76" t="s">
        <v>171</v>
      </c>
      <c r="C20" s="75" t="s">
        <v>114</v>
      </c>
      <c r="D20" s="96"/>
      <c r="E20" s="96"/>
      <c r="F20" s="62">
        <v>1924</v>
      </c>
      <c r="G20" s="61">
        <f>References!B21</f>
        <v>47</v>
      </c>
      <c r="H20" s="63">
        <f t="shared" si="30"/>
        <v>90428</v>
      </c>
      <c r="I20" s="79">
        <f t="shared" si="31"/>
        <v>66226.827090661696</v>
      </c>
      <c r="J20" s="80">
        <f>References!$C$49*I20</f>
        <v>485.44264257454955</v>
      </c>
      <c r="K20" s="80">
        <f>J20/References!$G$52</f>
        <v>499.04792103682269</v>
      </c>
      <c r="L20" s="80">
        <f t="shared" si="32"/>
        <v>0.25938041633930492</v>
      </c>
      <c r="M20" s="148">
        <v>8.3635485331295261</v>
      </c>
      <c r="N20" s="81">
        <f t="shared" si="33"/>
        <v>8.6229289494688306</v>
      </c>
      <c r="O20" s="82">
        <f t="shared" si="34"/>
        <v>16091.467377741208</v>
      </c>
      <c r="P20" s="83">
        <f t="shared" si="35"/>
        <v>8.6229289494688306</v>
      </c>
      <c r="Q20" s="153">
        <f t="shared" si="36"/>
        <v>16590.515298778031</v>
      </c>
      <c r="R20" s="153">
        <f t="shared" si="37"/>
        <v>499.04792103682303</v>
      </c>
      <c r="T20" s="147">
        <f t="shared" si="8"/>
        <v>3.1013201550974756E-2</v>
      </c>
    </row>
    <row r="21" spans="1:20" x14ac:dyDescent="0.2">
      <c r="A21" s="161"/>
      <c r="B21" s="76" t="s">
        <v>171</v>
      </c>
      <c r="C21" s="75" t="s">
        <v>115</v>
      </c>
      <c r="D21" s="96"/>
      <c r="E21" s="96"/>
      <c r="F21" s="62">
        <v>6032</v>
      </c>
      <c r="G21" s="61">
        <f>References!B22</f>
        <v>68</v>
      </c>
      <c r="H21" s="63">
        <f t="shared" si="30"/>
        <v>410176</v>
      </c>
      <c r="I21" s="79">
        <f t="shared" si="31"/>
        <v>300400.92702193186</v>
      </c>
      <c r="J21" s="80">
        <f>References!$C$49*I21</f>
        <v>2201.9387950707574</v>
      </c>
      <c r="K21" s="80">
        <f>J21/References!$G$52</f>
        <v>2263.6515245189521</v>
      </c>
      <c r="L21" s="80">
        <f t="shared" si="32"/>
        <v>0.37527379385261145</v>
      </c>
      <c r="M21" s="148">
        <v>10.867900005378887</v>
      </c>
      <c r="N21" s="81">
        <f t="shared" si="33"/>
        <v>11.243173799231499</v>
      </c>
      <c r="O21" s="82">
        <f t="shared" si="34"/>
        <v>65555.172832445445</v>
      </c>
      <c r="P21" s="83">
        <f t="shared" si="35"/>
        <v>11.243173799231499</v>
      </c>
      <c r="Q21" s="153">
        <f t="shared" si="36"/>
        <v>67818.824356964411</v>
      </c>
      <c r="R21" s="153">
        <f t="shared" si="37"/>
        <v>2263.6515245189657</v>
      </c>
      <c r="T21" s="147">
        <f t="shared" si="8"/>
        <v>3.4530479086748667E-2</v>
      </c>
    </row>
    <row r="22" spans="1:20" x14ac:dyDescent="0.2">
      <c r="A22" s="161"/>
      <c r="B22" s="76" t="s">
        <v>173</v>
      </c>
      <c r="C22" s="75" t="s">
        <v>116</v>
      </c>
      <c r="D22" s="96"/>
      <c r="E22" s="96"/>
      <c r="F22" s="62">
        <v>6849</v>
      </c>
      <c r="G22" s="61">
        <f>References!B27</f>
        <v>175</v>
      </c>
      <c r="H22" s="63">
        <f t="shared" si="30"/>
        <v>1198575</v>
      </c>
      <c r="I22" s="79">
        <f t="shared" si="31"/>
        <v>877801.33675620216</v>
      </c>
      <c r="J22" s="80">
        <f>References!$C$49*I22</f>
        <v>6434.2837984229527</v>
      </c>
      <c r="K22" s="80">
        <f>J22/References!$G$52</f>
        <v>6614.6145215719662</v>
      </c>
      <c r="L22" s="80">
        <f t="shared" si="32"/>
        <v>0.96577814594422051</v>
      </c>
      <c r="M22" s="148">
        <v>20.749595602078017</v>
      </c>
      <c r="N22" s="81">
        <f t="shared" si="33"/>
        <v>21.715373748022238</v>
      </c>
      <c r="O22" s="82">
        <f t="shared" si="34"/>
        <v>142113.98027863234</v>
      </c>
      <c r="P22" s="83">
        <f t="shared" si="35"/>
        <v>21.715373748022238</v>
      </c>
      <c r="Q22" s="153">
        <f t="shared" si="36"/>
        <v>148728.5948002043</v>
      </c>
      <c r="R22" s="153">
        <f t="shared" si="37"/>
        <v>6614.6145215719589</v>
      </c>
      <c r="T22" s="147">
        <f t="shared" si="8"/>
        <v>4.6544432212813902E-2</v>
      </c>
    </row>
    <row r="23" spans="1:20" x14ac:dyDescent="0.2">
      <c r="A23" s="161"/>
      <c r="B23" s="76" t="s">
        <v>173</v>
      </c>
      <c r="C23" s="75" t="s">
        <v>117</v>
      </c>
      <c r="D23" s="96"/>
      <c r="E23" s="96"/>
      <c r="F23" s="62">
        <v>2990</v>
      </c>
      <c r="G23" s="61">
        <f>References!B28</f>
        <v>250</v>
      </c>
      <c r="H23" s="63">
        <f t="shared" si="30"/>
        <v>747500</v>
      </c>
      <c r="I23" s="79">
        <f t="shared" si="31"/>
        <v>547447.1762094663</v>
      </c>
      <c r="J23" s="80">
        <f>References!$C$49*I23</f>
        <v>4012.7878016153823</v>
      </c>
      <c r="K23" s="80">
        <f>J23/References!$G$52</f>
        <v>4125.2523662474559</v>
      </c>
      <c r="L23" s="80">
        <f t="shared" si="32"/>
        <v>1.3796830656346006</v>
      </c>
      <c r="M23" s="148">
        <v>29.212279431540026</v>
      </c>
      <c r="N23" s="81">
        <f t="shared" si="33"/>
        <v>30.591962497174627</v>
      </c>
      <c r="O23" s="82">
        <f t="shared" si="34"/>
        <v>87344.715500304679</v>
      </c>
      <c r="P23" s="83">
        <f t="shared" si="35"/>
        <v>30.591962497174627</v>
      </c>
      <c r="Q23" s="153">
        <f t="shared" si="36"/>
        <v>91469.967866552135</v>
      </c>
      <c r="R23" s="153">
        <f t="shared" si="37"/>
        <v>4125.2523662474559</v>
      </c>
      <c r="T23" s="147">
        <f t="shared" si="8"/>
        <v>4.7229558681578965E-2</v>
      </c>
    </row>
    <row r="24" spans="1:20" x14ac:dyDescent="0.2">
      <c r="A24" s="161"/>
      <c r="B24" s="76" t="s">
        <v>173</v>
      </c>
      <c r="C24" s="75" t="s">
        <v>118</v>
      </c>
      <c r="D24" s="96"/>
      <c r="E24" s="96"/>
      <c r="F24" s="62">
        <v>8201</v>
      </c>
      <c r="G24" s="61">
        <f>References!B29</f>
        <v>324</v>
      </c>
      <c r="H24" s="63">
        <f t="shared" si="30"/>
        <v>2657124</v>
      </c>
      <c r="I24" s="79">
        <f t="shared" si="31"/>
        <v>1946000.0409878287</v>
      </c>
      <c r="J24" s="80">
        <f>References!$C$49*I24</f>
        <v>14264.180300440765</v>
      </c>
      <c r="K24" s="80">
        <f>J24/References!$G$52</f>
        <v>14663.955944365091</v>
      </c>
      <c r="L24" s="80">
        <f t="shared" si="32"/>
        <v>1.7880692530624425</v>
      </c>
      <c r="M24" s="148">
        <v>39.659994143275867</v>
      </c>
      <c r="N24" s="81">
        <f t="shared" si="33"/>
        <v>41.448063396338313</v>
      </c>
      <c r="O24" s="82">
        <f t="shared" si="34"/>
        <v>325251.61196900537</v>
      </c>
      <c r="P24" s="83">
        <f t="shared" si="35"/>
        <v>41.448063396338313</v>
      </c>
      <c r="Q24" s="153">
        <f t="shared" si="36"/>
        <v>339915.5679133705</v>
      </c>
      <c r="R24" s="153">
        <f t="shared" si="37"/>
        <v>14663.955944365123</v>
      </c>
      <c r="T24" s="147">
        <f t="shared" si="8"/>
        <v>4.5084960088568327E-2</v>
      </c>
    </row>
    <row r="25" spans="1:20" x14ac:dyDescent="0.2">
      <c r="A25" s="161"/>
      <c r="B25" s="76" t="s">
        <v>173</v>
      </c>
      <c r="C25" s="75" t="s">
        <v>119</v>
      </c>
      <c r="D25" s="96"/>
      <c r="E25" s="96"/>
      <c r="F25" s="62">
        <v>6707</v>
      </c>
      <c r="G25" s="61">
        <f>References!B30</f>
        <v>473</v>
      </c>
      <c r="H25" s="63">
        <f t="shared" si="30"/>
        <v>3172411</v>
      </c>
      <c r="I25" s="79">
        <f t="shared" si="31"/>
        <v>2323381.1956198653</v>
      </c>
      <c r="J25" s="80">
        <f>References!$C$49*I25</f>
        <v>17030.384163893588</v>
      </c>
      <c r="K25" s="80">
        <f>J25/References!$G$52</f>
        <v>17507.686935731715</v>
      </c>
      <c r="L25" s="80">
        <f t="shared" si="32"/>
        <v>2.6103603601806644</v>
      </c>
      <c r="M25" s="148">
        <v>57.850392684473732</v>
      </c>
      <c r="N25" s="81">
        <f t="shared" si="33"/>
        <v>60.460753044654396</v>
      </c>
      <c r="O25" s="82">
        <f t="shared" si="34"/>
        <v>388002.5837347653</v>
      </c>
      <c r="P25" s="83">
        <f t="shared" si="35"/>
        <v>60.460753044654396</v>
      </c>
      <c r="Q25" s="153">
        <f t="shared" si="36"/>
        <v>405510.27067049703</v>
      </c>
      <c r="R25" s="153">
        <f t="shared" si="37"/>
        <v>17507.686935731734</v>
      </c>
      <c r="T25" s="147">
        <f t="shared" si="8"/>
        <v>4.5122603997141963E-2</v>
      </c>
    </row>
    <row r="26" spans="1:20" x14ac:dyDescent="0.2">
      <c r="A26" s="161"/>
      <c r="B26" s="76" t="s">
        <v>173</v>
      </c>
      <c r="C26" s="75" t="s">
        <v>120</v>
      </c>
      <c r="D26" s="96"/>
      <c r="E26" s="96"/>
      <c r="F26" s="62">
        <v>12049</v>
      </c>
      <c r="G26" s="61">
        <f>References!B31</f>
        <v>613</v>
      </c>
      <c r="H26" s="63">
        <f t="shared" si="30"/>
        <v>7386037</v>
      </c>
      <c r="I26" s="79">
        <f t="shared" si="31"/>
        <v>5409317.8582322923</v>
      </c>
      <c r="J26" s="80">
        <f>References!$C$49*I26</f>
        <v>39650.299900842649</v>
      </c>
      <c r="K26" s="80">
        <f>J26/References!$G$52</f>
        <v>40761.560684202363</v>
      </c>
      <c r="L26" s="80">
        <f t="shared" si="32"/>
        <v>3.3829828769360413</v>
      </c>
      <c r="M26" s="148">
        <v>67.906069166136149</v>
      </c>
      <c r="N26" s="81">
        <f t="shared" si="33"/>
        <v>71.289052043072189</v>
      </c>
      <c r="O26" s="82">
        <f t="shared" si="34"/>
        <v>818200.22738277446</v>
      </c>
      <c r="P26" s="83">
        <f t="shared" si="35"/>
        <v>71.289052043072189</v>
      </c>
      <c r="Q26" s="153">
        <f t="shared" si="36"/>
        <v>858961.78806697682</v>
      </c>
      <c r="R26" s="153">
        <f t="shared" si="37"/>
        <v>40761.560684202355</v>
      </c>
      <c r="T26" s="147">
        <f t="shared" si="8"/>
        <v>4.9818564356292949E-2</v>
      </c>
    </row>
    <row r="27" spans="1:20" x14ac:dyDescent="0.2">
      <c r="A27" s="161"/>
      <c r="B27" s="76" t="s">
        <v>173</v>
      </c>
      <c r="C27" s="75" t="s">
        <v>121</v>
      </c>
      <c r="D27" s="96"/>
      <c r="E27" s="96"/>
      <c r="F27" s="62">
        <v>4536</v>
      </c>
      <c r="G27" s="61">
        <f>References!B32</f>
        <v>840</v>
      </c>
      <c r="H27" s="63">
        <f t="shared" si="30"/>
        <v>3810240</v>
      </c>
      <c r="I27" s="79">
        <f t="shared" si="31"/>
        <v>2790508.5333516481</v>
      </c>
      <c r="J27" s="80">
        <f>References!$C$49*I27</f>
        <v>20454.427549467549</v>
      </c>
      <c r="K27" s="80">
        <f>J27/References!$G$52</f>
        <v>21027.694416014321</v>
      </c>
      <c r="L27" s="80">
        <f t="shared" si="32"/>
        <v>4.6357351005322576</v>
      </c>
      <c r="M27" s="148">
        <v>94.594058889974491</v>
      </c>
      <c r="N27" s="81">
        <f t="shared" si="33"/>
        <v>99.229793990506749</v>
      </c>
      <c r="O27" s="82">
        <f t="shared" si="34"/>
        <v>429078.6511249243</v>
      </c>
      <c r="P27" s="83">
        <f t="shared" si="35"/>
        <v>99.229793990506749</v>
      </c>
      <c r="Q27" s="153">
        <f t="shared" si="36"/>
        <v>450106.34554093861</v>
      </c>
      <c r="R27" s="153">
        <f t="shared" si="37"/>
        <v>21027.694416014303</v>
      </c>
      <c r="T27" s="147">
        <f t="shared" si="8"/>
        <v>4.900662002382461E-2</v>
      </c>
    </row>
    <row r="28" spans="1:20" x14ac:dyDescent="0.2">
      <c r="A28" s="161"/>
      <c r="B28" s="76" t="s">
        <v>173</v>
      </c>
      <c r="C28" s="75" t="s">
        <v>122</v>
      </c>
      <c r="D28" s="96"/>
      <c r="E28" s="96"/>
      <c r="F28" s="62">
        <v>6474</v>
      </c>
      <c r="G28" s="61">
        <f>References!B33</f>
        <v>980</v>
      </c>
      <c r="H28" s="63">
        <f t="shared" si="30"/>
        <v>6344520</v>
      </c>
      <c r="I28" s="79">
        <f t="shared" si="31"/>
        <v>4646541.2152568344</v>
      </c>
      <c r="J28" s="80">
        <f>References!$C$49*I28</f>
        <v>34059.147107832548</v>
      </c>
      <c r="K28" s="80">
        <f>J28/References!$G$52</f>
        <v>35013.707214320151</v>
      </c>
      <c r="L28" s="80">
        <f t="shared" si="32"/>
        <v>5.4083576172876358</v>
      </c>
      <c r="M28" s="148">
        <v>118.5797353716369</v>
      </c>
      <c r="N28" s="81">
        <f t="shared" si="33"/>
        <v>123.98809298892454</v>
      </c>
      <c r="O28" s="82">
        <f t="shared" si="34"/>
        <v>767685.20679597731</v>
      </c>
      <c r="P28" s="83">
        <f t="shared" si="35"/>
        <v>123.98809298892454</v>
      </c>
      <c r="Q28" s="153">
        <f t="shared" si="36"/>
        <v>802698.91401029739</v>
      </c>
      <c r="R28" s="153">
        <f t="shared" si="37"/>
        <v>35013.707214320078</v>
      </c>
      <c r="T28" s="147">
        <f t="shared" si="8"/>
        <v>4.5609459325722801E-2</v>
      </c>
    </row>
    <row r="29" spans="1:20" x14ac:dyDescent="0.2">
      <c r="A29" s="161"/>
      <c r="B29" s="112">
        <v>30</v>
      </c>
      <c r="C29" s="75" t="s">
        <v>167</v>
      </c>
      <c r="D29" s="96"/>
      <c r="E29" s="96"/>
      <c r="F29" s="62">
        <v>1620</v>
      </c>
      <c r="G29" s="61">
        <f>+G22</f>
        <v>175</v>
      </c>
      <c r="H29" s="63">
        <f t="shared" ref="H29" si="38">F29*G29</f>
        <v>283500</v>
      </c>
      <c r="I29" s="79">
        <f t="shared" si="31"/>
        <v>207627.12301723572</v>
      </c>
      <c r="J29" s="80">
        <f>References!$C$49*I29</f>
        <v>1521.9068117163356</v>
      </c>
      <c r="K29" s="80">
        <f>J29/References!$G$52</f>
        <v>1564.5605964296371</v>
      </c>
      <c r="L29" s="80">
        <f t="shared" ref="L29" si="39">K29/F29</f>
        <v>0.96577814594422051</v>
      </c>
      <c r="M29" s="148">
        <v>22.019595602078017</v>
      </c>
      <c r="N29" s="81">
        <f t="shared" ref="N29" si="40">L29+M29</f>
        <v>22.985373748022237</v>
      </c>
      <c r="O29" s="82">
        <f t="shared" ref="O29" si="41">F29*M29</f>
        <v>35671.744875366385</v>
      </c>
      <c r="P29" s="83">
        <f t="shared" ref="P29" si="42">N29</f>
        <v>22.985373748022237</v>
      </c>
      <c r="Q29" s="153">
        <f t="shared" ref="Q29" si="43">F29*N29</f>
        <v>37236.305471796026</v>
      </c>
      <c r="R29" s="153">
        <f t="shared" ref="R29" si="44">Q29-O29</f>
        <v>1564.560596429641</v>
      </c>
      <c r="T29" s="147">
        <f t="shared" si="8"/>
        <v>4.3859940182238377E-2</v>
      </c>
    </row>
    <row r="30" spans="1:20" x14ac:dyDescent="0.2">
      <c r="A30" s="161"/>
      <c r="B30" s="76">
        <v>38</v>
      </c>
      <c r="C30" s="75" t="s">
        <v>176</v>
      </c>
      <c r="D30" s="96"/>
      <c r="E30" s="96"/>
      <c r="F30" s="62">
        <v>624</v>
      </c>
      <c r="G30" s="61">
        <f>+References!B36</f>
        <v>892</v>
      </c>
      <c r="H30" s="63">
        <f t="shared" si="30"/>
        <v>556608</v>
      </c>
      <c r="I30" s="79">
        <f t="shared" si="31"/>
        <v>407643.44863625237</v>
      </c>
      <c r="J30" s="80">
        <f>References!$C$49*I30</f>
        <v>2988.0264785037257</v>
      </c>
      <c r="K30" s="80">
        <f>J30/References!$G$52</f>
        <v>3071.7705271869754</v>
      </c>
      <c r="L30" s="80">
        <f t="shared" si="32"/>
        <v>4.9227091781842551</v>
      </c>
      <c r="M30" s="148">
        <v>129.54245301173481</v>
      </c>
      <c r="N30" s="81">
        <f t="shared" si="33"/>
        <v>134.46516218991906</v>
      </c>
      <c r="O30" s="82">
        <f t="shared" si="34"/>
        <v>80834.490679322524</v>
      </c>
      <c r="P30" s="83">
        <f t="shared" si="35"/>
        <v>134.46516218991906</v>
      </c>
      <c r="Q30" s="153">
        <f t="shared" si="36"/>
        <v>83906.261206509487</v>
      </c>
      <c r="R30" s="153">
        <f t="shared" si="37"/>
        <v>3071.7705271869636</v>
      </c>
      <c r="T30" s="147">
        <f t="shared" si="8"/>
        <v>3.8000740789880805E-2</v>
      </c>
    </row>
    <row r="31" spans="1:20" x14ac:dyDescent="0.2">
      <c r="A31" s="161"/>
      <c r="B31" s="76">
        <v>38</v>
      </c>
      <c r="C31" s="75" t="s">
        <v>123</v>
      </c>
      <c r="D31" s="96"/>
      <c r="E31" s="96"/>
      <c r="F31" s="62">
        <v>104</v>
      </c>
      <c r="G31" s="61">
        <f>+References!B37</f>
        <v>1301</v>
      </c>
      <c r="H31" s="63">
        <f t="shared" ref="H31" si="45">F31*G31</f>
        <v>135304</v>
      </c>
      <c r="I31" s="79">
        <f t="shared" si="31"/>
        <v>99092.699304141323</v>
      </c>
      <c r="J31" s="80">
        <f>References!$C$49*I31</f>
        <v>726.34948589935482</v>
      </c>
      <c r="K31" s="80">
        <f>J31/References!$G$52</f>
        <v>746.70655005049605</v>
      </c>
      <c r="L31" s="80">
        <f t="shared" ref="L31" si="46">K31/F31</f>
        <v>7.179870673562462</v>
      </c>
      <c r="M31" s="148">
        <v>190.3748221617343</v>
      </c>
      <c r="N31" s="81">
        <f t="shared" si="33"/>
        <v>197.55469283529675</v>
      </c>
      <c r="O31" s="82">
        <f t="shared" si="34"/>
        <v>19798.981504820367</v>
      </c>
      <c r="P31" s="83">
        <f t="shared" si="35"/>
        <v>197.55469283529675</v>
      </c>
      <c r="Q31" s="153">
        <f t="shared" si="36"/>
        <v>20545.688054870861</v>
      </c>
      <c r="R31" s="153">
        <f t="shared" si="37"/>
        <v>746.70655005049412</v>
      </c>
      <c r="T31" s="147">
        <f t="shared" si="8"/>
        <v>3.7714392019038812E-2</v>
      </c>
    </row>
    <row r="32" spans="1:20" x14ac:dyDescent="0.2">
      <c r="A32" s="85"/>
      <c r="B32" s="87"/>
      <c r="C32" s="87" t="s">
        <v>31</v>
      </c>
      <c r="D32" s="88">
        <f>SUM(D18:D31)</f>
        <v>0</v>
      </c>
      <c r="E32" s="88"/>
      <c r="F32" s="88">
        <f>SUM(F18:F31)</f>
        <v>71135</v>
      </c>
      <c r="G32" s="88"/>
      <c r="H32" s="88">
        <f>SUM(H18:H31)</f>
        <v>27233996</v>
      </c>
      <c r="I32" s="93">
        <f>SUM(I18:I31)</f>
        <v>19945383.554648701</v>
      </c>
      <c r="J32" s="95"/>
      <c r="K32" s="95"/>
      <c r="L32" s="95"/>
      <c r="M32" s="95"/>
      <c r="N32" s="95"/>
      <c r="O32" s="94">
        <f>SUM(O18:O31)</f>
        <v>3242611.5822777739</v>
      </c>
      <c r="P32" s="95"/>
      <c r="Q32" s="154">
        <f>SUM(Q18:Q31)</f>
        <v>3392908.7146408153</v>
      </c>
      <c r="R32" s="154">
        <f>SUM(R18:R31)</f>
        <v>150297.13236304178</v>
      </c>
      <c r="T32" s="156">
        <f>+R32/O32</f>
        <v>4.6350643161974243E-2</v>
      </c>
    </row>
    <row r="33" spans="1:20" x14ac:dyDescent="0.2">
      <c r="C33" s="98" t="s">
        <v>125</v>
      </c>
      <c r="D33" s="99">
        <f>D17+D32</f>
        <v>20586</v>
      </c>
      <c r="E33" s="99"/>
      <c r="F33" s="99">
        <f>F17+F32</f>
        <v>1045447</v>
      </c>
      <c r="G33" s="99"/>
      <c r="H33" s="99">
        <f>H17+H32</f>
        <v>64298112</v>
      </c>
      <c r="I33" s="99">
        <f>I17+I32</f>
        <v>47090060.000000007</v>
      </c>
      <c r="J33" s="80"/>
      <c r="K33" s="100"/>
      <c r="L33" s="100"/>
      <c r="M33" s="100"/>
      <c r="N33" s="100"/>
      <c r="O33" s="101">
        <f>O17+O32</f>
        <v>8867974.778097827</v>
      </c>
      <c r="P33" s="100"/>
      <c r="Q33" s="101">
        <f>Q17+Q32</f>
        <v>9222818.8432125356</v>
      </c>
      <c r="R33" s="101">
        <f>R17+R32</f>
        <v>354844.06511470751</v>
      </c>
      <c r="T33" s="156">
        <f>+R33/O33</f>
        <v>4.0014104008403738E-2</v>
      </c>
    </row>
    <row r="34" spans="1:20" x14ac:dyDescent="0.2">
      <c r="D34" s="102"/>
      <c r="I34" s="103"/>
      <c r="J34" s="104"/>
      <c r="Q34" s="143"/>
      <c r="R34" s="143"/>
    </row>
    <row r="35" spans="1:20" x14ac:dyDescent="0.2">
      <c r="D35" s="102"/>
      <c r="I35" s="103"/>
      <c r="J35" s="104"/>
      <c r="Q35" s="143"/>
      <c r="R35" s="143"/>
    </row>
    <row r="36" spans="1:20" x14ac:dyDescent="0.2">
      <c r="A36" s="105"/>
      <c r="B36" s="106" t="s">
        <v>126</v>
      </c>
      <c r="C36" s="106"/>
      <c r="D36" s="107"/>
      <c r="E36" s="105"/>
      <c r="F36" s="105"/>
      <c r="G36" s="105"/>
      <c r="H36" s="105"/>
      <c r="I36" s="108"/>
      <c r="J36" s="109"/>
      <c r="K36" s="105"/>
      <c r="L36" s="105"/>
      <c r="M36" s="105"/>
      <c r="N36" s="105"/>
      <c r="Q36" s="143"/>
      <c r="R36" s="143"/>
    </row>
    <row r="37" spans="1:20" x14ac:dyDescent="0.2">
      <c r="A37" s="162" t="s">
        <v>17</v>
      </c>
      <c r="B37" s="76">
        <v>22</v>
      </c>
      <c r="C37" s="75" t="s">
        <v>127</v>
      </c>
      <c r="D37" s="110">
        <v>1</v>
      </c>
      <c r="E37" s="96">
        <f>References!B7</f>
        <v>4.333333333333333</v>
      </c>
      <c r="F37" s="77">
        <f>D37*E37*12</f>
        <v>52</v>
      </c>
      <c r="G37" s="77">
        <f>References!B18</f>
        <v>117</v>
      </c>
      <c r="H37" s="77">
        <f>G37*F37</f>
        <v>6084</v>
      </c>
      <c r="I37" s="79">
        <f>$C$85*H37</f>
        <v>4455.7439733222654</v>
      </c>
      <c r="J37" s="80">
        <f>(References!$C$49*I37)</f>
        <v>32.660603324452161</v>
      </c>
      <c r="K37" s="80">
        <f>J37/References!$G$52</f>
        <v>33.575967085283644</v>
      </c>
      <c r="L37" s="80">
        <f t="shared" ref="L37:L38" si="47">(K37/F37)*E37</f>
        <v>2.7979972571069704</v>
      </c>
      <c r="M37" s="149">
        <v>65.339342687163168</v>
      </c>
      <c r="N37" s="81">
        <f>L37+M37</f>
        <v>68.137339944270138</v>
      </c>
      <c r="O37" s="111"/>
      <c r="P37" s="80"/>
      <c r="Q37" s="82"/>
      <c r="R37" s="82"/>
      <c r="T37" s="157">
        <f>+N37/M37-1</f>
        <v>4.2822549815100475E-2</v>
      </c>
    </row>
    <row r="38" spans="1:20" x14ac:dyDescent="0.2">
      <c r="A38" s="162"/>
      <c r="B38" s="76">
        <v>22</v>
      </c>
      <c r="C38" s="75" t="s">
        <v>174</v>
      </c>
      <c r="D38" s="77">
        <v>1</v>
      </c>
      <c r="E38" s="78">
        <f>References!$B$9</f>
        <v>1</v>
      </c>
      <c r="F38" s="77">
        <f t="shared" ref="F38" si="48">D38*E38*12</f>
        <v>12</v>
      </c>
      <c r="G38" s="61">
        <f>+G2</f>
        <v>20</v>
      </c>
      <c r="H38" s="77">
        <f t="shared" ref="H38" si="49">G38*F38</f>
        <v>240</v>
      </c>
      <c r="I38" s="79">
        <f>$C$85*H38</f>
        <v>175.76899303046412</v>
      </c>
      <c r="J38" s="80">
        <f>(References!$C$49*I38)</f>
        <v>1.2883867189133</v>
      </c>
      <c r="K38" s="80">
        <f>J38/References!$G$52</f>
        <v>1.3244957430092166</v>
      </c>
      <c r="L38" s="80">
        <f t="shared" si="47"/>
        <v>0.11037464525076805</v>
      </c>
      <c r="M38" s="148">
        <v>9.3793823545232016</v>
      </c>
      <c r="N38" s="81">
        <f t="shared" ref="N38" si="50">L38+M38</f>
        <v>9.4897569997739701</v>
      </c>
      <c r="O38" s="113"/>
      <c r="Q38" s="143"/>
      <c r="R38" s="143"/>
      <c r="T38" s="157">
        <f>+N38/M38-1</f>
        <v>1.1767794624295336E-2</v>
      </c>
    </row>
    <row r="39" spans="1:20" x14ac:dyDescent="0.2">
      <c r="A39" s="162"/>
      <c r="B39" s="112"/>
      <c r="D39" s="114"/>
      <c r="F39" s="77"/>
      <c r="H39" s="77"/>
      <c r="I39" s="79"/>
      <c r="J39" s="80"/>
      <c r="K39" s="80"/>
      <c r="L39" s="80"/>
      <c r="M39" s="150"/>
      <c r="N39" s="80"/>
      <c r="O39" s="113"/>
      <c r="Q39" s="143"/>
      <c r="R39" s="143"/>
      <c r="T39" s="157"/>
    </row>
    <row r="40" spans="1:20" x14ac:dyDescent="0.2">
      <c r="A40" s="162"/>
      <c r="B40" s="115"/>
      <c r="C40" s="116"/>
      <c r="D40" s="117"/>
      <c r="E40" s="118"/>
      <c r="F40" s="119"/>
      <c r="G40" s="119"/>
      <c r="H40" s="119"/>
      <c r="I40" s="119"/>
      <c r="J40" s="120"/>
      <c r="K40" s="120"/>
      <c r="L40" s="120"/>
      <c r="M40" s="151"/>
      <c r="N40" s="120"/>
      <c r="O40" s="113"/>
      <c r="Q40" s="143"/>
      <c r="R40" s="143"/>
      <c r="T40" s="157"/>
    </row>
    <row r="41" spans="1:20" ht="15" customHeight="1" x14ac:dyDescent="0.2">
      <c r="A41" s="162" t="s">
        <v>166</v>
      </c>
      <c r="B41" s="76" t="s">
        <v>173</v>
      </c>
      <c r="C41" s="75" t="s">
        <v>163</v>
      </c>
      <c r="F41" s="63">
        <v>1</v>
      </c>
      <c r="G41" s="64">
        <f>References!B27</f>
        <v>175</v>
      </c>
      <c r="H41" s="63">
        <f t="shared" ref="H41:H43" si="51">F41*G41</f>
        <v>175</v>
      </c>
      <c r="I41" s="79">
        <f>$C$85*H41</f>
        <v>128.16489075138009</v>
      </c>
      <c r="J41" s="80">
        <f>References!$C$49*I41</f>
        <v>0.93944864920761462</v>
      </c>
      <c r="K41" s="80">
        <f>J41/References!$G$52</f>
        <v>0.96577814594422051</v>
      </c>
      <c r="L41" s="80">
        <f t="shared" ref="L41:L43" si="52">K41/F41</f>
        <v>0.96577814594422051</v>
      </c>
      <c r="M41" s="149">
        <v>34.249595602078024</v>
      </c>
      <c r="N41" s="81">
        <f t="shared" ref="N41:N43" si="53">L41+M41</f>
        <v>35.215373748022245</v>
      </c>
      <c r="O41" s="113"/>
      <c r="Q41" s="82"/>
      <c r="R41" s="143"/>
      <c r="T41" s="157">
        <f t="shared" ref="T41:T73" si="54">+N41/M41-1</f>
        <v>2.8198235014653017E-2</v>
      </c>
    </row>
    <row r="42" spans="1:20" x14ac:dyDescent="0.2">
      <c r="A42" s="162"/>
      <c r="B42" s="76" t="s">
        <v>173</v>
      </c>
      <c r="C42" s="75" t="s">
        <v>164</v>
      </c>
      <c r="F42" s="63">
        <v>1</v>
      </c>
      <c r="G42" s="64">
        <f>References!B28</f>
        <v>250</v>
      </c>
      <c r="H42" s="63">
        <f t="shared" si="51"/>
        <v>250</v>
      </c>
      <c r="I42" s="79">
        <f>$C$85*H42</f>
        <v>183.09270107340012</v>
      </c>
      <c r="J42" s="80">
        <f>References!$C$49*I42</f>
        <v>1.3420694988680208</v>
      </c>
      <c r="K42" s="80">
        <f>J42/References!$G$52</f>
        <v>1.3796830656346006</v>
      </c>
      <c r="L42" s="80">
        <f t="shared" si="52"/>
        <v>1.3796830656346006</v>
      </c>
      <c r="M42" s="149">
        <v>42.712279431540026</v>
      </c>
      <c r="N42" s="81">
        <f t="shared" si="53"/>
        <v>44.091962497174627</v>
      </c>
      <c r="O42" s="113"/>
      <c r="Q42" s="82"/>
      <c r="R42" s="143"/>
      <c r="T42" s="157">
        <f t="shared" si="54"/>
        <v>3.2301789649179957E-2</v>
      </c>
    </row>
    <row r="43" spans="1:20" x14ac:dyDescent="0.2">
      <c r="A43" s="162"/>
      <c r="B43" s="76" t="s">
        <v>173</v>
      </c>
      <c r="C43" s="75" t="s">
        <v>165</v>
      </c>
      <c r="F43" s="63">
        <v>1</v>
      </c>
      <c r="G43" s="64">
        <f>References!B29</f>
        <v>324</v>
      </c>
      <c r="H43" s="63">
        <f t="shared" si="51"/>
        <v>324</v>
      </c>
      <c r="I43" s="79">
        <f>$C$85*H43</f>
        <v>237.28814059112656</v>
      </c>
      <c r="J43" s="80">
        <f>References!$C$49*I43</f>
        <v>1.7393220705329551</v>
      </c>
      <c r="K43" s="80">
        <f>J43/References!$G$52</f>
        <v>1.7880692530624425</v>
      </c>
      <c r="L43" s="80">
        <f t="shared" si="52"/>
        <v>1.7880692530624425</v>
      </c>
      <c r="M43" s="149">
        <v>53.159994143275874</v>
      </c>
      <c r="N43" s="81">
        <f t="shared" si="53"/>
        <v>54.94806339633832</v>
      </c>
      <c r="O43" s="113"/>
      <c r="Q43" s="82"/>
      <c r="R43" s="143"/>
      <c r="T43" s="157">
        <f t="shared" si="54"/>
        <v>3.3635617946895735E-2</v>
      </c>
    </row>
    <row r="44" spans="1:20" x14ac:dyDescent="0.2">
      <c r="A44" s="162"/>
      <c r="B44" s="76" t="s">
        <v>173</v>
      </c>
      <c r="C44" s="75" t="s">
        <v>136</v>
      </c>
      <c r="F44" s="63">
        <v>1</v>
      </c>
      <c r="G44" s="64">
        <f>References!B30</f>
        <v>473</v>
      </c>
      <c r="H44" s="63">
        <f t="shared" ref="H44:H46" si="55">F44*G44</f>
        <v>473</v>
      </c>
      <c r="I44" s="79">
        <f t="shared" ref="I44:I46" si="56">$C$85*H44</f>
        <v>346.41139043087304</v>
      </c>
      <c r="J44" s="80">
        <f>References!$C$49*I44</f>
        <v>2.5391954918582957</v>
      </c>
      <c r="K44" s="80">
        <f>J44/References!$G$52</f>
        <v>2.6103603601806649</v>
      </c>
      <c r="L44" s="80">
        <f t="shared" ref="L44:L46" si="57">K44/F44</f>
        <v>2.6103603601806649</v>
      </c>
      <c r="M44" s="149">
        <v>68.580392684473736</v>
      </c>
      <c r="N44" s="81">
        <f t="shared" ref="N44:N46" si="58">L44+M44</f>
        <v>71.1907530446544</v>
      </c>
      <c r="O44" s="113"/>
      <c r="Q44" s="82"/>
      <c r="R44" s="143"/>
      <c r="T44" s="157">
        <f t="shared" si="54"/>
        <v>3.8062779433043925E-2</v>
      </c>
    </row>
    <row r="45" spans="1:20" x14ac:dyDescent="0.2">
      <c r="A45" s="162"/>
      <c r="B45" s="76" t="s">
        <v>173</v>
      </c>
      <c r="C45" s="75" t="s">
        <v>137</v>
      </c>
      <c r="F45" s="63">
        <v>1</v>
      </c>
      <c r="G45" s="64">
        <f>References!B31</f>
        <v>613</v>
      </c>
      <c r="H45" s="63">
        <f t="shared" si="55"/>
        <v>613</v>
      </c>
      <c r="I45" s="79">
        <f t="shared" si="56"/>
        <v>448.94330303197711</v>
      </c>
      <c r="J45" s="80">
        <f>References!$C$49*I45</f>
        <v>3.2907544112243876</v>
      </c>
      <c r="K45" s="80">
        <f>J45/References!$G$52</f>
        <v>3.3829828769360413</v>
      </c>
      <c r="L45" s="80">
        <f t="shared" si="57"/>
        <v>3.3829828769360413</v>
      </c>
      <c r="M45" s="149">
        <v>81.406069166136149</v>
      </c>
      <c r="N45" s="81">
        <f t="shared" si="58"/>
        <v>84.789052043072189</v>
      </c>
      <c r="O45" s="113"/>
      <c r="Q45" s="82"/>
      <c r="R45" s="143"/>
      <c r="T45" s="157">
        <f t="shared" si="54"/>
        <v>4.1556887730716197E-2</v>
      </c>
    </row>
    <row r="46" spans="1:20" x14ac:dyDescent="0.2">
      <c r="A46" s="162"/>
      <c r="B46" s="76" t="s">
        <v>173</v>
      </c>
      <c r="C46" s="75" t="s">
        <v>138</v>
      </c>
      <c r="F46" s="63">
        <v>1</v>
      </c>
      <c r="G46" s="64">
        <f>References!B32</f>
        <v>840</v>
      </c>
      <c r="H46" s="63">
        <f t="shared" si="55"/>
        <v>840</v>
      </c>
      <c r="I46" s="79">
        <f t="shared" si="56"/>
        <v>615.19147560662441</v>
      </c>
      <c r="J46" s="80">
        <f>References!$C$49*I46</f>
        <v>4.5093535161965503</v>
      </c>
      <c r="K46" s="80">
        <f>J46/References!$G$52</f>
        <v>4.6357351005322585</v>
      </c>
      <c r="L46" s="80">
        <f t="shared" si="57"/>
        <v>4.6357351005322585</v>
      </c>
      <c r="M46" s="149">
        <v>108.09405888997449</v>
      </c>
      <c r="N46" s="81">
        <f t="shared" si="58"/>
        <v>112.72979399050675</v>
      </c>
      <c r="O46" s="113"/>
      <c r="Q46" s="82"/>
      <c r="R46" s="143"/>
      <c r="T46" s="157">
        <f t="shared" si="54"/>
        <v>4.2886122957514594E-2</v>
      </c>
    </row>
    <row r="47" spans="1:20" x14ac:dyDescent="0.2">
      <c r="A47" s="162"/>
      <c r="B47" s="76" t="s">
        <v>173</v>
      </c>
      <c r="C47" s="75" t="s">
        <v>140</v>
      </c>
      <c r="D47" s="96"/>
      <c r="E47" s="96"/>
      <c r="F47" s="63">
        <v>1</v>
      </c>
      <c r="G47" s="64">
        <f>References!$B$33</f>
        <v>980</v>
      </c>
      <c r="H47" s="63">
        <f>F47*G47</f>
        <v>980</v>
      </c>
      <c r="I47" s="79">
        <f t="shared" ref="I47:I73" si="59">$C$85*H47</f>
        <v>717.72338820772848</v>
      </c>
      <c r="J47" s="80">
        <f>References!$C$49*I47</f>
        <v>5.2609124355626422</v>
      </c>
      <c r="K47" s="80">
        <f>J47/References!$G$52</f>
        <v>5.4083576172876349</v>
      </c>
      <c r="L47" s="80">
        <f>K47/F47</f>
        <v>5.4083576172876349</v>
      </c>
      <c r="M47" s="149">
        <v>132.0797353716369</v>
      </c>
      <c r="N47" s="81">
        <f>L47+M47</f>
        <v>137.48809298892454</v>
      </c>
      <c r="O47" s="113"/>
      <c r="Q47" s="82"/>
      <c r="R47" s="143"/>
      <c r="T47" s="157">
        <f t="shared" si="54"/>
        <v>4.0947671511227357E-2</v>
      </c>
    </row>
    <row r="48" spans="1:20" x14ac:dyDescent="0.2">
      <c r="A48" s="162"/>
      <c r="B48" s="76" t="s">
        <v>173</v>
      </c>
      <c r="C48" s="75" t="s">
        <v>144</v>
      </c>
      <c r="D48" s="96"/>
      <c r="E48" s="96"/>
      <c r="F48" s="63">
        <v>1</v>
      </c>
      <c r="G48" s="64">
        <f>References!B27</f>
        <v>175</v>
      </c>
      <c r="H48" s="63">
        <f>F48*G48</f>
        <v>175</v>
      </c>
      <c r="I48" s="79">
        <f t="shared" si="59"/>
        <v>128.16489075138009</v>
      </c>
      <c r="J48" s="80">
        <f>References!$C$49*I48</f>
        <v>0.93944864920761462</v>
      </c>
      <c r="K48" s="80">
        <f>J48/References!$G$52</f>
        <v>0.96577814594422051</v>
      </c>
      <c r="L48" s="80">
        <f>K48/F48</f>
        <v>0.96577814594422051</v>
      </c>
      <c r="M48" s="149">
        <v>23.549595602078018</v>
      </c>
      <c r="N48" s="81">
        <f>L48+M48</f>
        <v>24.515373748022238</v>
      </c>
      <c r="O48" s="113"/>
      <c r="Q48" s="82"/>
      <c r="R48" s="143"/>
      <c r="T48" s="157">
        <f t="shared" si="54"/>
        <v>4.1010391951656233E-2</v>
      </c>
    </row>
    <row r="49" spans="1:20" x14ac:dyDescent="0.2">
      <c r="A49" s="162"/>
      <c r="B49" s="76" t="s">
        <v>173</v>
      </c>
      <c r="C49" s="75" t="s">
        <v>145</v>
      </c>
      <c r="D49" s="96"/>
      <c r="E49" s="96"/>
      <c r="F49" s="63">
        <v>1</v>
      </c>
      <c r="G49" s="64">
        <f>References!B28</f>
        <v>250</v>
      </c>
      <c r="H49" s="63">
        <f t="shared" ref="H49:H55" si="60">F49*G49</f>
        <v>250</v>
      </c>
      <c r="I49" s="79">
        <f t="shared" si="59"/>
        <v>183.09270107340012</v>
      </c>
      <c r="J49" s="80">
        <f>References!$C$49*I49</f>
        <v>1.3420694988680208</v>
      </c>
      <c r="K49" s="80">
        <f>J49/References!$G$52</f>
        <v>1.3796830656346006</v>
      </c>
      <c r="L49" s="80">
        <f t="shared" ref="L49:L55" si="61">K49/F49</f>
        <v>1.3796830656346006</v>
      </c>
      <c r="M49" s="149">
        <v>32.012279431540023</v>
      </c>
      <c r="N49" s="81">
        <f t="shared" ref="N49:N55" si="62">L49+M49</f>
        <v>33.391962497174625</v>
      </c>
      <c r="O49" s="113"/>
      <c r="Q49" s="82"/>
      <c r="R49" s="82"/>
      <c r="T49" s="157">
        <f t="shared" si="54"/>
        <v>4.3098557495261369E-2</v>
      </c>
    </row>
    <row r="50" spans="1:20" x14ac:dyDescent="0.2">
      <c r="A50" s="162"/>
      <c r="B50" s="76" t="s">
        <v>173</v>
      </c>
      <c r="C50" s="75" t="s">
        <v>146</v>
      </c>
      <c r="D50" s="96"/>
      <c r="E50" s="96"/>
      <c r="F50" s="63">
        <v>1</v>
      </c>
      <c r="G50" s="64">
        <f>References!B29</f>
        <v>324</v>
      </c>
      <c r="H50" s="63">
        <f t="shared" si="60"/>
        <v>324</v>
      </c>
      <c r="I50" s="79">
        <f t="shared" si="59"/>
        <v>237.28814059112656</v>
      </c>
      <c r="J50" s="80">
        <f>References!$C$49*I50</f>
        <v>1.7393220705329551</v>
      </c>
      <c r="K50" s="80">
        <f>J50/References!$G$52</f>
        <v>1.7880692530624425</v>
      </c>
      <c r="L50" s="80">
        <f t="shared" si="61"/>
        <v>1.7880692530624425</v>
      </c>
      <c r="M50" s="149">
        <v>42.459994143275878</v>
      </c>
      <c r="N50" s="81">
        <f t="shared" si="62"/>
        <v>44.248063396338324</v>
      </c>
      <c r="O50" s="113"/>
      <c r="Q50" s="82"/>
      <c r="R50" s="82"/>
      <c r="T50" s="157">
        <f t="shared" si="54"/>
        <v>4.2111858212434905E-2</v>
      </c>
    </row>
    <row r="51" spans="1:20" x14ac:dyDescent="0.2">
      <c r="A51" s="162"/>
      <c r="B51" s="76" t="s">
        <v>173</v>
      </c>
      <c r="C51" s="75" t="s">
        <v>147</v>
      </c>
      <c r="D51" s="96"/>
      <c r="E51" s="96"/>
      <c r="F51" s="63">
        <v>1</v>
      </c>
      <c r="G51" s="64">
        <f>References!B30</f>
        <v>473</v>
      </c>
      <c r="H51" s="63">
        <f t="shared" si="60"/>
        <v>473</v>
      </c>
      <c r="I51" s="79">
        <f t="shared" si="59"/>
        <v>346.41139043087304</v>
      </c>
      <c r="J51" s="80">
        <f>References!$C$49*I51</f>
        <v>2.5391954918582957</v>
      </c>
      <c r="K51" s="80">
        <f>J51/References!$G$52</f>
        <v>2.6103603601806649</v>
      </c>
      <c r="L51" s="80">
        <f t="shared" si="61"/>
        <v>2.6103603601806649</v>
      </c>
      <c r="M51" s="149">
        <v>60.650392684473729</v>
      </c>
      <c r="N51" s="81">
        <f t="shared" si="62"/>
        <v>63.260753044654393</v>
      </c>
      <c r="O51" s="113"/>
      <c r="Q51" s="82"/>
      <c r="R51" s="82"/>
      <c r="T51" s="157">
        <f t="shared" si="54"/>
        <v>4.3039463466638228E-2</v>
      </c>
    </row>
    <row r="52" spans="1:20" x14ac:dyDescent="0.2">
      <c r="A52" s="162"/>
      <c r="B52" s="76" t="s">
        <v>173</v>
      </c>
      <c r="C52" s="75" t="s">
        <v>148</v>
      </c>
      <c r="D52" s="96"/>
      <c r="E52" s="96"/>
      <c r="F52" s="63">
        <v>1</v>
      </c>
      <c r="G52" s="64">
        <f>References!B31</f>
        <v>613</v>
      </c>
      <c r="H52" s="63">
        <f t="shared" si="60"/>
        <v>613</v>
      </c>
      <c r="I52" s="79">
        <f t="shared" si="59"/>
        <v>448.94330303197711</v>
      </c>
      <c r="J52" s="80">
        <f>References!$C$49*I52</f>
        <v>3.2907544112243876</v>
      </c>
      <c r="K52" s="80">
        <f>J52/References!$G$52</f>
        <v>3.3829828769360413</v>
      </c>
      <c r="L52" s="80">
        <f t="shared" si="61"/>
        <v>3.3829828769360413</v>
      </c>
      <c r="M52" s="149">
        <v>70.706069166136146</v>
      </c>
      <c r="N52" s="81">
        <f t="shared" si="62"/>
        <v>74.089052043072186</v>
      </c>
      <c r="O52" s="113"/>
      <c r="Q52" s="82"/>
      <c r="R52" s="82"/>
      <c r="T52" s="157">
        <f t="shared" si="54"/>
        <v>4.784572126315112E-2</v>
      </c>
    </row>
    <row r="53" spans="1:20" x14ac:dyDescent="0.2">
      <c r="A53" s="162"/>
      <c r="B53" s="76" t="s">
        <v>173</v>
      </c>
      <c r="C53" s="75" t="s">
        <v>149</v>
      </c>
      <c r="D53" s="96"/>
      <c r="E53" s="96"/>
      <c r="F53" s="63">
        <v>1</v>
      </c>
      <c r="G53" s="64">
        <f>References!B32</f>
        <v>840</v>
      </c>
      <c r="H53" s="63">
        <f t="shared" si="60"/>
        <v>840</v>
      </c>
      <c r="I53" s="79">
        <f t="shared" si="59"/>
        <v>615.19147560662441</v>
      </c>
      <c r="J53" s="80">
        <f>References!$C$49*I53</f>
        <v>4.5093535161965503</v>
      </c>
      <c r="K53" s="80">
        <f>J53/References!$G$52</f>
        <v>4.6357351005322585</v>
      </c>
      <c r="L53" s="80">
        <f t="shared" si="61"/>
        <v>4.6357351005322585</v>
      </c>
      <c r="M53" s="149">
        <v>97.394058889974488</v>
      </c>
      <c r="N53" s="81">
        <f t="shared" si="62"/>
        <v>102.02979399050675</v>
      </c>
      <c r="O53" s="113"/>
      <c r="Q53" s="82"/>
      <c r="R53" s="143"/>
      <c r="T53" s="157">
        <f t="shared" si="54"/>
        <v>4.7597719546417228E-2</v>
      </c>
    </row>
    <row r="54" spans="1:20" x14ac:dyDescent="0.2">
      <c r="A54" s="162"/>
      <c r="B54" s="76" t="s">
        <v>173</v>
      </c>
      <c r="C54" s="75" t="s">
        <v>150</v>
      </c>
      <c r="D54" s="96"/>
      <c r="E54" s="96"/>
      <c r="F54" s="63">
        <v>1</v>
      </c>
      <c r="G54" s="64">
        <f>References!B33</f>
        <v>980</v>
      </c>
      <c r="H54" s="63">
        <f t="shared" si="60"/>
        <v>980</v>
      </c>
      <c r="I54" s="79">
        <f t="shared" si="59"/>
        <v>717.72338820772848</v>
      </c>
      <c r="J54" s="80">
        <f>References!$C$49*I54</f>
        <v>5.2609124355626422</v>
      </c>
      <c r="K54" s="80">
        <f>J54/References!$G$52</f>
        <v>5.4083576172876349</v>
      </c>
      <c r="L54" s="80">
        <f t="shared" si="61"/>
        <v>5.4083576172876349</v>
      </c>
      <c r="M54" s="149">
        <v>121.37973537163691</v>
      </c>
      <c r="N54" s="81">
        <f t="shared" si="62"/>
        <v>126.78809298892455</v>
      </c>
      <c r="O54" s="113"/>
      <c r="Q54" s="82"/>
      <c r="R54" s="143"/>
      <c r="T54" s="157">
        <f t="shared" si="54"/>
        <v>4.4557335709527468E-2</v>
      </c>
    </row>
    <row r="55" spans="1:20" x14ac:dyDescent="0.2">
      <c r="A55" s="162"/>
      <c r="B55" s="112" t="s">
        <v>172</v>
      </c>
      <c r="C55" s="75" t="s">
        <v>157</v>
      </c>
      <c r="D55" s="96"/>
      <c r="E55" s="96"/>
      <c r="F55" s="63">
        <v>1</v>
      </c>
      <c r="G55" s="64">
        <f>References!B13</f>
        <v>20</v>
      </c>
      <c r="H55" s="63">
        <f t="shared" si="60"/>
        <v>20</v>
      </c>
      <c r="I55" s="79">
        <f t="shared" si="59"/>
        <v>14.64741608587201</v>
      </c>
      <c r="J55" s="80">
        <f>References!$C$49*I55</f>
        <v>0.10736555990944167</v>
      </c>
      <c r="K55" s="80">
        <f>J55/References!$G$52</f>
        <v>0.11037464525076805</v>
      </c>
      <c r="L55" s="80">
        <f t="shared" si="61"/>
        <v>0.11037464525076805</v>
      </c>
      <c r="M55" s="149">
        <v>4.6793823545232023</v>
      </c>
      <c r="N55" s="81">
        <f t="shared" si="62"/>
        <v>4.78975699977397</v>
      </c>
      <c r="O55" s="113"/>
      <c r="Q55" s="82"/>
      <c r="R55" s="143"/>
      <c r="T55" s="157">
        <f t="shared" si="54"/>
        <v>2.3587438873012179E-2</v>
      </c>
    </row>
    <row r="56" spans="1:20" x14ac:dyDescent="0.2">
      <c r="A56" s="162"/>
      <c r="B56" s="112" t="s">
        <v>172</v>
      </c>
      <c r="C56" s="75" t="s">
        <v>151</v>
      </c>
      <c r="D56" s="96"/>
      <c r="E56" s="96"/>
      <c r="F56" s="63">
        <v>1</v>
      </c>
      <c r="G56" s="64">
        <f>References!B13</f>
        <v>20</v>
      </c>
      <c r="H56" s="63">
        <f>F56*G56</f>
        <v>20</v>
      </c>
      <c r="I56" s="79">
        <f t="shared" si="59"/>
        <v>14.64741608587201</v>
      </c>
      <c r="J56" s="80">
        <f>References!$C$49*I56</f>
        <v>0.10736555990944167</v>
      </c>
      <c r="K56" s="80">
        <f>J56/References!$G$52</f>
        <v>0.11037464525076805</v>
      </c>
      <c r="L56" s="80">
        <f>K56/F56</f>
        <v>0.11037464525076805</v>
      </c>
      <c r="M56" s="149">
        <v>7.4793823545232021</v>
      </c>
      <c r="N56" s="81">
        <f>L56+M56</f>
        <v>7.5897569997739698</v>
      </c>
      <c r="O56" s="113"/>
      <c r="Q56" s="82"/>
      <c r="R56" s="143"/>
      <c r="T56" s="157">
        <f t="shared" si="54"/>
        <v>1.4757187160516994E-2</v>
      </c>
    </row>
    <row r="57" spans="1:20" x14ac:dyDescent="0.2">
      <c r="A57" s="162"/>
      <c r="B57" s="112" t="s">
        <v>172</v>
      </c>
      <c r="C57" s="75" t="s">
        <v>160</v>
      </c>
      <c r="D57" s="96"/>
      <c r="E57" s="96"/>
      <c r="F57" s="63">
        <v>1</v>
      </c>
      <c r="G57" s="64">
        <f>References!$B$26</f>
        <v>29</v>
      </c>
      <c r="H57" s="63">
        <f t="shared" ref="H57:H67" si="63">F57*G57</f>
        <v>29</v>
      </c>
      <c r="I57" s="79">
        <f t="shared" si="59"/>
        <v>21.238753324514413</v>
      </c>
      <c r="J57" s="80">
        <f>References!$C$49*I57</f>
        <v>0.15568006186869041</v>
      </c>
      <c r="K57" s="80">
        <f>J57/References!$G$52</f>
        <v>0.16004323561361367</v>
      </c>
      <c r="L57" s="80">
        <f t="shared" ref="L57:L67" si="64">K57/F57</f>
        <v>0.16004323561361367</v>
      </c>
      <c r="M57" s="149">
        <v>5.014104414058643</v>
      </c>
      <c r="N57" s="81">
        <f t="shared" ref="N57:N67" si="65">L57+M57</f>
        <v>5.1741476496722569</v>
      </c>
      <c r="O57" s="113"/>
      <c r="Q57" s="82"/>
      <c r="R57" s="143"/>
      <c r="T57" s="157">
        <f t="shared" si="54"/>
        <v>3.1918608468719079E-2</v>
      </c>
    </row>
    <row r="58" spans="1:20" x14ac:dyDescent="0.2">
      <c r="A58" s="162"/>
      <c r="B58" s="112" t="s">
        <v>171</v>
      </c>
      <c r="C58" s="75" t="s">
        <v>152</v>
      </c>
      <c r="D58" s="96"/>
      <c r="E58" s="96"/>
      <c r="F58" s="63">
        <v>1</v>
      </c>
      <c r="G58" s="64">
        <f>References!B26</f>
        <v>29</v>
      </c>
      <c r="H58" s="63">
        <f t="shared" si="63"/>
        <v>29</v>
      </c>
      <c r="I58" s="79">
        <f t="shared" si="59"/>
        <v>21.238753324514413</v>
      </c>
      <c r="J58" s="80">
        <f>References!$C$49*I58</f>
        <v>0.15568006186869041</v>
      </c>
      <c r="K58" s="80">
        <f>J58/References!$G$52</f>
        <v>0.16004323561361367</v>
      </c>
      <c r="L58" s="80">
        <f t="shared" si="64"/>
        <v>0.16004323561361367</v>
      </c>
      <c r="M58" s="149">
        <v>7.8141044140586429</v>
      </c>
      <c r="N58" s="81">
        <f t="shared" si="65"/>
        <v>7.9741476496722568</v>
      </c>
      <c r="O58" s="113"/>
      <c r="Q58" s="82"/>
      <c r="R58" s="143"/>
      <c r="T58" s="157">
        <f t="shared" si="54"/>
        <v>2.0481328010625743E-2</v>
      </c>
    </row>
    <row r="59" spans="1:20" x14ac:dyDescent="0.2">
      <c r="A59" s="162"/>
      <c r="B59" s="112" t="s">
        <v>171</v>
      </c>
      <c r="C59" s="75" t="s">
        <v>141</v>
      </c>
      <c r="D59" s="96"/>
      <c r="E59" s="96"/>
      <c r="F59" s="63">
        <v>1</v>
      </c>
      <c r="G59" s="64">
        <f>References!B20</f>
        <v>37</v>
      </c>
      <c r="H59" s="63">
        <f t="shared" si="63"/>
        <v>37</v>
      </c>
      <c r="I59" s="79">
        <f t="shared" si="59"/>
        <v>27.097719758863217</v>
      </c>
      <c r="J59" s="80">
        <f>References!$C$49*I59</f>
        <v>0.19862628583246708</v>
      </c>
      <c r="K59" s="80">
        <f>J59/References!$G$52</f>
        <v>0.20419309371392089</v>
      </c>
      <c r="L59" s="80">
        <f t="shared" si="64"/>
        <v>0.20419309371392089</v>
      </c>
      <c r="M59" s="149">
        <v>8.0238573558679231</v>
      </c>
      <c r="N59" s="81">
        <f t="shared" si="65"/>
        <v>8.2280504495818434</v>
      </c>
      <c r="O59" s="113"/>
      <c r="Q59" s="82"/>
      <c r="R59" s="143"/>
      <c r="T59" s="157">
        <f t="shared" si="54"/>
        <v>2.5448245732408559E-2</v>
      </c>
    </row>
    <row r="60" spans="1:20" x14ac:dyDescent="0.2">
      <c r="A60" s="162"/>
      <c r="B60" s="112" t="s">
        <v>171</v>
      </c>
      <c r="C60" s="75" t="s">
        <v>142</v>
      </c>
      <c r="D60" s="96"/>
      <c r="E60" s="96"/>
      <c r="F60" s="63">
        <v>1</v>
      </c>
      <c r="G60" s="64">
        <f>References!B21</f>
        <v>47</v>
      </c>
      <c r="H60" s="63">
        <f t="shared" si="63"/>
        <v>47</v>
      </c>
      <c r="I60" s="79">
        <f t="shared" si="59"/>
        <v>34.421427801799219</v>
      </c>
      <c r="J60" s="80">
        <f>References!$C$49*I60</f>
        <v>0.25230906578718792</v>
      </c>
      <c r="K60" s="80">
        <f>J60/References!$G$52</f>
        <v>0.25938041633930492</v>
      </c>
      <c r="L60" s="80">
        <f t="shared" si="64"/>
        <v>0.25938041633930492</v>
      </c>
      <c r="M60" s="149">
        <v>11.163548533129525</v>
      </c>
      <c r="N60" s="81">
        <f t="shared" si="65"/>
        <v>11.42292894946883</v>
      </c>
      <c r="O60" s="113"/>
      <c r="Q60" s="82"/>
      <c r="R60" s="143"/>
      <c r="T60" s="157">
        <f t="shared" si="54"/>
        <v>2.3234584914425094E-2</v>
      </c>
    </row>
    <row r="61" spans="1:20" x14ac:dyDescent="0.2">
      <c r="A61" s="162"/>
      <c r="B61" s="112" t="s">
        <v>171</v>
      </c>
      <c r="C61" s="75" t="s">
        <v>143</v>
      </c>
      <c r="D61" s="96"/>
      <c r="E61" s="96"/>
      <c r="F61" s="63">
        <v>1</v>
      </c>
      <c r="G61" s="64">
        <f>References!B22</f>
        <v>68</v>
      </c>
      <c r="H61" s="63">
        <f t="shared" si="63"/>
        <v>68</v>
      </c>
      <c r="I61" s="79">
        <f t="shared" si="59"/>
        <v>49.80121469196483</v>
      </c>
      <c r="J61" s="80">
        <f>References!$C$49*I61</f>
        <v>0.36504290369210168</v>
      </c>
      <c r="K61" s="80">
        <f>J61/References!$G$52</f>
        <v>0.37527379385261139</v>
      </c>
      <c r="L61" s="80">
        <f t="shared" si="64"/>
        <v>0.37527379385261139</v>
      </c>
      <c r="M61" s="149">
        <v>13.667900005378888</v>
      </c>
      <c r="N61" s="81">
        <f t="shared" si="65"/>
        <v>14.0431737992315</v>
      </c>
      <c r="O61" s="113"/>
      <c r="Q61" s="82"/>
      <c r="R61" s="143"/>
      <c r="T61" s="157">
        <f t="shared" si="54"/>
        <v>2.7456580287017474E-2</v>
      </c>
    </row>
    <row r="62" spans="1:20" x14ac:dyDescent="0.2">
      <c r="A62" s="162"/>
      <c r="B62" s="112">
        <v>37</v>
      </c>
      <c r="C62" s="75" t="s">
        <v>161</v>
      </c>
      <c r="D62" s="96"/>
      <c r="E62" s="96"/>
      <c r="F62" s="63">
        <v>1</v>
      </c>
      <c r="G62" s="64">
        <f>References!$B$26</f>
        <v>29</v>
      </c>
      <c r="H62" s="63">
        <f t="shared" si="63"/>
        <v>29</v>
      </c>
      <c r="I62" s="79">
        <f t="shared" si="59"/>
        <v>21.238753324514413</v>
      </c>
      <c r="J62" s="80">
        <f>References!$C$49*I62</f>
        <v>0.15568006186869041</v>
      </c>
      <c r="K62" s="80">
        <f>J62/References!$G$52</f>
        <v>0.16004323561361367</v>
      </c>
      <c r="L62" s="80">
        <f t="shared" si="64"/>
        <v>0.16004323561361367</v>
      </c>
      <c r="M62" s="149">
        <v>20.414104414058642</v>
      </c>
      <c r="N62" s="81">
        <f t="shared" si="65"/>
        <v>20.574147649672256</v>
      </c>
      <c r="O62" s="113"/>
      <c r="Q62" s="82"/>
      <c r="R62" s="143"/>
      <c r="T62" s="157">
        <f t="shared" si="54"/>
        <v>7.8398362410352362E-3</v>
      </c>
    </row>
    <row r="63" spans="1:20" x14ac:dyDescent="0.2">
      <c r="A63" s="162"/>
      <c r="B63" s="112">
        <v>37</v>
      </c>
      <c r="C63" s="75" t="s">
        <v>162</v>
      </c>
      <c r="D63" s="96"/>
      <c r="E63" s="96"/>
      <c r="F63" s="63">
        <v>1</v>
      </c>
      <c r="G63" s="64">
        <f>References!$B$26</f>
        <v>29</v>
      </c>
      <c r="H63" s="63">
        <f t="shared" si="63"/>
        <v>29</v>
      </c>
      <c r="I63" s="79">
        <f t="shared" si="59"/>
        <v>21.238753324514413</v>
      </c>
      <c r="J63" s="80">
        <f>References!$C$49*I63</f>
        <v>0.15568006186869041</v>
      </c>
      <c r="K63" s="80">
        <f>J63/References!$G$52</f>
        <v>0.16004323561361367</v>
      </c>
      <c r="L63" s="80">
        <f t="shared" si="64"/>
        <v>0.16004323561361367</v>
      </c>
      <c r="M63" s="149">
        <v>10.064104414058644</v>
      </c>
      <c r="N63" s="81">
        <f t="shared" si="65"/>
        <v>10.224147649672258</v>
      </c>
      <c r="O63" s="113"/>
      <c r="Q63" s="82"/>
      <c r="R63" s="143"/>
      <c r="T63" s="157">
        <f t="shared" si="54"/>
        <v>1.5902382271595572E-2</v>
      </c>
    </row>
    <row r="64" spans="1:20" x14ac:dyDescent="0.2">
      <c r="A64" s="162"/>
      <c r="B64" s="112">
        <v>37</v>
      </c>
      <c r="C64" s="75" t="s">
        <v>158</v>
      </c>
      <c r="D64" s="96"/>
      <c r="E64" s="96"/>
      <c r="F64" s="63">
        <v>1</v>
      </c>
      <c r="G64" s="64">
        <f>References!B13</f>
        <v>20</v>
      </c>
      <c r="H64" s="63">
        <f>F64*G64</f>
        <v>20</v>
      </c>
      <c r="I64" s="79">
        <f t="shared" si="59"/>
        <v>14.64741608587201</v>
      </c>
      <c r="J64" s="80">
        <f>References!$C$49*I64</f>
        <v>0.10736555990944167</v>
      </c>
      <c r="K64" s="80">
        <f>J64/References!$G$52</f>
        <v>0.11037464525076805</v>
      </c>
      <c r="L64" s="80">
        <f>K64/F64</f>
        <v>0.11037464525076805</v>
      </c>
      <c r="M64" s="149">
        <v>17.2793823545232</v>
      </c>
      <c r="N64" s="81">
        <f>L64+M64</f>
        <v>17.389756999773969</v>
      </c>
      <c r="O64" s="113"/>
      <c r="Q64" s="82"/>
      <c r="R64" s="143"/>
      <c r="T64" s="157">
        <f t="shared" si="54"/>
        <v>6.3876499163104672E-3</v>
      </c>
    </row>
    <row r="65" spans="1:20" x14ac:dyDescent="0.2">
      <c r="A65" s="162"/>
      <c r="B65" s="112">
        <v>37</v>
      </c>
      <c r="C65" s="75" t="s">
        <v>159</v>
      </c>
      <c r="D65" s="96"/>
      <c r="E65" s="96"/>
      <c r="F65" s="63">
        <v>1</v>
      </c>
      <c r="G65" s="64">
        <f>References!B13</f>
        <v>20</v>
      </c>
      <c r="H65" s="63">
        <f>F65*G65</f>
        <v>20</v>
      </c>
      <c r="I65" s="79">
        <f t="shared" si="59"/>
        <v>14.64741608587201</v>
      </c>
      <c r="J65" s="80">
        <f>References!$C$49*I65</f>
        <v>0.10736555990944167</v>
      </c>
      <c r="K65" s="80">
        <f>J65/References!$G$52</f>
        <v>0.11037464525076805</v>
      </c>
      <c r="L65" s="80">
        <f>K65/F65</f>
        <v>0.11037464525076805</v>
      </c>
      <c r="M65" s="149">
        <v>8.479382354523203</v>
      </c>
      <c r="N65" s="81">
        <f>L65+M65</f>
        <v>8.5897569997739716</v>
      </c>
      <c r="O65" s="113"/>
      <c r="Q65" s="82"/>
      <c r="R65" s="143"/>
      <c r="T65" s="157">
        <f t="shared" si="54"/>
        <v>1.3016826065390452E-2</v>
      </c>
    </row>
    <row r="66" spans="1:20" x14ac:dyDescent="0.2">
      <c r="A66" s="162"/>
      <c r="B66" s="112">
        <v>38</v>
      </c>
      <c r="C66" s="75" t="s">
        <v>128</v>
      </c>
      <c r="D66" s="96"/>
      <c r="E66" s="96"/>
      <c r="F66" s="63">
        <v>1</v>
      </c>
      <c r="G66" s="64">
        <f>References!B38</f>
        <v>1686</v>
      </c>
      <c r="H66" s="63">
        <f t="shared" si="63"/>
        <v>1686</v>
      </c>
      <c r="I66" s="79">
        <f t="shared" si="59"/>
        <v>1234.7771760390103</v>
      </c>
      <c r="J66" s="80">
        <f>References!$C$49*I66</f>
        <v>9.0509167003659332</v>
      </c>
      <c r="K66" s="80">
        <f>J66/References!$G$52</f>
        <v>9.3045825946397471</v>
      </c>
      <c r="L66" s="80">
        <f t="shared" si="64"/>
        <v>9.3045825946397471</v>
      </c>
      <c r="M66" s="149">
        <v>250.17793248630593</v>
      </c>
      <c r="N66" s="81">
        <f t="shared" si="65"/>
        <v>259.48251508094569</v>
      </c>
      <c r="O66" s="113"/>
      <c r="Q66" s="82"/>
      <c r="R66" s="143"/>
      <c r="T66" s="157">
        <f t="shared" si="54"/>
        <v>3.719185981820794E-2</v>
      </c>
    </row>
    <row r="67" spans="1:20" x14ac:dyDescent="0.2">
      <c r="A67" s="162"/>
      <c r="B67" s="112">
        <v>38</v>
      </c>
      <c r="C67" s="75" t="s">
        <v>139</v>
      </c>
      <c r="D67" s="96"/>
      <c r="E67" s="96"/>
      <c r="F67" s="63">
        <v>1</v>
      </c>
      <c r="G67" s="64">
        <f>References!B39</f>
        <v>2046</v>
      </c>
      <c r="H67" s="63">
        <f t="shared" si="63"/>
        <v>2046</v>
      </c>
      <c r="I67" s="79">
        <f t="shared" si="59"/>
        <v>1498.4306655847065</v>
      </c>
      <c r="J67" s="80">
        <f>References!$C$49*I67</f>
        <v>10.983496778735883</v>
      </c>
      <c r="K67" s="80">
        <f>J67/References!$G$52</f>
        <v>11.291326209153572</v>
      </c>
      <c r="L67" s="80">
        <f t="shared" si="64"/>
        <v>11.291326209153572</v>
      </c>
      <c r="M67" s="149">
        <v>310.0868148677236</v>
      </c>
      <c r="N67" s="81">
        <f t="shared" si="65"/>
        <v>321.37814107687717</v>
      </c>
      <c r="O67" s="113"/>
      <c r="Q67" s="82"/>
      <c r="R67" s="143"/>
      <c r="T67" s="157">
        <f t="shared" si="54"/>
        <v>3.641343542443165E-2</v>
      </c>
    </row>
    <row r="68" spans="1:20" x14ac:dyDescent="0.2">
      <c r="A68" s="162"/>
      <c r="B68" s="112">
        <v>38</v>
      </c>
      <c r="C68" s="75" t="s">
        <v>124</v>
      </c>
      <c r="D68" s="96"/>
      <c r="E68" s="96"/>
      <c r="F68" s="63">
        <v>1</v>
      </c>
      <c r="G68" s="64">
        <f>References!B40</f>
        <v>2310</v>
      </c>
      <c r="H68" s="63">
        <f t="shared" ref="H68:H69" si="66">F68*G68</f>
        <v>2310</v>
      </c>
      <c r="I68" s="79">
        <f t="shared" si="59"/>
        <v>1691.7765579182171</v>
      </c>
      <c r="J68" s="80">
        <f>References!$C$49*I68</f>
        <v>12.400722169540513</v>
      </c>
      <c r="K68" s="80">
        <f>J68/References!$G$52</f>
        <v>12.748271526463711</v>
      </c>
      <c r="L68" s="80">
        <f t="shared" ref="L68:L69" si="67">K68/F68</f>
        <v>12.748271526463711</v>
      </c>
      <c r="M68" s="149">
        <v>367.60866194742982</v>
      </c>
      <c r="N68" s="81">
        <f t="shared" ref="N68:N69" si="68">L68+M68</f>
        <v>380.35693347389355</v>
      </c>
      <c r="O68" s="113"/>
      <c r="Q68" s="82"/>
      <c r="R68" s="143"/>
      <c r="T68" s="157">
        <f t="shared" si="54"/>
        <v>3.4678920401192359E-2</v>
      </c>
    </row>
    <row r="69" spans="1:20" x14ac:dyDescent="0.2">
      <c r="A69" s="162"/>
      <c r="B69" s="112">
        <v>38</v>
      </c>
      <c r="C69" s="75" t="s">
        <v>177</v>
      </c>
      <c r="F69" s="63">
        <v>1</v>
      </c>
      <c r="G69" s="64">
        <f>+References!B36</f>
        <v>892</v>
      </c>
      <c r="H69" s="63">
        <f t="shared" si="66"/>
        <v>892</v>
      </c>
      <c r="I69" s="79">
        <f t="shared" si="59"/>
        <v>653.27475742989157</v>
      </c>
      <c r="J69" s="80">
        <f>References!$C$49*I69</f>
        <v>4.7885039719610978</v>
      </c>
      <c r="K69" s="80">
        <f>J69/References!$G$52</f>
        <v>4.9227091781842542</v>
      </c>
      <c r="L69" s="80">
        <f t="shared" si="67"/>
        <v>4.9227091781842542</v>
      </c>
      <c r="M69" s="149">
        <v>133.74245301173482</v>
      </c>
      <c r="N69" s="81">
        <f t="shared" si="68"/>
        <v>138.66516218991907</v>
      </c>
      <c r="O69" s="113"/>
      <c r="Q69" s="82"/>
      <c r="R69" s="143"/>
      <c r="T69" s="157">
        <f t="shared" si="54"/>
        <v>3.6807379162937304E-2</v>
      </c>
    </row>
    <row r="70" spans="1:20" x14ac:dyDescent="0.2">
      <c r="A70" s="162"/>
      <c r="B70" s="112">
        <v>38</v>
      </c>
      <c r="C70" s="75" t="s">
        <v>153</v>
      </c>
      <c r="F70" s="63">
        <v>1</v>
      </c>
      <c r="G70" s="64">
        <f>References!B37</f>
        <v>1301</v>
      </c>
      <c r="H70" s="63">
        <f t="shared" ref="H70:H71" si="69">F70*G70</f>
        <v>1301</v>
      </c>
      <c r="I70" s="79">
        <f t="shared" si="59"/>
        <v>952.81441638597425</v>
      </c>
      <c r="J70" s="80">
        <f>References!$C$49*I70</f>
        <v>6.984129672109181</v>
      </c>
      <c r="K70" s="80">
        <f>J70/References!$G$52</f>
        <v>7.179870673562462</v>
      </c>
      <c r="L70" s="80">
        <f t="shared" ref="L70:L71" si="70">K70/F70</f>
        <v>7.179870673562462</v>
      </c>
      <c r="M70" s="149">
        <v>194.57482216173432</v>
      </c>
      <c r="N70" s="81">
        <f t="shared" ref="N70:N71" si="71">L70+M70</f>
        <v>201.75469283529679</v>
      </c>
      <c r="O70" s="113"/>
      <c r="Q70" s="82"/>
      <c r="R70" s="143"/>
      <c r="T70" s="157">
        <f t="shared" si="54"/>
        <v>3.6900307006805022E-2</v>
      </c>
    </row>
    <row r="71" spans="1:20" x14ac:dyDescent="0.2">
      <c r="A71" s="162"/>
      <c r="B71" s="112">
        <v>38</v>
      </c>
      <c r="C71" s="75" t="s">
        <v>154</v>
      </c>
      <c r="F71" s="63">
        <v>1</v>
      </c>
      <c r="G71" s="64">
        <f>References!B38</f>
        <v>1686</v>
      </c>
      <c r="H71" s="63">
        <f t="shared" si="69"/>
        <v>1686</v>
      </c>
      <c r="I71" s="79">
        <f t="shared" si="59"/>
        <v>1234.7771760390103</v>
      </c>
      <c r="J71" s="80">
        <f>References!$C$49*I71</f>
        <v>9.0509167003659332</v>
      </c>
      <c r="K71" s="80">
        <f>J71/References!$G$52</f>
        <v>9.3045825946397471</v>
      </c>
      <c r="L71" s="80">
        <f t="shared" si="70"/>
        <v>9.3045825946397471</v>
      </c>
      <c r="M71" s="149">
        <v>254.37793248630592</v>
      </c>
      <c r="N71" s="81">
        <f t="shared" si="71"/>
        <v>263.68251508094568</v>
      </c>
      <c r="O71" s="113"/>
      <c r="Q71" s="82"/>
      <c r="R71" s="143"/>
      <c r="T71" s="157">
        <f t="shared" si="54"/>
        <v>3.6577789998118782E-2</v>
      </c>
    </row>
    <row r="72" spans="1:20" x14ac:dyDescent="0.2">
      <c r="A72" s="162"/>
      <c r="B72" s="112">
        <v>38</v>
      </c>
      <c r="C72" s="75" t="s">
        <v>155</v>
      </c>
      <c r="F72" s="63">
        <v>1</v>
      </c>
      <c r="G72" s="64">
        <f>References!B39</f>
        <v>2046</v>
      </c>
      <c r="H72" s="63">
        <f>F72*G72</f>
        <v>2046</v>
      </c>
      <c r="I72" s="79">
        <f t="shared" si="59"/>
        <v>1498.4306655847065</v>
      </c>
      <c r="J72" s="80">
        <f>References!$C$49*I72</f>
        <v>10.983496778735883</v>
      </c>
      <c r="K72" s="80">
        <f>J72/References!$G$52</f>
        <v>11.291326209153572</v>
      </c>
      <c r="L72" s="80">
        <f>K72/F72</f>
        <v>11.291326209153572</v>
      </c>
      <c r="M72" s="149">
        <v>314.28681486772359</v>
      </c>
      <c r="N72" s="81">
        <f>L72+M72</f>
        <v>325.57814107687716</v>
      </c>
      <c r="O72" s="113"/>
      <c r="Q72" s="82"/>
      <c r="R72" s="143"/>
      <c r="T72" s="157">
        <f t="shared" si="54"/>
        <v>3.5926821218719818E-2</v>
      </c>
    </row>
    <row r="73" spans="1:20" x14ac:dyDescent="0.2">
      <c r="A73" s="162"/>
      <c r="B73" s="112">
        <v>38</v>
      </c>
      <c r="C73" s="75" t="s">
        <v>156</v>
      </c>
      <c r="F73" s="63">
        <v>1</v>
      </c>
      <c r="G73" s="64">
        <f>References!B40</f>
        <v>2310</v>
      </c>
      <c r="H73" s="63">
        <f>F73*G73</f>
        <v>2310</v>
      </c>
      <c r="I73" s="79">
        <f t="shared" si="59"/>
        <v>1691.7765579182171</v>
      </c>
      <c r="J73" s="80">
        <f>References!$C$49*I73</f>
        <v>12.400722169540513</v>
      </c>
      <c r="K73" s="80">
        <f>J73/References!$G$52</f>
        <v>12.748271526463711</v>
      </c>
      <c r="L73" s="80">
        <f>K73/F73</f>
        <v>12.748271526463711</v>
      </c>
      <c r="M73" s="149">
        <v>371.80866194742981</v>
      </c>
      <c r="N73" s="81">
        <f>L73+M73</f>
        <v>384.55693347389354</v>
      </c>
      <c r="O73" s="113"/>
      <c r="Q73" s="82"/>
      <c r="R73" s="143"/>
      <c r="T73" s="157">
        <f t="shared" si="54"/>
        <v>3.4287182712989583E-2</v>
      </c>
    </row>
    <row r="74" spans="1:20" x14ac:dyDescent="0.2">
      <c r="A74" s="162"/>
      <c r="M74" s="150"/>
      <c r="O74" s="113"/>
      <c r="Q74" s="82"/>
      <c r="R74" s="143"/>
      <c r="T74" s="157"/>
    </row>
    <row r="75" spans="1:20" x14ac:dyDescent="0.2">
      <c r="A75" s="162"/>
      <c r="O75" s="113"/>
      <c r="Q75" s="82"/>
      <c r="R75" s="143"/>
    </row>
    <row r="76" spans="1:20" x14ac:dyDescent="0.2">
      <c r="A76" s="162"/>
      <c r="B76" s="121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13"/>
      <c r="Q76" s="143"/>
      <c r="R76" s="143"/>
    </row>
    <row r="77" spans="1:20" x14ac:dyDescent="0.2">
      <c r="A77" s="84"/>
      <c r="B77" s="112"/>
      <c r="D77" s="96"/>
      <c r="E77" s="96"/>
      <c r="F77" s="63"/>
      <c r="G77" s="64"/>
      <c r="H77" s="63"/>
      <c r="I77" s="79"/>
      <c r="J77" s="80"/>
      <c r="K77" s="80"/>
      <c r="L77" s="80"/>
      <c r="M77" s="97"/>
      <c r="N77" s="80"/>
      <c r="O77" s="113"/>
      <c r="Q77" s="143"/>
      <c r="R77" s="143"/>
    </row>
    <row r="78" spans="1:20" x14ac:dyDescent="0.2">
      <c r="B78" s="112"/>
      <c r="D78" s="102"/>
      <c r="E78" s="96"/>
      <c r="F78" s="77"/>
      <c r="G78" s="77"/>
      <c r="H78" s="77"/>
      <c r="I78" s="79"/>
      <c r="J78" s="80"/>
      <c r="K78" s="80"/>
      <c r="L78" s="80"/>
      <c r="M78" s="97"/>
      <c r="N78" s="80"/>
      <c r="Q78" s="143"/>
      <c r="R78" s="143"/>
    </row>
    <row r="79" spans="1:20" x14ac:dyDescent="0.2">
      <c r="A79" s="123"/>
      <c r="B79" s="112"/>
      <c r="C79" s="124"/>
      <c r="D79" s="102"/>
      <c r="I79" s="103"/>
      <c r="Q79" s="143"/>
      <c r="R79" s="143"/>
    </row>
    <row r="80" spans="1:20" x14ac:dyDescent="0.2">
      <c r="A80" s="123"/>
      <c r="B80" s="125" t="s">
        <v>129</v>
      </c>
      <c r="C80" s="126"/>
      <c r="H80" s="127"/>
      <c r="I80" s="103"/>
      <c r="Q80" s="143"/>
      <c r="R80" s="143"/>
    </row>
    <row r="81" spans="1:18" x14ac:dyDescent="0.2">
      <c r="A81" s="123"/>
      <c r="C81" s="128" t="s">
        <v>31</v>
      </c>
      <c r="E81" s="129"/>
      <c r="F81" s="129"/>
      <c r="H81" s="127"/>
      <c r="I81" s="103"/>
      <c r="J81" s="130"/>
      <c r="O81" s="102"/>
      <c r="Q81" s="143"/>
      <c r="R81" s="143"/>
    </row>
    <row r="82" spans="1:18" x14ac:dyDescent="0.2">
      <c r="A82" s="123"/>
      <c r="B82" s="75" t="s">
        <v>130</v>
      </c>
      <c r="C82" s="131">
        <f>References!B54</f>
        <v>23545.03</v>
      </c>
      <c r="E82" s="103"/>
      <c r="F82" s="103"/>
      <c r="G82" s="132"/>
      <c r="H82" s="133"/>
      <c r="I82" s="77"/>
      <c r="J82" s="130"/>
      <c r="O82" s="102"/>
      <c r="Q82" s="143"/>
      <c r="R82" s="143"/>
    </row>
    <row r="83" spans="1:18" x14ac:dyDescent="0.2">
      <c r="A83" s="123"/>
      <c r="B83" s="75" t="s">
        <v>131</v>
      </c>
      <c r="C83" s="110">
        <f>C82*2000</f>
        <v>47090060</v>
      </c>
      <c r="E83" s="134"/>
      <c r="F83" s="134"/>
      <c r="G83" s="134"/>
      <c r="H83" s="135"/>
      <c r="I83" s="103"/>
      <c r="J83" s="130"/>
      <c r="Q83" s="143"/>
      <c r="R83" s="143"/>
    </row>
    <row r="84" spans="1:18" x14ac:dyDescent="0.2">
      <c r="A84" s="123"/>
      <c r="B84" s="75" t="s">
        <v>132</v>
      </c>
      <c r="C84" s="110">
        <f>F33</f>
        <v>1045447</v>
      </c>
      <c r="E84" s="103"/>
      <c r="F84" s="103"/>
      <c r="G84" s="103"/>
      <c r="I84" s="77"/>
      <c r="J84" s="130"/>
      <c r="O84" s="102"/>
      <c r="Q84" s="143"/>
      <c r="R84" s="143"/>
    </row>
    <row r="85" spans="1:18" x14ac:dyDescent="0.2">
      <c r="B85" s="127" t="s">
        <v>133</v>
      </c>
      <c r="C85" s="136">
        <f>C83/$H$33</f>
        <v>0.73237080429360046</v>
      </c>
      <c r="E85" s="137"/>
      <c r="F85" s="137"/>
      <c r="G85" s="137"/>
      <c r="H85" s="138"/>
      <c r="I85" s="103"/>
      <c r="J85" s="130"/>
      <c r="M85" s="139"/>
      <c r="N85" s="139"/>
      <c r="O85" s="140"/>
      <c r="Q85" s="143"/>
      <c r="R85" s="143"/>
    </row>
    <row r="86" spans="1:18" x14ac:dyDescent="0.2">
      <c r="B86" s="112"/>
      <c r="D86" s="102"/>
      <c r="E86" s="130"/>
      <c r="G86" s="141"/>
      <c r="H86" s="142"/>
      <c r="I86" s="103"/>
      <c r="J86" s="130"/>
      <c r="M86" s="113"/>
      <c r="N86" s="143"/>
      <c r="O86" s="144"/>
      <c r="Q86" s="143"/>
      <c r="R86" s="143"/>
    </row>
    <row r="87" spans="1:18" x14ac:dyDescent="0.2">
      <c r="B87" s="112"/>
      <c r="D87" s="145"/>
      <c r="E87" s="146"/>
      <c r="G87" s="141"/>
      <c r="H87" s="142"/>
      <c r="I87" s="103"/>
      <c r="J87" s="130"/>
      <c r="M87" s="113"/>
      <c r="N87" s="143"/>
      <c r="O87" s="144"/>
      <c r="Q87" s="143"/>
      <c r="R87" s="143"/>
    </row>
    <row r="88" spans="1:18" x14ac:dyDescent="0.2">
      <c r="B88" s="112"/>
      <c r="D88" s="145"/>
      <c r="E88" s="146"/>
      <c r="G88" s="141"/>
      <c r="H88" s="142"/>
      <c r="I88" s="103"/>
      <c r="J88" s="130"/>
      <c r="M88" s="113"/>
      <c r="N88" s="143"/>
      <c r="O88" s="144"/>
      <c r="Q88" s="143"/>
      <c r="R88" s="143"/>
    </row>
    <row r="89" spans="1:18" x14ac:dyDescent="0.2">
      <c r="B89" s="112"/>
      <c r="Q89" s="143"/>
      <c r="R89" s="143"/>
    </row>
  </sheetData>
  <mergeCells count="4">
    <mergeCell ref="A2:A12"/>
    <mergeCell ref="A18:A31"/>
    <mergeCell ref="A37:A40"/>
    <mergeCell ref="A41:A76"/>
  </mergeCells>
  <phoneticPr fontId="22" type="noConversion"/>
  <pageMargins left="0.45" right="0.45" top="0.25" bottom="0.25" header="0.3" footer="0.3"/>
  <pageSetup scale="55" orientation="landscape" r:id="rId1"/>
  <ignoredErrors>
    <ignoredError sqref="I1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2E9FD20081DB4B81B67C06853789F1" ma:contentTypeVersion="28" ma:contentTypeDescription="" ma:contentTypeScope="" ma:versionID="f55c162d92e06e4f63457026700027f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2022-11-15T08:00:00+00:00</OpenedDate>
    <Date1 xmlns="dc463f71-b30c-4ab2-9473-d307f9d35888">2022-11-15T08:00:00+00:00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DocketNumber xmlns="dc463f71-b30c-4ab2-9473-d307f9d35888">220853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5B8BD98-D631-406A-A71F-27EC275CB518}"/>
</file>

<file path=customXml/itemProps2.xml><?xml version="1.0" encoding="utf-8"?>
<ds:datastoreItem xmlns:ds="http://schemas.openxmlformats.org/officeDocument/2006/customXml" ds:itemID="{7FA5D116-70AE-4FD9-BB0B-BD17E814E6DC}">
  <ds:schemaRefs>
    <ds:schemaRef ds:uri="dc463f71-b30c-4ab2-9473-d307f9d35888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2EDC31-408A-43CF-B5EB-08DFC2A6A9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5950340-5F19-4609-B71E-EBAFB43CE9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Revenue &amp; Expense Adj.</vt:lpstr>
      <vt:lpstr>References</vt:lpstr>
      <vt:lpstr>Priceout</vt:lpstr>
      <vt:lpstr>Priceout!Print_Area</vt:lpstr>
      <vt:lpstr>'Revenue &amp; Expense Adj.'!Print_Area</vt:lpstr>
    </vt:vector>
  </TitlesOfParts>
  <Manager/>
  <Company>Waste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Weinstein, Mike</dc:creator>
  <cp:keywords/>
  <dc:description/>
  <cp:lastModifiedBy>Johnson, Miesha (UTC)</cp:lastModifiedBy>
  <cp:lastPrinted>2018-11-01T22:08:46Z</cp:lastPrinted>
  <dcterms:created xsi:type="dcterms:W3CDTF">2016-09-23T16:56:42Z</dcterms:created>
  <dcterms:modified xsi:type="dcterms:W3CDTF">2022-11-17T20:33:23Z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0x0101006E56B4D1795A2E4DB2F0B01679ED314A00A22E9FD20081DB4B81B67C06853789F1</vt:lpwstr>
  </property>
  <property fmtid="{D5CDD505-2E9C-101B-9397-08002B2CF9AE}" pid="3" name="_docset_NoMedatataSyncRequired">
    <vt:lpwstr>False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IsEFSEC">
    <vt:bool>false</vt:bool>
  </property>
</Properties>
</file>