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Tariffs\1. Open Advices\2022-15 Natural Gas Schedule 149 - CRM (UE-220xxx) (Eff 11-01-22)\"/>
    </mc:Choice>
  </mc:AlternateContent>
  <bookViews>
    <workbookView xWindow="0" yWindow="0" windowWidth="19200" windowHeight="6180" tabRatio="914"/>
  </bookViews>
  <sheets>
    <sheet name="CRM Rates" sheetId="113" r:id="rId1"/>
    <sheet name="Summary - Revenue Requirement" sheetId="238" r:id="rId2"/>
    <sheet name="Rate Impacts--&gt;" sheetId="56" r:id="rId3"/>
    <sheet name="Rate Impacts Sch 149" sheetId="253" r:id="rId4"/>
    <sheet name="Typical Res Bill Sch 149" sheetId="254" r:id="rId5"/>
    <sheet name="Sch. 149" sheetId="255" r:id="rId6"/>
    <sheet name="Work Papers--&gt;" sheetId="27" r:id="rId7"/>
    <sheet name="CRM 2022 Rev Req Alloc" sheetId="215" r:id="rId8"/>
    <sheet name="CRM 2021 Rev Req Alloc TrueUp" sheetId="84" r:id="rId9"/>
    <sheet name="CRM 2021 Rev Req Alloc (YEAR 2)" sheetId="216" r:id="rId10"/>
    <sheet name="CRM 2020 Rev Req Alloc (YEAR 3)" sheetId="38" r:id="rId11"/>
    <sheet name="CRM 2019 Rev Req Alloc (YEAR 4)" sheetId="252" r:id="rId12"/>
    <sheet name="Allocation Factors" sheetId="24" r:id="rId13"/>
    <sheet name="Forecasted Volume" sheetId="25" r:id="rId14"/>
    <sheet name="RR workpapers--&gt;" sheetId="220" r:id="rId15"/>
    <sheet name="2022 CAP CRM" sheetId="239" r:id="rId16"/>
    <sheet name="2022 C&amp;OM" sheetId="240" r:id="rId17"/>
    <sheet name="2021TrueUp" sheetId="243" r:id="rId18"/>
    <sheet name="Summary 2021" sheetId="241" r:id="rId19"/>
    <sheet name="2021 + true up CAP" sheetId="242" r:id="rId20"/>
    <sheet name="2021 CRM " sheetId="244" r:id="rId21"/>
    <sheet name="2020 CRM" sheetId="245" r:id="rId22"/>
    <sheet name="Summary 2020 (from 2020 filing)" sheetId="224" r:id="rId23"/>
    <sheet name="2019 CRM" sheetId="246" r:id="rId24"/>
    <sheet name="CRM CAP Forecast(from2019filin)" sheetId="247" r:id="rId25"/>
    <sheet name="2017 4.01 G" sheetId="248" r:id="rId26"/>
    <sheet name="2019 GRC" sheetId="249" r:id="rId27"/>
    <sheet name="MACRS 20" sheetId="250" r:id="rId28"/>
  </sheets>
  <definedNames>
    <definedName name="ee" localSheetId="11" hidden="1">{#N/A,#N/A,FALSE,"Month ";#N/A,#N/A,FALSE,"YTD";#N/A,#N/A,FALSE,"12 mo ended"}</definedName>
    <definedName name="ee" localSheetId="4" hidden="1">{#N/A,#N/A,FALSE,"Month ";#N/A,#N/A,FALSE,"YTD";#N/A,#N/A,FALSE,"12 mo ended"}</definedName>
    <definedName name="ee" hidden="1">{#N/A,#N/A,FALSE,"Month ";#N/A,#N/A,FALSE,"YTD";#N/A,#N/A,FALSE,"12 mo ended"}</definedName>
    <definedName name="fdasfda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1" hidden="1">{#N/A,#N/A,FALSE,"Month ";#N/A,#N/A,FALSE,"YTD";#N/A,#N/A,FALSE,"12 mo ended"}</definedName>
    <definedName name="fdsafdasfdsa" localSheetId="4" hidden="1">{#N/A,#N/A,FALSE,"Month ";#N/A,#N/A,FALSE,"YTD";#N/A,#N/A,FALSE,"12 mo ended"}</definedName>
    <definedName name="fdsafdasfdsa" hidden="1">{#N/A,#N/A,FALSE,"Month ";#N/A,#N/A,FALSE,"YTD";#N/A,#N/A,FALSE,"12 mo ended"}</definedName>
    <definedName name="k"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p"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25">'2017 4.01 G'!$B$1:$F$21</definedName>
    <definedName name="_xlnm.Print_Area" localSheetId="12">'Allocation Factors'!$B$1:$K$28</definedName>
    <definedName name="_xlnm.Print_Area" localSheetId="11">'CRM 2019 Rev Req Alloc (YEAR 4)'!$B$1:$L$23</definedName>
    <definedName name="_xlnm.Print_Area" localSheetId="10">'CRM 2020 Rev Req Alloc (YEAR 3)'!$B$1:$L$23</definedName>
    <definedName name="_xlnm.Print_Area" localSheetId="9">'CRM 2021 Rev Req Alloc (YEAR 2)'!$B$1:$L$23</definedName>
    <definedName name="_xlnm.Print_Area" localSheetId="8">'CRM 2021 Rev Req Alloc TrueUp'!$B$1:$L$30</definedName>
    <definedName name="_xlnm.Print_Area" localSheetId="7">'CRM 2022 Rev Req Alloc'!$B$1:$L$30</definedName>
    <definedName name="_xlnm.Print_Area" localSheetId="0">'CRM Rates'!$A$1:$K$23</definedName>
    <definedName name="_xlnm.Print_Area" localSheetId="3">'Rate Impacts Sch 149'!$B$1:$T$37</definedName>
    <definedName name="_xlnm.Print_Area" localSheetId="5">'Sch. 149'!$A$1:$I$22</definedName>
    <definedName name="_xlnm.Print_Area" localSheetId="4">'Typical Res Bill Sch 149'!$B$1:$H$38</definedName>
    <definedName name="we" localSheetId="11" hidden="1">{#N/A,#N/A,FALSE,"Pg 6b CustCount_Gas";#N/A,#N/A,FALSE,"QA";#N/A,#N/A,FALSE,"Report";#N/A,#N/A,FALSE,"forecast"}</definedName>
    <definedName name="we" localSheetId="4" hidden="1">{#N/A,#N/A,FALSE,"Pg 6b CustCount_Gas";#N/A,#N/A,FALSE,"QA";#N/A,#N/A,FALSE,"Report";#N/A,#N/A,FALSE,"forecast"}</definedName>
    <definedName name="we" hidden="1">{#N/A,#N/A,FALSE,"Pg 6b CustCount_Gas";#N/A,#N/A,FALSE,"QA";#N/A,#N/A,FALSE,"Report";#N/A,#N/A,FALSE,"forecast"}</definedName>
    <definedName name="wrn.Customer._.Counts._.Electric."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1" hidden="1">{#N/A,#N/A,FALSE,"Pg 6b CustCount_Gas";#N/A,#N/A,FALSE,"QA";#N/A,#N/A,FALSE,"Report";#N/A,#N/A,FALSE,"forecast"}</definedName>
    <definedName name="wrn.Customer._.Counts._.Gas." localSheetId="4" hidden="1">{#N/A,#N/A,FALSE,"Pg 6b CustCount_Gas";#N/A,#N/A,FALSE,"QA";#N/A,#N/A,FALSE,"Report";#N/A,#N/A,FALSE,"forecast"}</definedName>
    <definedName name="wrn.Customer._.Counts._.Gas." hidden="1">{#N/A,#N/A,FALSE,"Pg 6b CustCount_Gas";#N/A,#N/A,FALSE,"QA";#N/A,#N/A,FALSE,"Report";#N/A,#N/A,FALSE,"forecast"}</definedName>
    <definedName name="wrn.Incentive._.Overhead." localSheetId="11" hidden="1">{#N/A,#N/A,FALSE,"Coversheet";#N/A,#N/A,FALSE,"QA"}</definedName>
    <definedName name="wrn.Incentive._.Overhead." localSheetId="4" hidden="1">{#N/A,#N/A,FALSE,"Coversheet";#N/A,#N/A,FALSE,"QA"}</definedName>
    <definedName name="wrn.Incentive._.Overhead." hidden="1">{#N/A,#N/A,FALSE,"Coversheet";#N/A,#N/A,FALSE,"QA"}</definedName>
    <definedName name="wrn.MARGIN_WO_QTR." localSheetId="11" hidden="1">{#N/A,#N/A,FALSE,"Month ";#N/A,#N/A,FALSE,"YTD";#N/A,#N/A,FALSE,"12 mo ended"}</definedName>
    <definedName name="wrn.MARGIN_WO_QTR." localSheetId="4" hidden="1">{#N/A,#N/A,FALSE,"Month ";#N/A,#N/A,FALSE,"YTD";#N/A,#N/A,FALSE,"12 mo ended"}</definedName>
    <definedName name="wrn.MARGIN_WO_QTR." hidden="1">{#N/A,#N/A,FALSE,"Month ";#N/A,#N/A,FALSE,"YTD";#N/A,#N/A,FALSE,"12 mo ended"}</definedName>
    <definedName name="wrn.Municipal._.Report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y"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62913"/>
</workbook>
</file>

<file path=xl/calcChain.xml><?xml version="1.0" encoding="utf-8"?>
<calcChain xmlns="http://schemas.openxmlformats.org/spreadsheetml/2006/main">
  <c r="C10" i="224" l="1"/>
  <c r="G23" i="253" l="1"/>
  <c r="G22" i="253"/>
  <c r="G21" i="253"/>
  <c r="G20" i="253"/>
  <c r="G19" i="253"/>
  <c r="G18" i="253"/>
  <c r="G17" i="253"/>
  <c r="G16" i="253"/>
  <c r="G15" i="253"/>
  <c r="G14" i="253"/>
  <c r="G13" i="253"/>
  <c r="G12" i="253"/>
  <c r="G11" i="253"/>
  <c r="C21" i="255" l="1"/>
  <c r="C12" i="255"/>
  <c r="C13" i="255"/>
  <c r="C14" i="255"/>
  <c r="C15" i="255"/>
  <c r="C16" i="255"/>
  <c r="C17" i="255"/>
  <c r="F17" i="255" s="1"/>
  <c r="Q19" i="253" s="1"/>
  <c r="C18" i="255"/>
  <c r="C19" i="255"/>
  <c r="C20" i="255"/>
  <c r="C11" i="255"/>
  <c r="C10" i="255"/>
  <c r="C9" i="255"/>
  <c r="C8" i="255"/>
  <c r="F20" i="255"/>
  <c r="F16" i="255"/>
  <c r="Q18" i="253" s="1"/>
  <c r="F13" i="255"/>
  <c r="Q15" i="253" s="1"/>
  <c r="F12" i="255"/>
  <c r="Q14" i="253" s="1"/>
  <c r="F9" i="255"/>
  <c r="G28" i="254"/>
  <c r="D29" i="254"/>
  <c r="E29" i="254" s="1"/>
  <c r="G25" i="254"/>
  <c r="H25" i="254" s="1"/>
  <c r="E25" i="254"/>
  <c r="G21" i="254"/>
  <c r="G20" i="254"/>
  <c r="G19" i="254"/>
  <c r="G18" i="254"/>
  <c r="G17" i="254"/>
  <c r="G16" i="254"/>
  <c r="G12" i="254"/>
  <c r="B4" i="254"/>
  <c r="B2" i="254"/>
  <c r="P33" i="253"/>
  <c r="L33" i="253"/>
  <c r="K33" i="253"/>
  <c r="J33" i="253"/>
  <c r="I33" i="253"/>
  <c r="P32" i="253"/>
  <c r="P30" i="253"/>
  <c r="O33" i="253"/>
  <c r="N33" i="253"/>
  <c r="M33" i="253"/>
  <c r="G33" i="253"/>
  <c r="F23" i="253"/>
  <c r="H23" i="253" s="1"/>
  <c r="D33" i="253"/>
  <c r="Q22" i="253"/>
  <c r="F22" i="253"/>
  <c r="H22" i="253" s="1"/>
  <c r="R22" i="253" s="1"/>
  <c r="F21" i="253"/>
  <c r="H21" i="253" s="1"/>
  <c r="F20" i="253"/>
  <c r="H20" i="253" s="1"/>
  <c r="F19" i="253"/>
  <c r="H19" i="253" s="1"/>
  <c r="F18" i="253"/>
  <c r="H18" i="253" s="1"/>
  <c r="O32" i="253"/>
  <c r="N32" i="253"/>
  <c r="M32" i="253"/>
  <c r="L32" i="253"/>
  <c r="K32" i="253"/>
  <c r="J32" i="253"/>
  <c r="I32" i="253"/>
  <c r="G32" i="253"/>
  <c r="F17" i="253"/>
  <c r="H17" i="253" s="1"/>
  <c r="D32" i="253"/>
  <c r="P31" i="253"/>
  <c r="O31" i="253"/>
  <c r="N31" i="253"/>
  <c r="M31" i="253"/>
  <c r="L31" i="253"/>
  <c r="K31" i="253"/>
  <c r="J31" i="253"/>
  <c r="I31" i="253"/>
  <c r="G31" i="253"/>
  <c r="F16" i="253"/>
  <c r="H16" i="253" s="1"/>
  <c r="E31" i="253"/>
  <c r="D31" i="253"/>
  <c r="O30" i="253"/>
  <c r="N30" i="253"/>
  <c r="M30" i="253"/>
  <c r="L30" i="253"/>
  <c r="K30" i="253"/>
  <c r="J30" i="253"/>
  <c r="I30" i="253"/>
  <c r="G30" i="253"/>
  <c r="E30" i="253"/>
  <c r="D30" i="253"/>
  <c r="P29" i="253"/>
  <c r="O29" i="253"/>
  <c r="N29" i="253"/>
  <c r="M29" i="253"/>
  <c r="L29" i="253"/>
  <c r="K29" i="253"/>
  <c r="J29" i="253"/>
  <c r="I29" i="253"/>
  <c r="G29" i="253"/>
  <c r="E29" i="253"/>
  <c r="D29" i="253"/>
  <c r="P28" i="253"/>
  <c r="O28" i="253"/>
  <c r="N28" i="253"/>
  <c r="M28" i="253"/>
  <c r="L28" i="253"/>
  <c r="K28" i="253"/>
  <c r="J28" i="253"/>
  <c r="I28" i="253"/>
  <c r="G28" i="253"/>
  <c r="F13" i="253"/>
  <c r="H13" i="253" s="1"/>
  <c r="E28" i="253"/>
  <c r="D28" i="253"/>
  <c r="F12" i="253"/>
  <c r="H12" i="253" s="1"/>
  <c r="P27" i="253"/>
  <c r="O27" i="253"/>
  <c r="N27" i="253"/>
  <c r="N34" i="253" s="1"/>
  <c r="M27" i="253"/>
  <c r="L27" i="253"/>
  <c r="K27" i="253"/>
  <c r="J24" i="253"/>
  <c r="I27" i="253"/>
  <c r="G27" i="253"/>
  <c r="E27" i="253"/>
  <c r="D27" i="253"/>
  <c r="D34" i="253" l="1"/>
  <c r="F21" i="255"/>
  <c r="Q23" i="253" s="1"/>
  <c r="Q33" i="253" s="1"/>
  <c r="Q29" i="253"/>
  <c r="R18" i="253"/>
  <c r="R19" i="253"/>
  <c r="M34" i="253"/>
  <c r="F31" i="253"/>
  <c r="G34" i="253"/>
  <c r="P34" i="253"/>
  <c r="H31" i="253"/>
  <c r="F27" i="253"/>
  <c r="Q11" i="253"/>
  <c r="I34" i="253"/>
  <c r="H32" i="253"/>
  <c r="H12" i="254"/>
  <c r="H13" i="254" s="1"/>
  <c r="G13" i="254"/>
  <c r="Q30" i="253"/>
  <c r="O34" i="253"/>
  <c r="K34" i="253"/>
  <c r="F28" i="253"/>
  <c r="F30" i="253"/>
  <c r="R23" i="253"/>
  <c r="R33" i="253" s="1"/>
  <c r="H33" i="253"/>
  <c r="F29" i="253"/>
  <c r="L34" i="253"/>
  <c r="H28" i="253"/>
  <c r="F11" i="253"/>
  <c r="H11" i="253" s="1"/>
  <c r="K24" i="253"/>
  <c r="J27" i="253"/>
  <c r="J34" i="253" s="1"/>
  <c r="E32" i="253"/>
  <c r="F32" i="253" s="1"/>
  <c r="D13" i="254"/>
  <c r="F14" i="253"/>
  <c r="H14" i="253" s="1"/>
  <c r="D24" i="253"/>
  <c r="L24" i="253"/>
  <c r="E33" i="253"/>
  <c r="F33" i="253" s="1"/>
  <c r="F15" i="253"/>
  <c r="H15" i="253" s="1"/>
  <c r="E24" i="253"/>
  <c r="M24" i="253"/>
  <c r="D23" i="254"/>
  <c r="N24" i="253"/>
  <c r="G27" i="254"/>
  <c r="G29" i="254" s="1"/>
  <c r="H29" i="254" s="1"/>
  <c r="F11" i="255"/>
  <c r="Q13" i="253" s="1"/>
  <c r="Q28" i="253" s="1"/>
  <c r="F15" i="255"/>
  <c r="Q17" i="253" s="1"/>
  <c r="Q32" i="253" s="1"/>
  <c r="F19" i="255"/>
  <c r="Q21" i="253" s="1"/>
  <c r="R21" i="253" s="1"/>
  <c r="C22" i="255"/>
  <c r="G24" i="253"/>
  <c r="O24" i="253"/>
  <c r="P24" i="253"/>
  <c r="E12" i="254"/>
  <c r="E13" i="254" s="1"/>
  <c r="F10" i="255"/>
  <c r="Q12" i="253" s="1"/>
  <c r="R12" i="253" s="1"/>
  <c r="F14" i="255"/>
  <c r="Q16" i="253" s="1"/>
  <c r="R16" i="253" s="1"/>
  <c r="F18" i="255"/>
  <c r="Q20" i="253" s="1"/>
  <c r="R20" i="253" s="1"/>
  <c r="I24" i="253"/>
  <c r="E27" i="215"/>
  <c r="F26" i="240"/>
  <c r="R31" i="253" l="1"/>
  <c r="H27" i="253"/>
  <c r="H24" i="253"/>
  <c r="R11" i="253"/>
  <c r="E34" i="253"/>
  <c r="F34" i="253" s="1"/>
  <c r="R14" i="253"/>
  <c r="R29" i="253" s="1"/>
  <c r="H29" i="253"/>
  <c r="E23" i="254"/>
  <c r="E30" i="254" s="1"/>
  <c r="E32" i="254" s="1"/>
  <c r="D36" i="254"/>
  <c r="D30" i="254"/>
  <c r="R17" i="253"/>
  <c r="R32" i="253" s="1"/>
  <c r="Q27" i="253"/>
  <c r="Q24" i="253"/>
  <c r="F24" i="253"/>
  <c r="F22" i="255"/>
  <c r="Q31" i="253"/>
  <c r="R15" i="253"/>
  <c r="R30" i="253" s="1"/>
  <c r="H30" i="253"/>
  <c r="R13" i="253"/>
  <c r="R28" i="253" s="1"/>
  <c r="F16" i="239"/>
  <c r="R24" i="253" l="1"/>
  <c r="R27" i="253"/>
  <c r="R34" i="253" s="1"/>
  <c r="Q34" i="253"/>
  <c r="H34" i="253"/>
  <c r="O28" i="84"/>
  <c r="N12" i="113" l="1"/>
  <c r="M12" i="113"/>
  <c r="F12" i="113"/>
  <c r="G12" i="113"/>
  <c r="H12" i="113"/>
  <c r="I12" i="113"/>
  <c r="J12" i="113"/>
  <c r="K12" i="113"/>
  <c r="E12" i="113"/>
  <c r="D12" i="113"/>
  <c r="O21" i="252"/>
  <c r="E20" i="252"/>
  <c r="E15" i="252"/>
  <c r="F15" i="252" s="1"/>
  <c r="E14" i="252"/>
  <c r="I14" i="252" s="1"/>
  <c r="O11" i="252"/>
  <c r="E10" i="252"/>
  <c r="G10" i="252" s="1"/>
  <c r="E9" i="252"/>
  <c r="G9" i="252" s="1"/>
  <c r="B2" i="252"/>
  <c r="G15" i="252" l="1"/>
  <c r="H15" i="252"/>
  <c r="I15" i="252"/>
  <c r="F14" i="252"/>
  <c r="G14" i="252"/>
  <c r="G16" i="252" s="1"/>
  <c r="H14" i="252"/>
  <c r="F10" i="252"/>
  <c r="H9" i="252"/>
  <c r="I9" i="252"/>
  <c r="J9" i="252"/>
  <c r="K9" i="252"/>
  <c r="L9" i="252"/>
  <c r="F9" i="252"/>
  <c r="F11" i="252" s="1"/>
  <c r="I10" i="252"/>
  <c r="I11" i="252" s="1"/>
  <c r="J14" i="252"/>
  <c r="J15" i="252"/>
  <c r="J16" i="252" s="1"/>
  <c r="H10" i="252"/>
  <c r="H11" i="252" s="1"/>
  <c r="J10" i="252"/>
  <c r="J11" i="252" s="1"/>
  <c r="K10" i="252"/>
  <c r="K14" i="252"/>
  <c r="K15" i="252"/>
  <c r="N15" i="252" s="1"/>
  <c r="L10" i="252"/>
  <c r="L14" i="252"/>
  <c r="L15" i="252"/>
  <c r="G11" i="252"/>
  <c r="E11" i="252"/>
  <c r="F16" i="252"/>
  <c r="E16" i="252"/>
  <c r="O16" i="252" s="1"/>
  <c r="L11" i="252"/>
  <c r="H16" i="252"/>
  <c r="G19" i="252" l="1"/>
  <c r="G21" i="252" s="1"/>
  <c r="F19" i="252"/>
  <c r="F21" i="252" s="1"/>
  <c r="J19" i="252"/>
  <c r="J21" i="252" s="1"/>
  <c r="L16" i="252"/>
  <c r="L19" i="252" s="1"/>
  <c r="L21" i="252" s="1"/>
  <c r="K16" i="252"/>
  <c r="K11" i="252"/>
  <c r="H19" i="252"/>
  <c r="H21" i="252" s="1"/>
  <c r="K19" i="252"/>
  <c r="K21" i="252" s="1"/>
  <c r="N11" i="252"/>
  <c r="N10" i="252"/>
  <c r="E19" i="252"/>
  <c r="N9" i="252"/>
  <c r="N14" i="252"/>
  <c r="I16" i="252"/>
  <c r="I19" i="252" s="1"/>
  <c r="I21" i="252" s="1"/>
  <c r="N16" i="252" l="1"/>
  <c r="E21" i="252"/>
  <c r="N19" i="252"/>
  <c r="I23" i="252"/>
  <c r="K23" i="252"/>
  <c r="N21" i="252" l="1"/>
  <c r="G23" i="252"/>
  <c r="J23" i="252"/>
  <c r="F23" i="252"/>
  <c r="H23" i="252"/>
  <c r="L23" i="252"/>
  <c r="E23" i="252" l="1"/>
  <c r="E20" i="38"/>
  <c r="O11" i="38"/>
  <c r="E10" i="38"/>
  <c r="E9" i="38"/>
  <c r="N14" i="113"/>
  <c r="E20" i="216"/>
  <c r="E65" i="239"/>
  <c r="O16" i="216"/>
  <c r="E15" i="216"/>
  <c r="E14" i="216"/>
  <c r="O11" i="216"/>
  <c r="E10" i="216"/>
  <c r="E9" i="216"/>
  <c r="N15" i="113"/>
  <c r="E27" i="84"/>
  <c r="O24" i="84"/>
  <c r="E23" i="84"/>
  <c r="E22" i="84"/>
  <c r="E21" i="84"/>
  <c r="H21" i="84" s="1"/>
  <c r="E20" i="84"/>
  <c r="D23" i="84"/>
  <c r="E24" i="84"/>
  <c r="I23" i="84"/>
  <c r="C23" i="84"/>
  <c r="D22" i="84"/>
  <c r="D21" i="84"/>
  <c r="D20" i="84"/>
  <c r="D19" i="84"/>
  <c r="D23" i="215"/>
  <c r="D22" i="215"/>
  <c r="D21" i="215"/>
  <c r="D20" i="215"/>
  <c r="D19" i="215"/>
  <c r="J22" i="84"/>
  <c r="C22" i="84"/>
  <c r="C21" i="84"/>
  <c r="K20" i="84"/>
  <c r="C20" i="84"/>
  <c r="E19" i="84"/>
  <c r="E15" i="84"/>
  <c r="E14" i="84"/>
  <c r="E10" i="84"/>
  <c r="E9" i="84"/>
  <c r="O16" i="241"/>
  <c r="N16" i="241"/>
  <c r="O15" i="241"/>
  <c r="O17" i="241" s="1"/>
  <c r="N15" i="241"/>
  <c r="O14" i="241"/>
  <c r="A13" i="113"/>
  <c r="A14" i="113" s="1"/>
  <c r="A15" i="113" s="1"/>
  <c r="A16" i="113" s="1"/>
  <c r="A17" i="113" s="1"/>
  <c r="A18" i="113" s="1"/>
  <c r="A19" i="113" s="1"/>
  <c r="A20" i="113" s="1"/>
  <c r="A21" i="113" s="1"/>
  <c r="A22" i="113" s="1"/>
  <c r="A23" i="113" s="1"/>
  <c r="A12" i="113"/>
  <c r="V7" i="250"/>
  <c r="U7" i="250"/>
  <c r="T7" i="250"/>
  <c r="S7" i="250"/>
  <c r="R7" i="250"/>
  <c r="Q7" i="250"/>
  <c r="P7" i="250"/>
  <c r="O7" i="250"/>
  <c r="N7" i="250"/>
  <c r="M7" i="250"/>
  <c r="L7" i="250"/>
  <c r="K7" i="250"/>
  <c r="J7" i="250"/>
  <c r="I7" i="250"/>
  <c r="H7" i="250"/>
  <c r="G7" i="250"/>
  <c r="F7" i="250"/>
  <c r="E7" i="250"/>
  <c r="D7" i="250"/>
  <c r="C7" i="250"/>
  <c r="B7" i="250"/>
  <c r="W7" i="250" s="1"/>
  <c r="V6" i="250"/>
  <c r="U6" i="250"/>
  <c r="T6" i="250"/>
  <c r="S6" i="250"/>
  <c r="R6" i="250"/>
  <c r="Q6" i="250"/>
  <c r="P6" i="250"/>
  <c r="O6" i="250"/>
  <c r="R66" i="246" s="1"/>
  <c r="N6" i="250"/>
  <c r="M6" i="250"/>
  <c r="L6" i="250"/>
  <c r="O66" i="246" s="1"/>
  <c r="K6" i="250"/>
  <c r="J6" i="250"/>
  <c r="I6" i="250"/>
  <c r="L66" i="246" s="1"/>
  <c r="H6" i="250"/>
  <c r="G6" i="250"/>
  <c r="J66" i="246" s="1"/>
  <c r="F6" i="250"/>
  <c r="E6" i="250"/>
  <c r="D6" i="250"/>
  <c r="G66" i="246" s="1"/>
  <c r="C6" i="250"/>
  <c r="B6" i="250"/>
  <c r="W5" i="250"/>
  <c r="G20" i="249"/>
  <c r="F20" i="249"/>
  <c r="G18" i="249"/>
  <c r="G14" i="249"/>
  <c r="F13" i="249"/>
  <c r="F14" i="249" s="1"/>
  <c r="F15" i="249" s="1"/>
  <c r="F16" i="249" s="1"/>
  <c r="F17" i="249" s="1"/>
  <c r="F18" i="249" s="1"/>
  <c r="F19" i="249" s="1"/>
  <c r="D88" i="247"/>
  <c r="D87" i="247"/>
  <c r="E87" i="247" s="1"/>
  <c r="B87" i="247"/>
  <c r="B86" i="247"/>
  <c r="E81" i="247"/>
  <c r="D36" i="247" s="1"/>
  <c r="D37" i="247" s="1"/>
  <c r="E80" i="247"/>
  <c r="E78" i="247"/>
  <c r="E83" i="247" s="1"/>
  <c r="D78" i="247"/>
  <c r="C78" i="247"/>
  <c r="E77" i="247"/>
  <c r="E76" i="247"/>
  <c r="E75" i="247"/>
  <c r="B65" i="247"/>
  <c r="D65" i="247" s="1"/>
  <c r="B64" i="247"/>
  <c r="B57" i="247"/>
  <c r="D57" i="247" s="1"/>
  <c r="B56" i="247"/>
  <c r="E47" i="247"/>
  <c r="E52" i="247" s="1"/>
  <c r="D47" i="247"/>
  <c r="C47" i="247"/>
  <c r="E46" i="247"/>
  <c r="E50" i="247" s="1"/>
  <c r="E45" i="247"/>
  <c r="E44" i="247"/>
  <c r="E49" i="247" s="1"/>
  <c r="E36" i="247"/>
  <c r="B36" i="247"/>
  <c r="B35" i="247"/>
  <c r="B20" i="247"/>
  <c r="B19" i="247"/>
  <c r="E15" i="247"/>
  <c r="E10" i="247"/>
  <c r="D10" i="247"/>
  <c r="C10" i="247"/>
  <c r="E9" i="247"/>
  <c r="E13" i="247" s="1"/>
  <c r="D20" i="247" s="1"/>
  <c r="E8" i="247"/>
  <c r="E7" i="247"/>
  <c r="Y66" i="246"/>
  <c r="X66" i="246"/>
  <c r="W66" i="246"/>
  <c r="V66" i="246"/>
  <c r="U66" i="246"/>
  <c r="T66" i="246"/>
  <c r="Q66" i="246"/>
  <c r="P66" i="246"/>
  <c r="N66" i="246"/>
  <c r="M66" i="246"/>
  <c r="I66" i="246"/>
  <c r="H66" i="246"/>
  <c r="F66" i="246"/>
  <c r="E66" i="246"/>
  <c r="Y65" i="246"/>
  <c r="X65" i="246"/>
  <c r="W65" i="246"/>
  <c r="W62" i="246" s="1"/>
  <c r="W58" i="246" s="1"/>
  <c r="V65" i="246"/>
  <c r="U65" i="246"/>
  <c r="T65" i="246"/>
  <c r="S65" i="246"/>
  <c r="R65" i="246"/>
  <c r="Q65" i="246"/>
  <c r="P65" i="246"/>
  <c r="O65" i="246"/>
  <c r="O62" i="246" s="1"/>
  <c r="O58" i="246" s="1"/>
  <c r="N65" i="246"/>
  <c r="M65" i="246"/>
  <c r="L65" i="246"/>
  <c r="K65" i="246"/>
  <c r="J65" i="246"/>
  <c r="I65" i="246"/>
  <c r="H65" i="246"/>
  <c r="G65" i="246"/>
  <c r="G62" i="246" s="1"/>
  <c r="G58" i="246" s="1"/>
  <c r="F65" i="246"/>
  <c r="E65" i="246"/>
  <c r="Y62" i="246"/>
  <c r="X62" i="246"/>
  <c r="V62" i="246"/>
  <c r="V58" i="246" s="1"/>
  <c r="U62" i="246"/>
  <c r="T62" i="246"/>
  <c r="S62" i="246"/>
  <c r="S58" i="246" s="1"/>
  <c r="R62" i="246"/>
  <c r="R58" i="246" s="1"/>
  <c r="Q62" i="246"/>
  <c r="P62" i="246"/>
  <c r="N62" i="246"/>
  <c r="N58" i="246" s="1"/>
  <c r="M62" i="246"/>
  <c r="L62" i="246"/>
  <c r="K62" i="246"/>
  <c r="K58" i="246" s="1"/>
  <c r="J62" i="246"/>
  <c r="J58" i="246" s="1"/>
  <c r="I62" i="246"/>
  <c r="H62" i="246"/>
  <c r="F62" i="246"/>
  <c r="F58" i="246" s="1"/>
  <c r="E62" i="246"/>
  <c r="B62" i="246"/>
  <c r="AT59" i="246"/>
  <c r="AG59" i="246"/>
  <c r="AG60" i="246" s="1"/>
  <c r="AC59" i="246"/>
  <c r="AC60" i="246" s="1"/>
  <c r="AB59" i="246"/>
  <c r="AB60" i="246" s="1"/>
  <c r="Y59" i="246"/>
  <c r="Y60" i="246" s="1"/>
  <c r="E59" i="246"/>
  <c r="AT58" i="246"/>
  <c r="AS58" i="246"/>
  <c r="AS59" i="246" s="1"/>
  <c r="AS60" i="246" s="1"/>
  <c r="AR58" i="246"/>
  <c r="AQ58" i="246"/>
  <c r="AP58" i="246"/>
  <c r="AO58" i="246"/>
  <c r="AN58" i="246"/>
  <c r="AM58" i="246"/>
  <c r="AL58" i="246"/>
  <c r="AK58" i="246"/>
  <c r="AJ58" i="246"/>
  <c r="AJ59" i="246" s="1"/>
  <c r="AJ60" i="246" s="1"/>
  <c r="AI58" i="246"/>
  <c r="AH58" i="246"/>
  <c r="AG58" i="246"/>
  <c r="AF58" i="246"/>
  <c r="AE58" i="246"/>
  <c r="AD58" i="246"/>
  <c r="AC58" i="246"/>
  <c r="AB58" i="246"/>
  <c r="AA58" i="246"/>
  <c r="Z58" i="246"/>
  <c r="Y58" i="246"/>
  <c r="X58" i="246"/>
  <c r="U58" i="246"/>
  <c r="U59" i="246" s="1"/>
  <c r="U60" i="246" s="1"/>
  <c r="T58" i="246"/>
  <c r="Q58" i="246"/>
  <c r="Q59" i="246" s="1"/>
  <c r="Q60" i="246" s="1"/>
  <c r="P58" i="246"/>
  <c r="M58" i="246"/>
  <c r="L58" i="246"/>
  <c r="I58" i="246"/>
  <c r="H58" i="246"/>
  <c r="E58" i="246"/>
  <c r="AT57" i="246"/>
  <c r="AO57" i="246"/>
  <c r="AO59" i="246" s="1"/>
  <c r="AO60" i="246" s="1"/>
  <c r="AK57" i="246"/>
  <c r="AG57" i="246"/>
  <c r="AB57" i="246"/>
  <c r="Y57" i="246"/>
  <c r="T57" i="246"/>
  <c r="T59" i="246" s="1"/>
  <c r="T60" i="246" s="1"/>
  <c r="E57" i="246"/>
  <c r="AU56" i="246"/>
  <c r="AU55" i="246"/>
  <c r="AU51" i="246"/>
  <c r="AU50" i="246"/>
  <c r="E47" i="246"/>
  <c r="AU41" i="246"/>
  <c r="AU40" i="246"/>
  <c r="A37" i="246"/>
  <c r="A38" i="246" s="1"/>
  <c r="A39" i="246" s="1"/>
  <c r="A40" i="246" s="1"/>
  <c r="A41" i="246" s="1"/>
  <c r="A42" i="246" s="1"/>
  <c r="A43" i="246" s="1"/>
  <c r="A44" i="246" s="1"/>
  <c r="A45" i="246" s="1"/>
  <c r="A46" i="246" s="1"/>
  <c r="A47" i="246" s="1"/>
  <c r="A48" i="246" s="1"/>
  <c r="A49" i="246" s="1"/>
  <c r="A50" i="246" s="1"/>
  <c r="A51" i="246" s="1"/>
  <c r="A52" i="246" s="1"/>
  <c r="A53" i="246" s="1"/>
  <c r="A54" i="246" s="1"/>
  <c r="A55" i="246" s="1"/>
  <c r="A56" i="246" s="1"/>
  <c r="A57" i="246" s="1"/>
  <c r="A58" i="246" s="1"/>
  <c r="A59" i="246" s="1"/>
  <c r="A60" i="246" s="1"/>
  <c r="A61" i="246" s="1"/>
  <c r="A62" i="246" s="1"/>
  <c r="A63" i="246" s="1"/>
  <c r="A64" i="246" s="1"/>
  <c r="A65" i="246" s="1"/>
  <c r="A66" i="246" s="1"/>
  <c r="AU36" i="246"/>
  <c r="A34" i="246"/>
  <c r="A35" i="246" s="1"/>
  <c r="A29" i="246"/>
  <c r="A32" i="246" s="1"/>
  <c r="A33" i="246" s="1"/>
  <c r="AV27" i="246"/>
  <c r="AS27" i="246"/>
  <c r="AS57" i="246" s="1"/>
  <c r="AR27" i="246"/>
  <c r="AR57" i="246" s="1"/>
  <c r="AR59" i="246" s="1"/>
  <c r="AR60" i="246" s="1"/>
  <c r="AQ27" i="246"/>
  <c r="AP27" i="246"/>
  <c r="AO27" i="246"/>
  <c r="AN27" i="246"/>
  <c r="AM27" i="246"/>
  <c r="AL27" i="246"/>
  <c r="AK27" i="246"/>
  <c r="AJ27" i="246"/>
  <c r="AJ57" i="246" s="1"/>
  <c r="AI27" i="246"/>
  <c r="AH27" i="246"/>
  <c r="AG27" i="246"/>
  <c r="AF27" i="246"/>
  <c r="AE27" i="246"/>
  <c r="AD27" i="246"/>
  <c r="AC27" i="246"/>
  <c r="AC57" i="246" s="1"/>
  <c r="AB27" i="246"/>
  <c r="AA27" i="246"/>
  <c r="Z27" i="246"/>
  <c r="Y27" i="246"/>
  <c r="X27" i="246"/>
  <c r="W27" i="246"/>
  <c r="V27" i="246"/>
  <c r="U27" i="246"/>
  <c r="U57" i="246" s="1"/>
  <c r="T27" i="246"/>
  <c r="S27" i="246"/>
  <c r="R27" i="246"/>
  <c r="Q27" i="246"/>
  <c r="Q57" i="246" s="1"/>
  <c r="P27" i="246"/>
  <c r="O27" i="246"/>
  <c r="N27" i="246"/>
  <c r="M27" i="246"/>
  <c r="M57" i="246" s="1"/>
  <c r="L27" i="246"/>
  <c r="L57" i="246" s="1"/>
  <c r="K27" i="246"/>
  <c r="J27" i="246"/>
  <c r="I27" i="246"/>
  <c r="H27" i="246"/>
  <c r="G27" i="246"/>
  <c r="F27" i="246"/>
  <c r="E27" i="246"/>
  <c r="H16" i="246"/>
  <c r="G16" i="246"/>
  <c r="F16" i="246"/>
  <c r="G15" i="246"/>
  <c r="H13" i="246"/>
  <c r="G13" i="246"/>
  <c r="F13" i="246"/>
  <c r="D13" i="246"/>
  <c r="G12" i="246"/>
  <c r="G11" i="246"/>
  <c r="Y66" i="245"/>
  <c r="X66" i="245"/>
  <c r="W66" i="245"/>
  <c r="V66" i="245"/>
  <c r="U66" i="245"/>
  <c r="T66" i="245"/>
  <c r="R66" i="245"/>
  <c r="Q66" i="245"/>
  <c r="P66" i="245"/>
  <c r="O66" i="245"/>
  <c r="N66" i="245"/>
  <c r="M66" i="245"/>
  <c r="L66" i="245"/>
  <c r="J66" i="245"/>
  <c r="I66" i="245"/>
  <c r="H66" i="245"/>
  <c r="G66" i="245"/>
  <c r="F66" i="245"/>
  <c r="E66" i="245"/>
  <c r="Y65" i="245"/>
  <c r="X65" i="245"/>
  <c r="X62" i="245" s="1"/>
  <c r="X58" i="245" s="1"/>
  <c r="W65" i="245"/>
  <c r="V65" i="245"/>
  <c r="U65" i="245"/>
  <c r="U62" i="245" s="1"/>
  <c r="U58" i="245" s="1"/>
  <c r="T65" i="245"/>
  <c r="T62" i="245" s="1"/>
  <c r="T58" i="245" s="1"/>
  <c r="S65" i="245"/>
  <c r="R65" i="245"/>
  <c r="Q65" i="245"/>
  <c r="P65" i="245"/>
  <c r="P62" i="245" s="1"/>
  <c r="O65" i="245"/>
  <c r="N65" i="245"/>
  <c r="M65" i="245"/>
  <c r="M62" i="245" s="1"/>
  <c r="M58" i="245" s="1"/>
  <c r="L65" i="245"/>
  <c r="L62" i="245" s="1"/>
  <c r="L58" i="245" s="1"/>
  <c r="K65" i="245"/>
  <c r="J65" i="245"/>
  <c r="I65" i="245"/>
  <c r="H65" i="245"/>
  <c r="H62" i="245" s="1"/>
  <c r="G65" i="245"/>
  <c r="F65" i="245"/>
  <c r="E65" i="245"/>
  <c r="Y62" i="245"/>
  <c r="Y58" i="245" s="1"/>
  <c r="W62" i="245"/>
  <c r="V62" i="245"/>
  <c r="V58" i="245" s="1"/>
  <c r="S62" i="245"/>
  <c r="R62" i="245"/>
  <c r="Q62" i="245"/>
  <c r="Q58" i="245" s="1"/>
  <c r="O62" i="245"/>
  <c r="N62" i="245"/>
  <c r="N58" i="245" s="1"/>
  <c r="K62" i="245"/>
  <c r="J62" i="245"/>
  <c r="I62" i="245"/>
  <c r="I58" i="245" s="1"/>
  <c r="G62" i="245"/>
  <c r="F62" i="245"/>
  <c r="F58" i="245" s="1"/>
  <c r="E62" i="245"/>
  <c r="B62" i="245"/>
  <c r="AS58" i="245"/>
  <c r="AS59" i="245" s="1"/>
  <c r="AS60" i="245" s="1"/>
  <c r="AR58" i="245"/>
  <c r="AQ58" i="245"/>
  <c r="AP58" i="245"/>
  <c r="AO58" i="245"/>
  <c r="AN58" i="245"/>
  <c r="AM58" i="245"/>
  <c r="AL58" i="245"/>
  <c r="AK58" i="245"/>
  <c r="AJ58" i="245"/>
  <c r="AI58" i="245"/>
  <c r="AH58" i="245"/>
  <c r="AG58" i="245"/>
  <c r="AF58" i="245"/>
  <c r="AE58" i="245"/>
  <c r="AD58" i="245"/>
  <c r="AC58" i="245"/>
  <c r="AB58" i="245"/>
  <c r="AA58" i="245"/>
  <c r="Z58" i="245"/>
  <c r="W58" i="245"/>
  <c r="S58" i="245"/>
  <c r="R58" i="245"/>
  <c r="P58" i="245"/>
  <c r="O58" i="245"/>
  <c r="K58" i="245"/>
  <c r="J58" i="245"/>
  <c r="H58" i="245"/>
  <c r="G58" i="245"/>
  <c r="E58" i="245"/>
  <c r="AS57" i="245"/>
  <c r="AU56" i="245"/>
  <c r="AU55" i="245"/>
  <c r="AU51" i="245"/>
  <c r="AU50" i="245"/>
  <c r="AU41" i="245"/>
  <c r="AU40" i="245"/>
  <c r="AU36" i="245"/>
  <c r="A33" i="245"/>
  <c r="A34" i="245" s="1"/>
  <c r="A35" i="245" s="1"/>
  <c r="A37" i="245" s="1"/>
  <c r="A38" i="245" s="1"/>
  <c r="A39" i="245" s="1"/>
  <c r="A40" i="245" s="1"/>
  <c r="A41" i="245" s="1"/>
  <c r="A42" i="245" s="1"/>
  <c r="A43" i="245" s="1"/>
  <c r="A44" i="245" s="1"/>
  <c r="A45" i="245" s="1"/>
  <c r="A46" i="245" s="1"/>
  <c r="A47" i="245" s="1"/>
  <c r="A48" i="245" s="1"/>
  <c r="A49" i="245" s="1"/>
  <c r="A50" i="245" s="1"/>
  <c r="A51" i="245" s="1"/>
  <c r="A52" i="245" s="1"/>
  <c r="A53" i="245" s="1"/>
  <c r="A54" i="245" s="1"/>
  <c r="A55" i="245" s="1"/>
  <c r="A56" i="245" s="1"/>
  <c r="A57" i="245" s="1"/>
  <c r="A58" i="245" s="1"/>
  <c r="A59" i="245" s="1"/>
  <c r="A60" i="245" s="1"/>
  <c r="A61" i="245" s="1"/>
  <c r="A62" i="245" s="1"/>
  <c r="A63" i="245" s="1"/>
  <c r="A64" i="245" s="1"/>
  <c r="A65" i="245" s="1"/>
  <c r="A66" i="245" s="1"/>
  <c r="E31" i="245"/>
  <c r="A29" i="245"/>
  <c r="A32" i="245" s="1"/>
  <c r="AV27" i="245"/>
  <c r="G16" i="245"/>
  <c r="F16" i="245"/>
  <c r="F15" i="245"/>
  <c r="G15" i="245" s="1"/>
  <c r="F13" i="245"/>
  <c r="F12" i="245"/>
  <c r="G12" i="245" s="1"/>
  <c r="E12" i="245"/>
  <c r="D12" i="245"/>
  <c r="G11" i="245"/>
  <c r="G13" i="245" s="1"/>
  <c r="F11" i="245"/>
  <c r="E11" i="245"/>
  <c r="D11" i="245"/>
  <c r="D13" i="245" s="1"/>
  <c r="Y66" i="244"/>
  <c r="X66" i="244"/>
  <c r="W66" i="244"/>
  <c r="V66" i="244"/>
  <c r="U66" i="244"/>
  <c r="T66" i="244"/>
  <c r="Q66" i="244"/>
  <c r="P66" i="244"/>
  <c r="O66" i="244"/>
  <c r="N66" i="244"/>
  <c r="M66" i="244"/>
  <c r="L66" i="244"/>
  <c r="I66" i="244"/>
  <c r="H66" i="244"/>
  <c r="G66" i="244"/>
  <c r="F66" i="244"/>
  <c r="E66" i="244"/>
  <c r="Y65" i="244"/>
  <c r="X65" i="244"/>
  <c r="W65" i="244"/>
  <c r="V65" i="244"/>
  <c r="U65" i="244"/>
  <c r="T65" i="244"/>
  <c r="S65" i="244"/>
  <c r="R65" i="244"/>
  <c r="Q65" i="244"/>
  <c r="P65" i="244"/>
  <c r="O65" i="244"/>
  <c r="N65" i="244"/>
  <c r="M65" i="244"/>
  <c r="L65" i="244"/>
  <c r="K65" i="244"/>
  <c r="J65" i="244"/>
  <c r="I65" i="244"/>
  <c r="H65" i="244"/>
  <c r="G65" i="244"/>
  <c r="F65" i="244"/>
  <c r="E65" i="244"/>
  <c r="Y62" i="244"/>
  <c r="X62" i="244"/>
  <c r="W62" i="244"/>
  <c r="V62" i="244"/>
  <c r="U62" i="244"/>
  <c r="T62" i="244"/>
  <c r="T58" i="244" s="1"/>
  <c r="S62" i="244"/>
  <c r="S58" i="244" s="1"/>
  <c r="R62" i="244"/>
  <c r="R58" i="244" s="1"/>
  <c r="Q62" i="244"/>
  <c r="P62" i="244"/>
  <c r="O62" i="244"/>
  <c r="O58" i="244" s="1"/>
  <c r="N62" i="244"/>
  <c r="M62" i="244"/>
  <c r="L62" i="244"/>
  <c r="L58" i="244" s="1"/>
  <c r="K62" i="244"/>
  <c r="K58" i="244" s="1"/>
  <c r="J62" i="244"/>
  <c r="J58" i="244" s="1"/>
  <c r="I62" i="244"/>
  <c r="H62" i="244"/>
  <c r="G62" i="244"/>
  <c r="G58" i="244" s="1"/>
  <c r="F62" i="244"/>
  <c r="F58" i="244" s="1"/>
  <c r="E62" i="244"/>
  <c r="B62" i="244"/>
  <c r="AS58" i="244"/>
  <c r="AS59" i="244" s="1"/>
  <c r="AR58" i="244"/>
  <c r="AQ58" i="244"/>
  <c r="AP58" i="244"/>
  <c r="AO58" i="244"/>
  <c r="AN58" i="244"/>
  <c r="AM58" i="244"/>
  <c r="AL58" i="244"/>
  <c r="AK58" i="244"/>
  <c r="AJ58" i="244"/>
  <c r="AI58" i="244"/>
  <c r="AH58" i="244"/>
  <c r="AG58" i="244"/>
  <c r="AF58" i="244"/>
  <c r="AE58" i="244"/>
  <c r="AD58" i="244"/>
  <c r="AC58" i="244"/>
  <c r="AB58" i="244"/>
  <c r="AA58" i="244"/>
  <c r="Z58" i="244"/>
  <c r="Y58" i="244"/>
  <c r="X58" i="244"/>
  <c r="W58" i="244"/>
  <c r="V58" i="244"/>
  <c r="U58" i="244"/>
  <c r="Q58" i="244"/>
  <c r="P58" i="244"/>
  <c r="N58" i="244"/>
  <c r="M58" i="244"/>
  <c r="I58" i="244"/>
  <c r="H58" i="244"/>
  <c r="E58" i="244"/>
  <c r="AS57" i="244"/>
  <c r="AT56" i="244"/>
  <c r="AT55" i="244"/>
  <c r="AT51" i="244"/>
  <c r="AT50" i="244"/>
  <c r="AT41" i="244"/>
  <c r="AT40" i="244"/>
  <c r="AT36" i="244"/>
  <c r="E31" i="244"/>
  <c r="A29" i="244"/>
  <c r="A32" i="244" s="1"/>
  <c r="A33" i="244" s="1"/>
  <c r="A34" i="244" s="1"/>
  <c r="A35" i="244" s="1"/>
  <c r="A37" i="244" s="1"/>
  <c r="A38" i="244" s="1"/>
  <c r="A39" i="244" s="1"/>
  <c r="A40" i="244" s="1"/>
  <c r="A41" i="244" s="1"/>
  <c r="A42" i="244" s="1"/>
  <c r="A43" i="244" s="1"/>
  <c r="A44" i="244" s="1"/>
  <c r="A45" i="244" s="1"/>
  <c r="A46" i="244" s="1"/>
  <c r="A47" i="244" s="1"/>
  <c r="A48" i="244" s="1"/>
  <c r="A49" i="244" s="1"/>
  <c r="A50" i="244" s="1"/>
  <c r="A51" i="244" s="1"/>
  <c r="A52" i="244" s="1"/>
  <c r="A53" i="244" s="1"/>
  <c r="A54" i="244" s="1"/>
  <c r="A55" i="244" s="1"/>
  <c r="A56" i="244" s="1"/>
  <c r="A57" i="244" s="1"/>
  <c r="A58" i="244" s="1"/>
  <c r="A59" i="244" s="1"/>
  <c r="A60" i="244" s="1"/>
  <c r="A61" i="244" s="1"/>
  <c r="A62" i="244" s="1"/>
  <c r="A63" i="244" s="1"/>
  <c r="A64" i="244" s="1"/>
  <c r="A65" i="244" s="1"/>
  <c r="A66" i="244" s="1"/>
  <c r="AU27" i="244"/>
  <c r="F16" i="244"/>
  <c r="F15" i="244"/>
  <c r="F12" i="244"/>
  <c r="E12" i="244"/>
  <c r="D12" i="244"/>
  <c r="F11" i="244"/>
  <c r="E11" i="244"/>
  <c r="D11" i="244"/>
  <c r="D13" i="244" s="1"/>
  <c r="E43" i="243"/>
  <c r="F43" i="243" s="1"/>
  <c r="D39" i="243"/>
  <c r="A33" i="243"/>
  <c r="A34" i="243" s="1"/>
  <c r="A35" i="243" s="1"/>
  <c r="A36" i="243" s="1"/>
  <c r="A37" i="243" s="1"/>
  <c r="A38" i="243" s="1"/>
  <c r="A39" i="243" s="1"/>
  <c r="A40" i="243" s="1"/>
  <c r="A41" i="243" s="1"/>
  <c r="A42" i="243" s="1"/>
  <c r="A43" i="243" s="1"/>
  <c r="A44" i="243" s="1"/>
  <c r="A45" i="243" s="1"/>
  <c r="A46" i="243" s="1"/>
  <c r="A47" i="243" s="1"/>
  <c r="D24" i="243"/>
  <c r="D27" i="243" s="1"/>
  <c r="D6" i="243" s="1"/>
  <c r="A22" i="243"/>
  <c r="A23" i="243" s="1"/>
  <c r="A24" i="243" s="1"/>
  <c r="A25" i="243" s="1"/>
  <c r="A26" i="243" s="1"/>
  <c r="A27" i="243" s="1"/>
  <c r="A28" i="243" s="1"/>
  <c r="A29" i="243" s="1"/>
  <c r="A30" i="243" s="1"/>
  <c r="A31" i="243" s="1"/>
  <c r="A32" i="243" s="1"/>
  <c r="D20" i="243"/>
  <c r="F17" i="243"/>
  <c r="A17" i="243"/>
  <c r="A18" i="243" s="1"/>
  <c r="A19" i="243" s="1"/>
  <c r="A20" i="243" s="1"/>
  <c r="A14" i="243"/>
  <c r="F10" i="243"/>
  <c r="E10" i="243"/>
  <c r="D10" i="243"/>
  <c r="Y66" i="242"/>
  <c r="X66" i="242"/>
  <c r="W66" i="242"/>
  <c r="V66" i="242"/>
  <c r="U66" i="242"/>
  <c r="T66" i="242"/>
  <c r="R66" i="242"/>
  <c r="Q66" i="242"/>
  <c r="P66" i="242"/>
  <c r="O66" i="242"/>
  <c r="N66" i="242"/>
  <c r="M66" i="242"/>
  <c r="L66" i="242"/>
  <c r="J66" i="242"/>
  <c r="I66" i="242"/>
  <c r="H66" i="242"/>
  <c r="G66" i="242"/>
  <c r="F66" i="242"/>
  <c r="E66" i="242"/>
  <c r="E47" i="243" s="1"/>
  <c r="F47" i="243" s="1"/>
  <c r="Y65" i="242"/>
  <c r="X65" i="242"/>
  <c r="W65" i="242"/>
  <c r="W62" i="242" s="1"/>
  <c r="W58" i="242" s="1"/>
  <c r="V65" i="242"/>
  <c r="U65" i="242"/>
  <c r="T65" i="242"/>
  <c r="S65" i="242"/>
  <c r="R65" i="242"/>
  <c r="Q65" i="242"/>
  <c r="P65" i="242"/>
  <c r="O65" i="242"/>
  <c r="O62" i="242" s="1"/>
  <c r="O58" i="242" s="1"/>
  <c r="N65" i="242"/>
  <c r="M65" i="242"/>
  <c r="L65" i="242"/>
  <c r="K65" i="242"/>
  <c r="J65" i="242"/>
  <c r="I65" i="242"/>
  <c r="H65" i="242"/>
  <c r="G65" i="242"/>
  <c r="G62" i="242" s="1"/>
  <c r="G58" i="242" s="1"/>
  <c r="F65" i="242"/>
  <c r="E65" i="242"/>
  <c r="Y62" i="242"/>
  <c r="X62" i="242"/>
  <c r="X58" i="242" s="1"/>
  <c r="V62" i="242"/>
  <c r="U62" i="242"/>
  <c r="T62" i="242"/>
  <c r="T58" i="242" s="1"/>
  <c r="S62" i="242"/>
  <c r="R62" i="242"/>
  <c r="Q62" i="242"/>
  <c r="P62" i="242"/>
  <c r="P58" i="242" s="1"/>
  <c r="N62" i="242"/>
  <c r="M62" i="242"/>
  <c r="L62" i="242"/>
  <c r="L58" i="242" s="1"/>
  <c r="K62" i="242"/>
  <c r="J62" i="242"/>
  <c r="J58" i="242" s="1"/>
  <c r="I62" i="242"/>
  <c r="H62" i="242"/>
  <c r="H58" i="242" s="1"/>
  <c r="F62" i="242"/>
  <c r="E62" i="242"/>
  <c r="B62" i="242"/>
  <c r="AS58" i="242"/>
  <c r="AR58" i="242"/>
  <c r="AQ58" i="242"/>
  <c r="AP58" i="242"/>
  <c r="AO58" i="242"/>
  <c r="AN58" i="242"/>
  <c r="AM58" i="242"/>
  <c r="AL58" i="242"/>
  <c r="AK58" i="242"/>
  <c r="AJ58" i="242"/>
  <c r="AI58" i="242"/>
  <c r="AH58" i="242"/>
  <c r="AG58" i="242"/>
  <c r="AF58" i="242"/>
  <c r="AE58" i="242"/>
  <c r="AD58" i="242"/>
  <c r="AC58" i="242"/>
  <c r="AB58" i="242"/>
  <c r="AA58" i="242"/>
  <c r="Z58" i="242"/>
  <c r="Y58" i="242"/>
  <c r="V58" i="242"/>
  <c r="U58" i="242"/>
  <c r="S58" i="242"/>
  <c r="R58" i="242"/>
  <c r="Q58" i="242"/>
  <c r="N58" i="242"/>
  <c r="M58" i="242"/>
  <c r="K58" i="242"/>
  <c r="I58" i="242"/>
  <c r="F58" i="242"/>
  <c r="E58" i="242"/>
  <c r="AS57" i="242"/>
  <c r="AU56" i="242"/>
  <c r="AU55" i="242"/>
  <c r="AU51" i="242"/>
  <c r="AU50" i="242"/>
  <c r="AU41" i="242"/>
  <c r="AU40" i="242"/>
  <c r="AU36" i="242"/>
  <c r="A32" i="242"/>
  <c r="A33" i="242" s="1"/>
  <c r="A34" i="242" s="1"/>
  <c r="A35" i="242" s="1"/>
  <c r="A37" i="242" s="1"/>
  <c r="A38" i="242" s="1"/>
  <c r="A39" i="242" s="1"/>
  <c r="A40" i="242" s="1"/>
  <c r="A41" i="242" s="1"/>
  <c r="A42" i="242" s="1"/>
  <c r="A43" i="242" s="1"/>
  <c r="A44" i="242" s="1"/>
  <c r="A45" i="242" s="1"/>
  <c r="A46" i="242" s="1"/>
  <c r="A47" i="242" s="1"/>
  <c r="A48" i="242" s="1"/>
  <c r="A49" i="242" s="1"/>
  <c r="A50" i="242" s="1"/>
  <c r="A51" i="242" s="1"/>
  <c r="A52" i="242" s="1"/>
  <c r="A53" i="242" s="1"/>
  <c r="A54" i="242" s="1"/>
  <c r="A55" i="242" s="1"/>
  <c r="A56" i="242" s="1"/>
  <c r="A57" i="242" s="1"/>
  <c r="A58" i="242" s="1"/>
  <c r="A59" i="242" s="1"/>
  <c r="A60" i="242" s="1"/>
  <c r="A61" i="242" s="1"/>
  <c r="A62" i="242" s="1"/>
  <c r="A63" i="242" s="1"/>
  <c r="A64" i="242" s="1"/>
  <c r="A65" i="242" s="1"/>
  <c r="A66" i="242" s="1"/>
  <c r="E31" i="242"/>
  <c r="A29" i="242"/>
  <c r="AV27" i="242"/>
  <c r="G22" i="242"/>
  <c r="G16" i="242"/>
  <c r="F16" i="242"/>
  <c r="E32" i="243" s="1"/>
  <c r="F15" i="242"/>
  <c r="G15" i="242" s="1"/>
  <c r="F13" i="242"/>
  <c r="G12" i="242"/>
  <c r="F12" i="242"/>
  <c r="E12" i="242"/>
  <c r="D12" i="242"/>
  <c r="G11" i="242"/>
  <c r="G13" i="242" s="1"/>
  <c r="F11" i="242"/>
  <c r="E11" i="242"/>
  <c r="D11" i="242"/>
  <c r="D13" i="242" s="1"/>
  <c r="H23" i="241"/>
  <c r="I23" i="241" s="1"/>
  <c r="E23" i="241"/>
  <c r="H22" i="241"/>
  <c r="I22" i="241" s="1"/>
  <c r="E22" i="241"/>
  <c r="I19" i="241"/>
  <c r="I17" i="241"/>
  <c r="H17" i="241"/>
  <c r="E17" i="241"/>
  <c r="D17" i="241"/>
  <c r="K16" i="241"/>
  <c r="F16" i="241"/>
  <c r="F23" i="241" s="1"/>
  <c r="K15" i="241"/>
  <c r="F15" i="241"/>
  <c r="J15" i="241" s="1"/>
  <c r="C10" i="241"/>
  <c r="I9" i="241"/>
  <c r="J9" i="241" s="1"/>
  <c r="J11" i="241" s="1"/>
  <c r="H9" i="241"/>
  <c r="H19" i="241" s="1"/>
  <c r="E9" i="241"/>
  <c r="D9" i="241"/>
  <c r="D19" i="241" s="1"/>
  <c r="R8" i="241"/>
  <c r="J8" i="241"/>
  <c r="F8" i="241"/>
  <c r="R7" i="241"/>
  <c r="J7" i="241"/>
  <c r="F7" i="241"/>
  <c r="Q6" i="241"/>
  <c r="R6" i="241" s="1"/>
  <c r="F6" i="241"/>
  <c r="F9" i="241" s="1"/>
  <c r="F19" i="240"/>
  <c r="F18" i="240"/>
  <c r="F16" i="240"/>
  <c r="F15" i="240"/>
  <c r="G5" i="240"/>
  <c r="G4" i="240"/>
  <c r="Y66" i="239"/>
  <c r="X66" i="239"/>
  <c r="W66" i="239"/>
  <c r="V66" i="239"/>
  <c r="U66" i="239"/>
  <c r="T66" i="239"/>
  <c r="S66" i="239"/>
  <c r="R66" i="239"/>
  <c r="Q66" i="239"/>
  <c r="P66" i="239"/>
  <c r="O66" i="239"/>
  <c r="N66" i="239"/>
  <c r="M66" i="239"/>
  <c r="L66" i="239"/>
  <c r="K66" i="239"/>
  <c r="J66" i="239"/>
  <c r="I66" i="239"/>
  <c r="H66" i="239"/>
  <c r="G66" i="239"/>
  <c r="AP66" i="239" s="1"/>
  <c r="F66" i="239"/>
  <c r="E66" i="239"/>
  <c r="Y65" i="239"/>
  <c r="Y62" i="239" s="1"/>
  <c r="X65" i="239"/>
  <c r="W65" i="239"/>
  <c r="V65" i="239"/>
  <c r="V62" i="239" s="1"/>
  <c r="U65" i="239"/>
  <c r="U62" i="239" s="1"/>
  <c r="T65" i="239"/>
  <c r="S65" i="239"/>
  <c r="R65" i="239"/>
  <c r="R62" i="239" s="1"/>
  <c r="Q65" i="239"/>
  <c r="Q62" i="239" s="1"/>
  <c r="P65" i="239"/>
  <c r="O65" i="239"/>
  <c r="N65" i="239"/>
  <c r="N62" i="239" s="1"/>
  <c r="M65" i="239"/>
  <c r="M62" i="239" s="1"/>
  <c r="L65" i="239"/>
  <c r="K65" i="239"/>
  <c r="J65" i="239"/>
  <c r="J62" i="239" s="1"/>
  <c r="I65" i="239"/>
  <c r="I62" i="239" s="1"/>
  <c r="H65" i="239"/>
  <c r="G65" i="239"/>
  <c r="F65" i="239"/>
  <c r="F62" i="239" s="1"/>
  <c r="E62" i="239"/>
  <c r="X62" i="239"/>
  <c r="W62" i="239"/>
  <c r="T62" i="239"/>
  <c r="S62" i="239"/>
  <c r="P62" i="239"/>
  <c r="O62" i="239"/>
  <c r="L62" i="239"/>
  <c r="K62" i="239"/>
  <c r="H62" i="239"/>
  <c r="G62" i="239"/>
  <c r="B62" i="239"/>
  <c r="AT56" i="239"/>
  <c r="AT55" i="239"/>
  <c r="AT51" i="239"/>
  <c r="AT50" i="239"/>
  <c r="AT41" i="239"/>
  <c r="AT40" i="239"/>
  <c r="AT36" i="239"/>
  <c r="A34" i="239"/>
  <c r="A35" i="239" s="1"/>
  <c r="A37" i="239" s="1"/>
  <c r="A38" i="239" s="1"/>
  <c r="A39" i="239" s="1"/>
  <c r="A40" i="239" s="1"/>
  <c r="A41" i="239" s="1"/>
  <c r="A42" i="239" s="1"/>
  <c r="A43" i="239" s="1"/>
  <c r="A44" i="239" s="1"/>
  <c r="A45" i="239" s="1"/>
  <c r="A46" i="239" s="1"/>
  <c r="A47" i="239" s="1"/>
  <c r="A48" i="239" s="1"/>
  <c r="A49" i="239" s="1"/>
  <c r="A50" i="239" s="1"/>
  <c r="A51" i="239" s="1"/>
  <c r="A52" i="239" s="1"/>
  <c r="A53" i="239" s="1"/>
  <c r="A54" i="239" s="1"/>
  <c r="A55" i="239" s="1"/>
  <c r="A56" i="239" s="1"/>
  <c r="A57" i="239" s="1"/>
  <c r="A58" i="239" s="1"/>
  <c r="A59" i="239" s="1"/>
  <c r="A60" i="239" s="1"/>
  <c r="A61" i="239" s="1"/>
  <c r="A62" i="239" s="1"/>
  <c r="A63" i="239" s="1"/>
  <c r="A64" i="239" s="1"/>
  <c r="A65" i="239" s="1"/>
  <c r="A66" i="239" s="1"/>
  <c r="A32" i="239"/>
  <c r="A33" i="239" s="1"/>
  <c r="E31" i="239"/>
  <c r="A29" i="239"/>
  <c r="F15" i="239"/>
  <c r="F12" i="239"/>
  <c r="E12" i="239"/>
  <c r="D12" i="239"/>
  <c r="D13" i="239" s="1"/>
  <c r="F11" i="239"/>
  <c r="F13" i="239" s="1"/>
  <c r="E11" i="239"/>
  <c r="D11" i="239"/>
  <c r="E21" i="215" l="1"/>
  <c r="E23" i="215"/>
  <c r="E20" i="215"/>
  <c r="E22" i="215"/>
  <c r="F23" i="84"/>
  <c r="F21" i="84"/>
  <c r="G23" i="84"/>
  <c r="H23" i="84"/>
  <c r="J23" i="84"/>
  <c r="K23" i="84"/>
  <c r="L23" i="84"/>
  <c r="G22" i="84"/>
  <c r="F22" i="84"/>
  <c r="I21" i="84"/>
  <c r="H22" i="84"/>
  <c r="J21" i="84"/>
  <c r="I22" i="84"/>
  <c r="K21" i="84"/>
  <c r="L21" i="84"/>
  <c r="L20" i="84"/>
  <c r="F20" i="84"/>
  <c r="G20" i="84"/>
  <c r="H20" i="84"/>
  <c r="I20" i="84"/>
  <c r="K22" i="84"/>
  <c r="J20" i="84"/>
  <c r="G21" i="84"/>
  <c r="L22" i="84"/>
  <c r="E6" i="240"/>
  <c r="E20" i="240"/>
  <c r="F5" i="240"/>
  <c r="H5" i="240"/>
  <c r="F17" i="240"/>
  <c r="F4" i="240"/>
  <c r="D6" i="240"/>
  <c r="F17" i="241"/>
  <c r="F22" i="241"/>
  <c r="F24" i="241" s="1"/>
  <c r="F25" i="241" s="1"/>
  <c r="F17" i="245" s="1"/>
  <c r="D20" i="240"/>
  <c r="J6" i="241"/>
  <c r="I24" i="241"/>
  <c r="I25" i="241" s="1"/>
  <c r="F17" i="242" s="1"/>
  <c r="E19" i="241"/>
  <c r="J16" i="241"/>
  <c r="AT58" i="244"/>
  <c r="F13" i="244"/>
  <c r="K66" i="246"/>
  <c r="K66" i="244"/>
  <c r="K66" i="245"/>
  <c r="AP66" i="245" s="1"/>
  <c r="K66" i="242"/>
  <c r="AP66" i="242" s="1"/>
  <c r="S66" i="246"/>
  <c r="S66" i="244"/>
  <c r="S66" i="245"/>
  <c r="S66" i="242"/>
  <c r="G57" i="246"/>
  <c r="O57" i="246"/>
  <c r="O59" i="246" s="1"/>
  <c r="O60" i="246" s="1"/>
  <c r="W57" i="246"/>
  <c r="W59" i="246" s="1"/>
  <c r="W60" i="246" s="1"/>
  <c r="AE57" i="246"/>
  <c r="AM57" i="246"/>
  <c r="AI59" i="246"/>
  <c r="AI60" i="246" s="1"/>
  <c r="G59" i="246"/>
  <c r="G60" i="246" s="1"/>
  <c r="G49" i="246" s="1"/>
  <c r="H57" i="246"/>
  <c r="P57" i="246"/>
  <c r="X57" i="246"/>
  <c r="X59" i="246" s="1"/>
  <c r="X60" i="246" s="1"/>
  <c r="AF57" i="246"/>
  <c r="AF59" i="246" s="1"/>
  <c r="AF60" i="246" s="1"/>
  <c r="AN57" i="246"/>
  <c r="K59" i="246"/>
  <c r="K60" i="246" s="1"/>
  <c r="AS59" i="242"/>
  <c r="AS60" i="242" s="1"/>
  <c r="AS60" i="244"/>
  <c r="AU58" i="242"/>
  <c r="K57" i="246"/>
  <c r="S57" i="246"/>
  <c r="AA57" i="246"/>
  <c r="AA59" i="246" s="1"/>
  <c r="AA60" i="246" s="1"/>
  <c r="AI57" i="246"/>
  <c r="AQ57" i="246"/>
  <c r="AU58" i="245"/>
  <c r="AE59" i="246"/>
  <c r="AE60" i="246" s="1"/>
  <c r="AM59" i="246"/>
  <c r="AM60" i="246" s="1"/>
  <c r="E60" i="246"/>
  <c r="AU58" i="246"/>
  <c r="F59" i="246"/>
  <c r="F60" i="246" s="1"/>
  <c r="F49" i="246" s="1"/>
  <c r="AQ59" i="246"/>
  <c r="AQ60" i="246" s="1"/>
  <c r="P59" i="246"/>
  <c r="P60" i="246" s="1"/>
  <c r="S59" i="246"/>
  <c r="S60" i="246" s="1"/>
  <c r="N59" i="246"/>
  <c r="N60" i="246" s="1"/>
  <c r="J57" i="246"/>
  <c r="R57" i="246"/>
  <c r="Z57" i="246"/>
  <c r="AH57" i="246"/>
  <c r="AP57" i="246"/>
  <c r="E57" i="247"/>
  <c r="D58" i="247"/>
  <c r="J66" i="244"/>
  <c r="AP66" i="244" s="1"/>
  <c r="R66" i="244"/>
  <c r="AN59" i="246"/>
  <c r="AN60" i="246" s="1"/>
  <c r="D66" i="247"/>
  <c r="E65" i="247"/>
  <c r="F57" i="246"/>
  <c r="V57" i="246"/>
  <c r="V59" i="246" s="1"/>
  <c r="V60" i="246" s="1"/>
  <c r="AD57" i="246"/>
  <c r="AD59" i="246" s="1"/>
  <c r="AD60" i="246" s="1"/>
  <c r="AL57" i="246"/>
  <c r="AL59" i="246" s="1"/>
  <c r="AL60" i="246" s="1"/>
  <c r="AU27" i="246"/>
  <c r="AV28" i="246" s="1"/>
  <c r="N57" i="246"/>
  <c r="C86" i="247"/>
  <c r="C35" i="247"/>
  <c r="E82" i="247"/>
  <c r="J59" i="246"/>
  <c r="J60" i="246" s="1"/>
  <c r="R59" i="246"/>
  <c r="R60" i="246" s="1"/>
  <c r="E20" i="247"/>
  <c r="D21" i="247"/>
  <c r="W6" i="250"/>
  <c r="C64" i="247"/>
  <c r="C56" i="247"/>
  <c r="E51" i="247"/>
  <c r="AK59" i="246"/>
  <c r="AK60" i="246" s="1"/>
  <c r="AP66" i="246"/>
  <c r="E12" i="247"/>
  <c r="I57" i="246"/>
  <c r="I59" i="246" s="1"/>
  <c r="H59" i="246"/>
  <c r="H60" i="246" s="1"/>
  <c r="H49" i="246" s="1"/>
  <c r="AT60" i="246"/>
  <c r="L59" i="246"/>
  <c r="L60" i="246" s="1"/>
  <c r="E49" i="246"/>
  <c r="M59" i="246"/>
  <c r="M60" i="246" s="1"/>
  <c r="Z59" i="246"/>
  <c r="Z60" i="246" s="1"/>
  <c r="AH59" i="246"/>
  <c r="AH60" i="246" s="1"/>
  <c r="AP59" i="246"/>
  <c r="AP60" i="246" s="1"/>
  <c r="E22" i="240" l="1"/>
  <c r="F20" i="240"/>
  <c r="F27" i="240" s="1"/>
  <c r="E19" i="215"/>
  <c r="N21" i="84"/>
  <c r="N23" i="84"/>
  <c r="N22" i="84"/>
  <c r="N20" i="84"/>
  <c r="D22" i="240"/>
  <c r="H34" i="246"/>
  <c r="H52" i="246" s="1"/>
  <c r="H33" i="246"/>
  <c r="H32" i="246"/>
  <c r="H35" i="246" s="1"/>
  <c r="AN49" i="246"/>
  <c r="AQ49" i="246"/>
  <c r="AF49" i="246"/>
  <c r="I60" i="246"/>
  <c r="W49" i="246" s="1"/>
  <c r="AU59" i="246"/>
  <c r="G34" i="246"/>
  <c r="G52" i="246" s="1"/>
  <c r="G33" i="246"/>
  <c r="G32" i="246"/>
  <c r="G35" i="246" s="1"/>
  <c r="AA49" i="246"/>
  <c r="AM49" i="246"/>
  <c r="S49" i="246"/>
  <c r="AI49" i="246"/>
  <c r="AP49" i="246"/>
  <c r="AH49" i="246"/>
  <c r="J49" i="246"/>
  <c r="V49" i="246"/>
  <c r="E56" i="247"/>
  <c r="C58" i="247"/>
  <c r="E58" i="247" s="1"/>
  <c r="E59" i="247" s="1"/>
  <c r="AU60" i="246"/>
  <c r="E48" i="246"/>
  <c r="E64" i="247"/>
  <c r="E68" i="247" s="1"/>
  <c r="C66" i="247"/>
  <c r="E66" i="247" s="1"/>
  <c r="C37" i="247"/>
  <c r="E37" i="247" s="1"/>
  <c r="E38" i="247" s="1"/>
  <c r="E35" i="247"/>
  <c r="F34" i="246"/>
  <c r="F52" i="246" s="1"/>
  <c r="F33" i="246"/>
  <c r="F32" i="246"/>
  <c r="F35" i="246" s="1"/>
  <c r="E86" i="247"/>
  <c r="E90" i="247" s="1"/>
  <c r="C88" i="247"/>
  <c r="E88" i="247" s="1"/>
  <c r="X49" i="246"/>
  <c r="AO27" i="242"/>
  <c r="AG27" i="242"/>
  <c r="Y27" i="242"/>
  <c r="Q27" i="242"/>
  <c r="I27" i="242"/>
  <c r="AK27" i="242"/>
  <c r="AC27" i="242"/>
  <c r="U27" i="242"/>
  <c r="M27" i="242"/>
  <c r="E27" i="242"/>
  <c r="AP27" i="242"/>
  <c r="AE27" i="242"/>
  <c r="T27" i="242"/>
  <c r="J27" i="242"/>
  <c r="AN27" i="242"/>
  <c r="AD27" i="242"/>
  <c r="S27" i="242"/>
  <c r="H27" i="242"/>
  <c r="AI27" i="242"/>
  <c r="X27" i="242"/>
  <c r="N27" i="242"/>
  <c r="G17" i="242"/>
  <c r="AL27" i="242"/>
  <c r="V27" i="242"/>
  <c r="AJ27" i="242"/>
  <c r="R27" i="242"/>
  <c r="AH27" i="242"/>
  <c r="P27" i="242"/>
  <c r="AB27" i="242"/>
  <c r="L27" i="242"/>
  <c r="K27" i="242"/>
  <c r="AF27" i="242"/>
  <c r="O27" i="242"/>
  <c r="AR27" i="242"/>
  <c r="AA27" i="242"/>
  <c r="AQ27" i="242"/>
  <c r="Z27" i="242"/>
  <c r="G27" i="242"/>
  <c r="AM27" i="242"/>
  <c r="W27" i="242"/>
  <c r="F27" i="242"/>
  <c r="E14" i="247"/>
  <c r="C19" i="247"/>
  <c r="AU57" i="246"/>
  <c r="I26" i="241"/>
  <c r="AT49" i="246"/>
  <c r="E69" i="247"/>
  <c r="H4" i="240"/>
  <c r="F6" i="240"/>
  <c r="M49" i="246"/>
  <c r="E32" i="246"/>
  <c r="E33" i="246"/>
  <c r="E34" i="246"/>
  <c r="Y49" i="246"/>
  <c r="AJ49" i="246"/>
  <c r="L49" i="246"/>
  <c r="T49" i="246"/>
  <c r="U49" i="246"/>
  <c r="AR27" i="245"/>
  <c r="AJ27" i="245"/>
  <c r="AB27" i="245"/>
  <c r="T27" i="245"/>
  <c r="L27" i="245"/>
  <c r="G17" i="245"/>
  <c r="AQ27" i="245"/>
  <c r="AI27" i="245"/>
  <c r="AA27" i="245"/>
  <c r="S27" i="245"/>
  <c r="K27" i="245"/>
  <c r="AN27" i="245"/>
  <c r="AF27" i="245"/>
  <c r="X27" i="245"/>
  <c r="P27" i="245"/>
  <c r="H27" i="245"/>
  <c r="AE27" i="245"/>
  <c r="R27" i="245"/>
  <c r="F27" i="245"/>
  <c r="AP27" i="245"/>
  <c r="AD27" i="245"/>
  <c r="Q27" i="245"/>
  <c r="E27" i="245"/>
  <c r="AK27" i="245"/>
  <c r="U27" i="245"/>
  <c r="AH27" i="245"/>
  <c r="O27" i="245"/>
  <c r="AO27" i="245"/>
  <c r="Y27" i="245"/>
  <c r="I27" i="245"/>
  <c r="AC27" i="245"/>
  <c r="Z27" i="245"/>
  <c r="W27" i="245"/>
  <c r="V27" i="245"/>
  <c r="N27" i="245"/>
  <c r="AM27" i="245"/>
  <c r="M27" i="245"/>
  <c r="AL27" i="245"/>
  <c r="J27" i="245"/>
  <c r="AG27" i="245"/>
  <c r="G27" i="245"/>
  <c r="J17" i="241"/>
  <c r="F19" i="241"/>
  <c r="J19" i="241" s="1"/>
  <c r="I27" i="241"/>
  <c r="F22" i="240" l="1"/>
  <c r="W33" i="246"/>
  <c r="W34" i="246"/>
  <c r="W52" i="246" s="1"/>
  <c r="W32" i="246"/>
  <c r="W35" i="246" s="1"/>
  <c r="F22" i="239"/>
  <c r="L5" i="240"/>
  <c r="N57" i="242"/>
  <c r="N59" i="242" s="1"/>
  <c r="N60" i="242" s="1"/>
  <c r="AM57" i="245"/>
  <c r="AM59" i="245" s="1"/>
  <c r="AM60" i="245" s="1"/>
  <c r="L4" i="240"/>
  <c r="AQ57" i="242"/>
  <c r="AQ59" i="242" s="1"/>
  <c r="AQ60" i="242" s="1"/>
  <c r="P57" i="242"/>
  <c r="P59" i="242" s="1"/>
  <c r="P60" i="242" s="1"/>
  <c r="X57" i="242"/>
  <c r="X59" i="242" s="1"/>
  <c r="X60" i="242" s="1"/>
  <c r="AE57" i="242"/>
  <c r="AE59" i="242" s="1"/>
  <c r="AE60" i="242" s="1"/>
  <c r="Q57" i="242"/>
  <c r="Q59" i="242" s="1"/>
  <c r="Q60" i="242" s="1"/>
  <c r="AH34" i="246"/>
  <c r="AH52" i="246" s="1"/>
  <c r="AH33" i="246"/>
  <c r="AH32" i="246"/>
  <c r="AH35" i="246" s="1"/>
  <c r="AQ34" i="246"/>
  <c r="AQ52" i="246" s="1"/>
  <c r="AQ32" i="246"/>
  <c r="AQ33" i="246"/>
  <c r="M57" i="245"/>
  <c r="M59" i="245" s="1"/>
  <c r="M60" i="245" s="1"/>
  <c r="AA32" i="246"/>
  <c r="AA33" i="246"/>
  <c r="AA34" i="246"/>
  <c r="AA52" i="246" s="1"/>
  <c r="AP57" i="245"/>
  <c r="AP59" i="245" s="1"/>
  <c r="AP60" i="245" s="1"/>
  <c r="N57" i="245"/>
  <c r="N59" i="245" s="1"/>
  <c r="N60" i="245" s="1"/>
  <c r="O57" i="245"/>
  <c r="O59" i="245" s="1"/>
  <c r="O60" i="245" s="1"/>
  <c r="F57" i="245"/>
  <c r="F59" i="245" s="1"/>
  <c r="F60" i="245" s="1"/>
  <c r="K57" i="245"/>
  <c r="K59" i="245" s="1"/>
  <c r="K60" i="245" s="1"/>
  <c r="AB57" i="245"/>
  <c r="AB59" i="245" s="1"/>
  <c r="AB60" i="245" s="1"/>
  <c r="H6" i="240"/>
  <c r="C21" i="247"/>
  <c r="E21" i="247" s="1"/>
  <c r="E19" i="247"/>
  <c r="E23" i="247" s="1"/>
  <c r="AA57" i="242"/>
  <c r="AA59" i="242" s="1"/>
  <c r="AA60" i="242" s="1"/>
  <c r="AH57" i="242"/>
  <c r="AH59" i="242" s="1"/>
  <c r="AH60" i="242" s="1"/>
  <c r="AI57" i="242"/>
  <c r="AI59" i="242" s="1"/>
  <c r="AI60" i="242" s="1"/>
  <c r="AP57" i="242"/>
  <c r="AP59" i="242" s="1"/>
  <c r="AP60" i="242" s="1"/>
  <c r="Y57" i="242"/>
  <c r="Y59" i="242" s="1"/>
  <c r="Y60" i="242" s="1"/>
  <c r="AP33" i="246"/>
  <c r="AP32" i="246"/>
  <c r="AP35" i="246" s="1"/>
  <c r="AP34" i="246"/>
  <c r="AP52" i="246" s="1"/>
  <c r="AN34" i="246"/>
  <c r="AN52" i="246" s="1"/>
  <c r="AN32" i="246"/>
  <c r="AN33" i="246"/>
  <c r="L57" i="245"/>
  <c r="L59" i="245" s="1"/>
  <c r="L60" i="245" s="1"/>
  <c r="J34" i="246"/>
  <c r="J52" i="246" s="1"/>
  <c r="J33" i="246"/>
  <c r="J32" i="246"/>
  <c r="AO57" i="245"/>
  <c r="AO59" i="245" s="1"/>
  <c r="AO60" i="245" s="1"/>
  <c r="S57" i="245"/>
  <c r="S59" i="245" s="1"/>
  <c r="S60" i="245" s="1"/>
  <c r="AR57" i="242"/>
  <c r="AR59" i="242" s="1"/>
  <c r="AR60" i="242" s="1"/>
  <c r="R57" i="242"/>
  <c r="R59" i="242" s="1"/>
  <c r="R60" i="242" s="1"/>
  <c r="H57" i="242"/>
  <c r="H59" i="242" s="1"/>
  <c r="H60" i="242" s="1"/>
  <c r="AU27" i="242"/>
  <c r="AW27" i="242" s="1"/>
  <c r="E57" i="242"/>
  <c r="E12" i="243"/>
  <c r="E47" i="242"/>
  <c r="AG57" i="242"/>
  <c r="AG59" i="242" s="1"/>
  <c r="AG60" i="242" s="1"/>
  <c r="F53" i="246"/>
  <c r="F29" i="246" s="1"/>
  <c r="F37" i="246" s="1"/>
  <c r="F54" i="246"/>
  <c r="AI34" i="246"/>
  <c r="AI52" i="246" s="1"/>
  <c r="AI32" i="246"/>
  <c r="AI33" i="246"/>
  <c r="G54" i="246"/>
  <c r="G53" i="246"/>
  <c r="G29" i="246" s="1"/>
  <c r="G37" i="246" s="1"/>
  <c r="AD57" i="245"/>
  <c r="AD59" i="245" s="1"/>
  <c r="AD60" i="245" s="1"/>
  <c r="T57" i="242"/>
  <c r="T59" i="242" s="1"/>
  <c r="T60" i="242" s="1"/>
  <c r="Y34" i="246"/>
  <c r="Y52" i="246" s="1"/>
  <c r="Y33" i="246"/>
  <c r="Y32" i="246"/>
  <c r="R57" i="245"/>
  <c r="R59" i="245" s="1"/>
  <c r="R60" i="245" s="1"/>
  <c r="AJ57" i="245"/>
  <c r="AJ59" i="245" s="1"/>
  <c r="AJ60" i="245" s="1"/>
  <c r="AE57" i="245"/>
  <c r="AE59" i="245" s="1"/>
  <c r="AE60" i="245" s="1"/>
  <c r="E52" i="246"/>
  <c r="AT34" i="246"/>
  <c r="AT52" i="246" s="1"/>
  <c r="AT33" i="246"/>
  <c r="AT32" i="246"/>
  <c r="AT35" i="246" s="1"/>
  <c r="F57" i="242"/>
  <c r="F59" i="242" s="1"/>
  <c r="F60" i="242" s="1"/>
  <c r="O57" i="242"/>
  <c r="O59" i="242" s="1"/>
  <c r="O60" i="242" s="1"/>
  <c r="AJ57" i="242"/>
  <c r="AJ59" i="242" s="1"/>
  <c r="AJ60" i="242" s="1"/>
  <c r="S57" i="242"/>
  <c r="S59" i="242" s="1"/>
  <c r="S60" i="242" s="1"/>
  <c r="M57" i="242"/>
  <c r="M59" i="242" s="1"/>
  <c r="M60" i="242" s="1"/>
  <c r="AO57" i="242"/>
  <c r="AO59" i="242" s="1"/>
  <c r="AO60" i="242" s="1"/>
  <c r="E60" i="247"/>
  <c r="S32" i="246"/>
  <c r="S33" i="246"/>
  <c r="S34" i="246"/>
  <c r="S52" i="246" s="1"/>
  <c r="AE49" i="246"/>
  <c r="AF57" i="245"/>
  <c r="AF59" i="245" s="1"/>
  <c r="AF60" i="245" s="1"/>
  <c r="AF34" i="246"/>
  <c r="AF52" i="246" s="1"/>
  <c r="AF33" i="246"/>
  <c r="AF32" i="246"/>
  <c r="AF35" i="246" s="1"/>
  <c r="T57" i="245"/>
  <c r="T59" i="245" s="1"/>
  <c r="T60" i="245" s="1"/>
  <c r="V57" i="245"/>
  <c r="V59" i="245" s="1"/>
  <c r="V60" i="245" s="1"/>
  <c r="U57" i="245"/>
  <c r="U59" i="245" s="1"/>
  <c r="U60" i="245" s="1"/>
  <c r="AA57" i="245"/>
  <c r="AA59" i="245" s="1"/>
  <c r="AA60" i="245" s="1"/>
  <c r="Z57" i="245"/>
  <c r="Z59" i="245" s="1"/>
  <c r="Z60" i="245" s="1"/>
  <c r="AK57" i="245"/>
  <c r="AK59" i="245" s="1"/>
  <c r="AK60" i="245" s="1"/>
  <c r="H57" i="245"/>
  <c r="H59" i="245" s="1"/>
  <c r="H60" i="245" s="1"/>
  <c r="AI57" i="245"/>
  <c r="AI59" i="245" s="1"/>
  <c r="AI60" i="245" s="1"/>
  <c r="U34" i="246"/>
  <c r="U52" i="246" s="1"/>
  <c r="U32" i="246"/>
  <c r="U33" i="246"/>
  <c r="E61" i="247"/>
  <c r="W57" i="242"/>
  <c r="W59" i="242" s="1"/>
  <c r="W60" i="242" s="1"/>
  <c r="AF57" i="242"/>
  <c r="AF59" i="242" s="1"/>
  <c r="AF60" i="242" s="1"/>
  <c r="V57" i="242"/>
  <c r="V59" i="242" s="1"/>
  <c r="V60" i="242" s="1"/>
  <c r="AD57" i="242"/>
  <c r="AD59" i="242" s="1"/>
  <c r="AD60" i="242" s="1"/>
  <c r="U57" i="242"/>
  <c r="U59" i="242" s="1"/>
  <c r="U60" i="242" s="1"/>
  <c r="X34" i="246"/>
  <c r="X52" i="246" s="1"/>
  <c r="X33" i="246"/>
  <c r="X32" i="246"/>
  <c r="X35" i="246" s="1"/>
  <c r="K49" i="246"/>
  <c r="R49" i="246"/>
  <c r="AL49" i="246"/>
  <c r="H54" i="246"/>
  <c r="H53" i="246"/>
  <c r="H29" i="246" s="1"/>
  <c r="H37" i="246" s="1"/>
  <c r="AJ33" i="246"/>
  <c r="AJ32" i="246"/>
  <c r="AJ34" i="246"/>
  <c r="AJ52" i="246" s="1"/>
  <c r="Z57" i="242"/>
  <c r="Z59" i="242" s="1"/>
  <c r="Z60" i="242" s="1"/>
  <c r="AN57" i="245"/>
  <c r="AN59" i="245" s="1"/>
  <c r="AN60" i="245" s="1"/>
  <c r="AH57" i="245"/>
  <c r="AH59" i="245" s="1"/>
  <c r="AH60" i="245" s="1"/>
  <c r="G57" i="245"/>
  <c r="G59" i="245" s="1"/>
  <c r="G60" i="245" s="1"/>
  <c r="W57" i="245"/>
  <c r="W59" i="245" s="1"/>
  <c r="W60" i="245" s="1"/>
  <c r="AR57" i="245"/>
  <c r="AR59" i="245" s="1"/>
  <c r="AR60" i="245" s="1"/>
  <c r="AG57" i="245"/>
  <c r="AG59" i="245" s="1"/>
  <c r="AG60" i="245" s="1"/>
  <c r="J57" i="245"/>
  <c r="J59" i="245" s="1"/>
  <c r="J60" i="245" s="1"/>
  <c r="AC57" i="245"/>
  <c r="AC59" i="245" s="1"/>
  <c r="AC60" i="245" s="1"/>
  <c r="E57" i="245"/>
  <c r="E47" i="245"/>
  <c r="AU27" i="245"/>
  <c r="AU28" i="245" s="1"/>
  <c r="P57" i="245"/>
  <c r="P59" i="245" s="1"/>
  <c r="P60" i="245" s="1"/>
  <c r="AQ57" i="245"/>
  <c r="AQ59" i="245" s="1"/>
  <c r="AQ60" i="245" s="1"/>
  <c r="T32" i="246"/>
  <c r="T33" i="246"/>
  <c r="T34" i="246"/>
  <c r="T52" i="246" s="1"/>
  <c r="E35" i="246"/>
  <c r="AM57" i="242"/>
  <c r="AM59" i="242" s="1"/>
  <c r="AM60" i="242" s="1"/>
  <c r="K57" i="242"/>
  <c r="K59" i="242" s="1"/>
  <c r="K60" i="242" s="1"/>
  <c r="AL57" i="242"/>
  <c r="AL59" i="242" s="1"/>
  <c r="AL60" i="242" s="1"/>
  <c r="AN57" i="242"/>
  <c r="AN59" i="242" s="1"/>
  <c r="AN60" i="242" s="1"/>
  <c r="AC57" i="242"/>
  <c r="AC59" i="242" s="1"/>
  <c r="AC60" i="242" s="1"/>
  <c r="E89" i="247"/>
  <c r="E91" i="247"/>
  <c r="E67" i="247"/>
  <c r="F71" i="247" s="1"/>
  <c r="E71" i="247"/>
  <c r="P49" i="246"/>
  <c r="N49" i="246"/>
  <c r="Y57" i="245"/>
  <c r="Y59" i="245" s="1"/>
  <c r="Y60" i="245" s="1"/>
  <c r="AB57" i="242"/>
  <c r="AB59" i="242" s="1"/>
  <c r="AB60" i="242" s="1"/>
  <c r="I57" i="242"/>
  <c r="I59" i="242" s="1"/>
  <c r="I60" i="242" s="1"/>
  <c r="AL57" i="245"/>
  <c r="AL59" i="245" s="1"/>
  <c r="AL60" i="245" s="1"/>
  <c r="I57" i="245"/>
  <c r="I59" i="245" s="1"/>
  <c r="I60" i="245" s="1"/>
  <c r="Q57" i="245"/>
  <c r="Q59" i="245" s="1"/>
  <c r="Q60" i="245" s="1"/>
  <c r="X57" i="245"/>
  <c r="X59" i="245" s="1"/>
  <c r="X60" i="245" s="1"/>
  <c r="L32" i="246"/>
  <c r="L34" i="246"/>
  <c r="L52" i="246" s="1"/>
  <c r="L33" i="246"/>
  <c r="M32" i="246"/>
  <c r="M34" i="246"/>
  <c r="M52" i="246" s="1"/>
  <c r="M33" i="246"/>
  <c r="G57" i="242"/>
  <c r="G59" i="242" s="1"/>
  <c r="G60" i="242" s="1"/>
  <c r="L57" i="242"/>
  <c r="L59" i="242" s="1"/>
  <c r="L60" i="242" s="1"/>
  <c r="J57" i="242"/>
  <c r="J59" i="242" s="1"/>
  <c r="J60" i="242" s="1"/>
  <c r="AK57" i="242"/>
  <c r="AK59" i="242" s="1"/>
  <c r="AK60" i="242" s="1"/>
  <c r="V34" i="246"/>
  <c r="V52" i="246" s="1"/>
  <c r="V33" i="246"/>
  <c r="V32" i="246"/>
  <c r="AM34" i="246"/>
  <c r="AM52" i="246" s="1"/>
  <c r="AM33" i="246"/>
  <c r="AM32" i="246"/>
  <c r="AK49" i="246"/>
  <c r="AR49" i="246"/>
  <c r="AB49" i="246"/>
  <c r="Q49" i="246"/>
  <c r="I49" i="246"/>
  <c r="AS49" i="246"/>
  <c r="Z49" i="246"/>
  <c r="AD49" i="246"/>
  <c r="AG49" i="246"/>
  <c r="AO49" i="246"/>
  <c r="AC49" i="246"/>
  <c r="O49" i="246"/>
  <c r="Z34" i="246" l="1"/>
  <c r="Z52" i="246" s="1"/>
  <c r="Z33" i="246"/>
  <c r="Z32" i="246"/>
  <c r="Z35" i="246" s="1"/>
  <c r="H39" i="246"/>
  <c r="H42" i="246" s="1"/>
  <c r="H38" i="246"/>
  <c r="G38" i="246"/>
  <c r="G39" i="246"/>
  <c r="G42" i="246" s="1"/>
  <c r="G45" i="246" s="1"/>
  <c r="AP53" i="246"/>
  <c r="AP29" i="246" s="1"/>
  <c r="AP37" i="246" s="1"/>
  <c r="AA53" i="246"/>
  <c r="AA29" i="246" s="1"/>
  <c r="AA37" i="246" s="1"/>
  <c r="AA54" i="246"/>
  <c r="AQ54" i="246"/>
  <c r="AQ53" i="246"/>
  <c r="AQ29" i="246" s="1"/>
  <c r="AU57" i="245"/>
  <c r="E59" i="245"/>
  <c r="J53" i="246"/>
  <c r="J29" i="246" s="1"/>
  <c r="I34" i="246"/>
  <c r="I33" i="246"/>
  <c r="I32" i="246"/>
  <c r="AU49" i="246"/>
  <c r="AL33" i="246"/>
  <c r="AL34" i="246"/>
  <c r="AL52" i="246" s="1"/>
  <c r="AL32" i="246"/>
  <c r="AL35" i="246" s="1"/>
  <c r="U35" i="246"/>
  <c r="AE34" i="246"/>
  <c r="AE52" i="246" s="1"/>
  <c r="AE33" i="246"/>
  <c r="AE32" i="246"/>
  <c r="AA35" i="246"/>
  <c r="AS34" i="246"/>
  <c r="AS52" i="246" s="1"/>
  <c r="AS32" i="246"/>
  <c r="AS33" i="246"/>
  <c r="V35" i="246"/>
  <c r="M53" i="246"/>
  <c r="M29" i="246" s="1"/>
  <c r="M37" i="246" s="1"/>
  <c r="O34" i="246"/>
  <c r="O52" i="246" s="1"/>
  <c r="O33" i="246"/>
  <c r="O32" i="246"/>
  <c r="O35" i="246" s="1"/>
  <c r="Q34" i="246"/>
  <c r="Q52" i="246" s="1"/>
  <c r="Q32" i="246"/>
  <c r="Q33" i="246"/>
  <c r="M35" i="246"/>
  <c r="T54" i="246"/>
  <c r="T53" i="246"/>
  <c r="T29" i="246" s="1"/>
  <c r="R34" i="246"/>
  <c r="R52" i="246" s="1"/>
  <c r="R33" i="246"/>
  <c r="R32" i="246"/>
  <c r="R35" i="246" s="1"/>
  <c r="U53" i="246"/>
  <c r="U29" i="246" s="1"/>
  <c r="U37" i="246" s="1"/>
  <c r="U54" i="246"/>
  <c r="S54" i="246"/>
  <c r="S53" i="246"/>
  <c r="S29" i="246" s="1"/>
  <c r="AT53" i="246"/>
  <c r="AT29" i="246" s="1"/>
  <c r="AT37" i="246" s="1"/>
  <c r="AT54" i="246"/>
  <c r="AI35" i="246"/>
  <c r="E22" i="247"/>
  <c r="E24" i="247"/>
  <c r="AH53" i="246"/>
  <c r="AH29" i="246" s="1"/>
  <c r="AH37" i="246" s="1"/>
  <c r="L6" i="240"/>
  <c r="AR58" i="239"/>
  <c r="AJ58" i="239"/>
  <c r="AB58" i="239"/>
  <c r="T58" i="239"/>
  <c r="L58" i="239"/>
  <c r="AQ58" i="239"/>
  <c r="AI58" i="239"/>
  <c r="AA58" i="239"/>
  <c r="S58" i="239"/>
  <c r="K58" i="239"/>
  <c r="AM58" i="239"/>
  <c r="AE58" i="239"/>
  <c r="W58" i="239"/>
  <c r="O58" i="239"/>
  <c r="G58" i="239"/>
  <c r="AK58" i="239"/>
  <c r="X58" i="239"/>
  <c r="J58" i="239"/>
  <c r="AG58" i="239"/>
  <c r="U58" i="239"/>
  <c r="H58" i="239"/>
  <c r="Q58" i="239"/>
  <c r="AF58" i="239"/>
  <c r="R58" i="239"/>
  <c r="F58" i="239"/>
  <c r="AD58" i="239"/>
  <c r="E58" i="239"/>
  <c r="AP58" i="239"/>
  <c r="AN58" i="239"/>
  <c r="Z58" i="239"/>
  <c r="N58" i="239"/>
  <c r="AU27" i="239"/>
  <c r="Y58" i="239"/>
  <c r="V58" i="239"/>
  <c r="M58" i="239"/>
  <c r="AO58" i="239"/>
  <c r="I58" i="239"/>
  <c r="P58" i="239"/>
  <c r="AL58" i="239"/>
  <c r="AH58" i="239"/>
  <c r="AC58" i="239"/>
  <c r="K32" i="246"/>
  <c r="K33" i="246"/>
  <c r="K34" i="246"/>
  <c r="K52" i="246" s="1"/>
  <c r="AI53" i="246"/>
  <c r="AI29" i="246" s="1"/>
  <c r="AI37" i="246" s="1"/>
  <c r="F12" i="243"/>
  <c r="G7" i="240"/>
  <c r="M5" i="240"/>
  <c r="AM53" i="246"/>
  <c r="AM29" i="246" s="1"/>
  <c r="AM37" i="246" s="1"/>
  <c r="AC33" i="246"/>
  <c r="AC32" i="246"/>
  <c r="AC34" i="246"/>
  <c r="AC52" i="246" s="1"/>
  <c r="AO33" i="246"/>
  <c r="AO32" i="246"/>
  <c r="AO34" i="246"/>
  <c r="AO52" i="246" s="1"/>
  <c r="P34" i="246"/>
  <c r="P52" i="246" s="1"/>
  <c r="P33" i="246"/>
  <c r="P32" i="246"/>
  <c r="P35" i="246" s="1"/>
  <c r="T35" i="246"/>
  <c r="AJ53" i="246"/>
  <c r="AJ29" i="246" s="1"/>
  <c r="AJ37" i="246" s="1"/>
  <c r="S35" i="246"/>
  <c r="E53" i="246"/>
  <c r="E42" i="243"/>
  <c r="F42" i="243" s="1"/>
  <c r="AU57" i="242"/>
  <c r="E59" i="242"/>
  <c r="M4" i="240"/>
  <c r="V53" i="246"/>
  <c r="V29" i="246" s="1"/>
  <c r="V37" i="246" s="1"/>
  <c r="AG33" i="246"/>
  <c r="AG34" i="246"/>
  <c r="AG52" i="246" s="1"/>
  <c r="AG32" i="246"/>
  <c r="AG35" i="246" s="1"/>
  <c r="AK34" i="246"/>
  <c r="AK52" i="246" s="1"/>
  <c r="AK33" i="246"/>
  <c r="AK32" i="246"/>
  <c r="L35" i="246"/>
  <c r="AJ35" i="246"/>
  <c r="AF53" i="246"/>
  <c r="AF29" i="246" s="1"/>
  <c r="AF37" i="246" s="1"/>
  <c r="F38" i="246"/>
  <c r="F39" i="246" s="1"/>
  <c r="F42" i="246" s="1"/>
  <c r="F45" i="246" s="1"/>
  <c r="AN35" i="246"/>
  <c r="W53" i="246"/>
  <c r="W29" i="246" s="1"/>
  <c r="W37" i="246" s="1"/>
  <c r="Y53" i="246"/>
  <c r="Y29" i="246" s="1"/>
  <c r="Y54" i="246"/>
  <c r="AB33" i="246"/>
  <c r="AB32" i="246"/>
  <c r="AB35" i="246" s="1"/>
  <c r="AB34" i="246"/>
  <c r="AB52" i="246" s="1"/>
  <c r="N33" i="246"/>
  <c r="N32" i="246"/>
  <c r="N34" i="246"/>
  <c r="N52" i="246" s="1"/>
  <c r="AR33" i="246"/>
  <c r="AR34" i="246"/>
  <c r="AR52" i="246" s="1"/>
  <c r="AR32" i="246"/>
  <c r="L53" i="246"/>
  <c r="L29" i="246" s="1"/>
  <c r="L37" i="246" s="1"/>
  <c r="AD34" i="246"/>
  <c r="AD52" i="246" s="1"/>
  <c r="AD32" i="246"/>
  <c r="AD33" i="246"/>
  <c r="AM35" i="246"/>
  <c r="X54" i="246"/>
  <c r="X53" i="246"/>
  <c r="X29" i="246" s="1"/>
  <c r="X37" i="246" s="1"/>
  <c r="Y35" i="246"/>
  <c r="J35" i="246"/>
  <c r="AN53" i="246"/>
  <c r="AN29" i="246" s="1"/>
  <c r="AN37" i="246" s="1"/>
  <c r="AQ35" i="246"/>
  <c r="H23" i="224"/>
  <c r="H22" i="224"/>
  <c r="H19" i="224"/>
  <c r="H17" i="224"/>
  <c r="E17" i="224"/>
  <c r="D17" i="224"/>
  <c r="K16" i="224"/>
  <c r="N16" i="224" s="1"/>
  <c r="I16" i="224"/>
  <c r="F16" i="224"/>
  <c r="F23" i="224" s="1"/>
  <c r="K15" i="224"/>
  <c r="N15" i="224" s="1"/>
  <c r="I15" i="224"/>
  <c r="J15" i="224" s="1"/>
  <c r="F15" i="224"/>
  <c r="F22" i="224" s="1"/>
  <c r="O14" i="224"/>
  <c r="I9" i="224"/>
  <c r="H9" i="224"/>
  <c r="E9" i="224"/>
  <c r="E19" i="224" s="1"/>
  <c r="D9" i="224"/>
  <c r="D19" i="224" s="1"/>
  <c r="I8" i="224"/>
  <c r="F8" i="224"/>
  <c r="J8" i="224" s="1"/>
  <c r="I7" i="224"/>
  <c r="O7" i="224" s="1"/>
  <c r="F7" i="224"/>
  <c r="J7" i="224" s="1"/>
  <c r="I6" i="224"/>
  <c r="F6" i="224"/>
  <c r="F9" i="224" s="1"/>
  <c r="O5" i="224"/>
  <c r="M6" i="240" l="1"/>
  <c r="AJ38" i="246"/>
  <c r="AJ39" i="246" s="1"/>
  <c r="AJ42" i="246" s="1"/>
  <c r="AJ45" i="246" s="1"/>
  <c r="L54" i="246"/>
  <c r="AB53" i="246"/>
  <c r="AB29" i="246" s="1"/>
  <c r="AB37" i="246" s="1"/>
  <c r="AK53" i="246"/>
  <c r="AK29" i="246" s="1"/>
  <c r="AC35" i="246"/>
  <c r="AI54" i="246"/>
  <c r="AH54" i="246"/>
  <c r="I52" i="246"/>
  <c r="AU34" i="246"/>
  <c r="AA38" i="246"/>
  <c r="AA39" i="246"/>
  <c r="AA42" i="246" s="1"/>
  <c r="AA45" i="246" s="1"/>
  <c r="AC53" i="246"/>
  <c r="AC29" i="246" s="1"/>
  <c r="AC37" i="246" s="1"/>
  <c r="M38" i="246"/>
  <c r="M39" i="246"/>
  <c r="M42" i="246" s="1"/>
  <c r="M45" i="246" s="1"/>
  <c r="L38" i="246"/>
  <c r="L39" i="246" s="1"/>
  <c r="L42" i="246" s="1"/>
  <c r="L45" i="246" s="1"/>
  <c r="AI38" i="246"/>
  <c r="AI39" i="246"/>
  <c r="AI42" i="246" s="1"/>
  <c r="AI45" i="246" s="1"/>
  <c r="U38" i="246"/>
  <c r="U39" i="246" s="1"/>
  <c r="U42" i="246" s="1"/>
  <c r="U45" i="246" s="1"/>
  <c r="Q35" i="246"/>
  <c r="J37" i="246"/>
  <c r="AP38" i="246"/>
  <c r="AP39" i="246" s="1"/>
  <c r="AP42" i="246" s="1"/>
  <c r="AP45" i="246" s="1"/>
  <c r="Z54" i="246"/>
  <c r="Z53" i="246"/>
  <c r="Z29" i="246" s="1"/>
  <c r="Z37" i="246" s="1"/>
  <c r="AD53" i="246"/>
  <c r="AD29" i="246" s="1"/>
  <c r="AD54" i="246"/>
  <c r="AE53" i="246"/>
  <c r="AE29" i="246" s="1"/>
  <c r="AE54" i="246"/>
  <c r="X39" i="246"/>
  <c r="X42" i="246" s="1"/>
  <c r="X45" i="246" s="1"/>
  <c r="X38" i="246"/>
  <c r="AR35" i="246"/>
  <c r="AF54" i="246"/>
  <c r="AG53" i="246"/>
  <c r="AG29" i="246" s="1"/>
  <c r="AG37" i="246" s="1"/>
  <c r="E29" i="246"/>
  <c r="AM54" i="246"/>
  <c r="K53" i="246"/>
  <c r="K29" i="246" s="1"/>
  <c r="Q53" i="246"/>
  <c r="Q29" i="246" s="1"/>
  <c r="Q37" i="246" s="1"/>
  <c r="AS35" i="246"/>
  <c r="AL53" i="246"/>
  <c r="AL29" i="246" s="1"/>
  <c r="AL37" i="246" s="1"/>
  <c r="AL54" i="246"/>
  <c r="J54" i="246"/>
  <c r="AP54" i="246"/>
  <c r="AR53" i="246"/>
  <c r="AR29" i="246" s="1"/>
  <c r="AR37" i="246" s="1"/>
  <c r="AR54" i="246"/>
  <c r="AF39" i="246"/>
  <c r="AF42" i="246" s="1"/>
  <c r="AF45" i="246" s="1"/>
  <c r="AF38" i="246"/>
  <c r="P53" i="246"/>
  <c r="P29" i="246" s="1"/>
  <c r="P37" i="246" s="1"/>
  <c r="AM38" i="246"/>
  <c r="AM39" i="246"/>
  <c r="AM42" i="246" s="1"/>
  <c r="AM45" i="246" s="1"/>
  <c r="AS53" i="246"/>
  <c r="AS29" i="246" s="1"/>
  <c r="AS37" i="246" s="1"/>
  <c r="AS54" i="246"/>
  <c r="E60" i="245"/>
  <c r="AU59" i="245"/>
  <c r="Y37" i="246"/>
  <c r="V54" i="246"/>
  <c r="E54" i="246"/>
  <c r="AO53" i="246"/>
  <c r="AO29" i="246" s="1"/>
  <c r="AO54" i="246"/>
  <c r="K35" i="246"/>
  <c r="R53" i="246"/>
  <c r="R29" i="246" s="1"/>
  <c r="R37" i="246" s="1"/>
  <c r="AN38" i="246"/>
  <c r="AN39" i="246" s="1"/>
  <c r="AN42" i="246" s="1"/>
  <c r="AN45" i="246" s="1"/>
  <c r="E44" i="243"/>
  <c r="F44" i="243" s="1"/>
  <c r="AU59" i="242"/>
  <c r="E60" i="242"/>
  <c r="AU33" i="246"/>
  <c r="N53" i="246"/>
  <c r="N29" i="246" s="1"/>
  <c r="N54" i="246"/>
  <c r="W54" i="246"/>
  <c r="V38" i="246"/>
  <c r="V39" i="246"/>
  <c r="V42" i="246" s="1"/>
  <c r="V45" i="246" s="1"/>
  <c r="AO35" i="246"/>
  <c r="F17" i="244"/>
  <c r="F17" i="239"/>
  <c r="AT39" i="246"/>
  <c r="AT42" i="246" s="1"/>
  <c r="AT45" i="246" s="1"/>
  <c r="AT38" i="246"/>
  <c r="T37" i="246"/>
  <c r="O53" i="246"/>
  <c r="O29" i="246" s="1"/>
  <c r="O37" i="246" s="1"/>
  <c r="AE35" i="246"/>
  <c r="AQ37" i="246"/>
  <c r="AH39" i="246"/>
  <c r="AH42" i="246" s="1"/>
  <c r="AH45" i="246" s="1"/>
  <c r="AH38" i="246"/>
  <c r="AN54" i="246"/>
  <c r="AD35" i="246"/>
  <c r="N35" i="246"/>
  <c r="W38" i="246"/>
  <c r="W39" i="246"/>
  <c r="W42" i="246" s="1"/>
  <c r="W45" i="246" s="1"/>
  <c r="AK35" i="246"/>
  <c r="AJ54" i="246"/>
  <c r="AT58" i="239"/>
  <c r="S37" i="246"/>
  <c r="M54" i="246"/>
  <c r="I35" i="246"/>
  <c r="AU32" i="246"/>
  <c r="H45" i="246"/>
  <c r="B10" i="238"/>
  <c r="F24" i="224"/>
  <c r="J9" i="224"/>
  <c r="J11" i="224" s="1"/>
  <c r="I22" i="224"/>
  <c r="J6" i="224"/>
  <c r="O15" i="224"/>
  <c r="O6" i="224"/>
  <c r="O8" i="224" s="1"/>
  <c r="F17" i="224"/>
  <c r="J16" i="224"/>
  <c r="I17" i="224"/>
  <c r="I23" i="224"/>
  <c r="AU60" i="245" l="1"/>
  <c r="E48" i="245"/>
  <c r="E49" i="245"/>
  <c r="AN49" i="245"/>
  <c r="K49" i="245"/>
  <c r="S49" i="245"/>
  <c r="AP49" i="245"/>
  <c r="AD49" i="245"/>
  <c r="AH49" i="245"/>
  <c r="J49" i="245"/>
  <c r="M49" i="245"/>
  <c r="F49" i="245"/>
  <c r="R49" i="245"/>
  <c r="U49" i="245"/>
  <c r="AI49" i="245"/>
  <c r="AR49" i="245"/>
  <c r="AS49" i="245"/>
  <c r="Q49" i="245"/>
  <c r="H49" i="245"/>
  <c r="AJ49" i="245"/>
  <c r="T49" i="245"/>
  <c r="AF49" i="245"/>
  <c r="O49" i="245"/>
  <c r="X49" i="245"/>
  <c r="AO49" i="245"/>
  <c r="AC49" i="245"/>
  <c r="N49" i="245"/>
  <c r="Z49" i="245"/>
  <c r="AQ49" i="245"/>
  <c r="AE49" i="245"/>
  <c r="P49" i="245"/>
  <c r="AG49" i="245"/>
  <c r="AL49" i="245"/>
  <c r="AA49" i="245"/>
  <c r="L49" i="245"/>
  <c r="W49" i="245"/>
  <c r="AM49" i="245"/>
  <c r="V49" i="245"/>
  <c r="Y49" i="245"/>
  <c r="AK49" i="245"/>
  <c r="I49" i="245"/>
  <c r="G49" i="245"/>
  <c r="AB49" i="245"/>
  <c r="AR38" i="246"/>
  <c r="AR39" i="246"/>
  <c r="AR42" i="246" s="1"/>
  <c r="AR45" i="246" s="1"/>
  <c r="Q54" i="246"/>
  <c r="E37" i="246"/>
  <c r="AE37" i="246"/>
  <c r="AK54" i="246"/>
  <c r="Q38" i="246"/>
  <c r="Q39" i="246"/>
  <c r="Q42" i="246" s="1"/>
  <c r="Q45" i="246" s="1"/>
  <c r="AO37" i="246"/>
  <c r="AG38" i="246"/>
  <c r="AG39" i="246"/>
  <c r="AG42" i="246" s="1"/>
  <c r="AG45" i="246" s="1"/>
  <c r="J38" i="246"/>
  <c r="J39" i="246" s="1"/>
  <c r="J42" i="246" s="1"/>
  <c r="J45" i="246" s="1"/>
  <c r="AB38" i="246"/>
  <c r="AB39" i="246"/>
  <c r="AB42" i="246" s="1"/>
  <c r="AB45" i="246" s="1"/>
  <c r="AQ38" i="246"/>
  <c r="AQ39" i="246"/>
  <c r="AQ42" i="246" s="1"/>
  <c r="AQ45" i="246" s="1"/>
  <c r="AS38" i="246"/>
  <c r="AS39" i="246"/>
  <c r="AS42" i="246" s="1"/>
  <c r="AS45" i="246" s="1"/>
  <c r="AG54" i="246"/>
  <c r="AC38" i="246"/>
  <c r="AC39" i="246"/>
  <c r="AC42" i="246" s="1"/>
  <c r="AC45" i="246" s="1"/>
  <c r="AB54" i="246"/>
  <c r="O54" i="246"/>
  <c r="P38" i="246"/>
  <c r="P39" i="246" s="1"/>
  <c r="P42" i="246" s="1"/>
  <c r="P45" i="246" s="1"/>
  <c r="AC54" i="246"/>
  <c r="I53" i="246"/>
  <c r="AU52" i="246"/>
  <c r="AU35" i="246"/>
  <c r="T38" i="246"/>
  <c r="T39" i="246" s="1"/>
  <c r="T42" i="246" s="1"/>
  <c r="T45" i="246" s="1"/>
  <c r="N37" i="246"/>
  <c r="R38" i="246"/>
  <c r="R39" i="246"/>
  <c r="R42" i="246" s="1"/>
  <c r="R45" i="246" s="1"/>
  <c r="Y38" i="246"/>
  <c r="Y39" i="246" s="1"/>
  <c r="Y42" i="246" s="1"/>
  <c r="Y45" i="246" s="1"/>
  <c r="P54" i="246"/>
  <c r="K37" i="246"/>
  <c r="AD37" i="246"/>
  <c r="E45" i="243"/>
  <c r="F45" i="243" s="1"/>
  <c r="AU60" i="242"/>
  <c r="E48" i="242"/>
  <c r="AN49" i="242"/>
  <c r="E49" i="242"/>
  <c r="P49" i="242"/>
  <c r="W49" i="242"/>
  <c r="AS49" i="242"/>
  <c r="O49" i="242"/>
  <c r="K49" i="242"/>
  <c r="AF49" i="242"/>
  <c r="H49" i="242"/>
  <c r="AI49" i="242"/>
  <c r="T49" i="242"/>
  <c r="AQ49" i="242"/>
  <c r="AP49" i="242"/>
  <c r="F49" i="242"/>
  <c r="AJ49" i="242"/>
  <c r="M49" i="242"/>
  <c r="Y49" i="242"/>
  <c r="R49" i="242"/>
  <c r="AM49" i="242"/>
  <c r="AB49" i="242"/>
  <c r="J49" i="242"/>
  <c r="X49" i="242"/>
  <c r="V49" i="242"/>
  <c r="G49" i="242"/>
  <c r="AC49" i="242"/>
  <c r="Q49" i="242"/>
  <c r="AA49" i="242"/>
  <c r="AO49" i="242"/>
  <c r="I49" i="242"/>
  <c r="U49" i="242"/>
  <c r="AL49" i="242"/>
  <c r="AR49" i="242"/>
  <c r="AD49" i="242"/>
  <c r="N49" i="242"/>
  <c r="AK49" i="242"/>
  <c r="AH49" i="242"/>
  <c r="AG49" i="242"/>
  <c r="AE49" i="242"/>
  <c r="L49" i="242"/>
  <c r="S49" i="242"/>
  <c r="Z49" i="242"/>
  <c r="O38" i="246"/>
  <c r="O39" i="246" s="1"/>
  <c r="O42" i="246" s="1"/>
  <c r="O45" i="246" s="1"/>
  <c r="AO27" i="239"/>
  <c r="V27" i="239"/>
  <c r="L27" i="239"/>
  <c r="AK27" i="239"/>
  <c r="Y27" i="239"/>
  <c r="AN27" i="239"/>
  <c r="N27" i="239"/>
  <c r="AA27" i="239"/>
  <c r="U27" i="239"/>
  <c r="AE27" i="239"/>
  <c r="AD27" i="239"/>
  <c r="I27" i="239"/>
  <c r="X27" i="239"/>
  <c r="F27" i="239"/>
  <c r="AC27" i="239"/>
  <c r="AM27" i="239"/>
  <c r="E27" i="239"/>
  <c r="J27" i="239"/>
  <c r="AP27" i="239"/>
  <c r="AI27" i="239"/>
  <c r="M27" i="239"/>
  <c r="W27" i="239"/>
  <c r="AB27" i="239"/>
  <c r="AH27" i="239"/>
  <c r="S27" i="239"/>
  <c r="G27" i="239"/>
  <c r="Z27" i="239"/>
  <c r="AG27" i="239"/>
  <c r="AF27" i="239"/>
  <c r="O27" i="239"/>
  <c r="AJ27" i="239"/>
  <c r="R27" i="239"/>
  <c r="H27" i="239"/>
  <c r="Q27" i="239"/>
  <c r="P27" i="239"/>
  <c r="AL27" i="239"/>
  <c r="AQ27" i="239"/>
  <c r="AR27" i="239"/>
  <c r="T27" i="239"/>
  <c r="K27" i="239"/>
  <c r="R54" i="246"/>
  <c r="AL38" i="246"/>
  <c r="AL39" i="246"/>
  <c r="AL42" i="246" s="1"/>
  <c r="AL45" i="246" s="1"/>
  <c r="K54" i="246"/>
  <c r="Z38" i="246"/>
  <c r="Z39" i="246" s="1"/>
  <c r="Z42" i="246" s="1"/>
  <c r="Z45" i="246" s="1"/>
  <c r="AK37" i="246"/>
  <c r="S39" i="246"/>
  <c r="S42" i="246" s="1"/>
  <c r="S45" i="246" s="1"/>
  <c r="S38" i="246"/>
  <c r="AO27" i="244"/>
  <c r="AG27" i="244"/>
  <c r="Y27" i="244"/>
  <c r="Q27" i="244"/>
  <c r="I27" i="244"/>
  <c r="AN27" i="244"/>
  <c r="AF27" i="244"/>
  <c r="X27" i="244"/>
  <c r="P27" i="244"/>
  <c r="H27" i="244"/>
  <c r="AR27" i="244"/>
  <c r="AJ27" i="244"/>
  <c r="AB27" i="244"/>
  <c r="T27" i="244"/>
  <c r="L27" i="244"/>
  <c r="AM27" i="244"/>
  <c r="AA27" i="244"/>
  <c r="N27" i="244"/>
  <c r="AL27" i="244"/>
  <c r="Z27" i="244"/>
  <c r="M27" i="244"/>
  <c r="AH27" i="244"/>
  <c r="U27" i="244"/>
  <c r="G27" i="244"/>
  <c r="AQ27" i="244"/>
  <c r="V27" i="244"/>
  <c r="AP27" i="244"/>
  <c r="S27" i="244"/>
  <c r="AD27" i="244"/>
  <c r="J27" i="244"/>
  <c r="W27" i="244"/>
  <c r="R27" i="244"/>
  <c r="O27" i="244"/>
  <c r="F27" i="244"/>
  <c r="K27" i="244"/>
  <c r="AK27" i="244"/>
  <c r="AI27" i="244"/>
  <c r="E27" i="244"/>
  <c r="AE27" i="244"/>
  <c r="AC27" i="244"/>
  <c r="F19" i="224"/>
  <c r="J17" i="224"/>
  <c r="I24" i="224"/>
  <c r="I25" i="224" s="1"/>
  <c r="I26" i="224"/>
  <c r="E14" i="38" s="1"/>
  <c r="O16" i="224"/>
  <c r="O17" i="224" s="1"/>
  <c r="I19" i="224"/>
  <c r="J19" i="224" s="1"/>
  <c r="F25" i="224"/>
  <c r="E14" i="215" l="1"/>
  <c r="E15" i="215"/>
  <c r="Y57" i="239"/>
  <c r="Y59" i="239" s="1"/>
  <c r="Y60" i="239" s="1"/>
  <c r="G34" i="242"/>
  <c r="G52" i="242" s="1"/>
  <c r="G33" i="242"/>
  <c r="G32" i="242"/>
  <c r="I29" i="246"/>
  <c r="AU53" i="246"/>
  <c r="AS34" i="245"/>
  <c r="AS52" i="245" s="1"/>
  <c r="AS33" i="245"/>
  <c r="AS32" i="245"/>
  <c r="H57" i="244"/>
  <c r="H59" i="244" s="1"/>
  <c r="H60" i="244" s="1"/>
  <c r="AL57" i="239"/>
  <c r="AL59" i="239" s="1"/>
  <c r="AL60" i="239" s="1"/>
  <c r="I57" i="239"/>
  <c r="I59" i="239" s="1"/>
  <c r="I60" i="239" s="1"/>
  <c r="AK57" i="239"/>
  <c r="AK59" i="239" s="1"/>
  <c r="AK60" i="239" s="1"/>
  <c r="AG33" i="245"/>
  <c r="AG34" i="245"/>
  <c r="AG52" i="245" s="1"/>
  <c r="AG32" i="245"/>
  <c r="AR32" i="245"/>
  <c r="AR34" i="245"/>
  <c r="AR52" i="245" s="1"/>
  <c r="AR33" i="245"/>
  <c r="O57" i="244"/>
  <c r="O59" i="244" s="1"/>
  <c r="O60" i="244" s="1"/>
  <c r="AA57" i="244"/>
  <c r="AA59" i="244" s="1"/>
  <c r="AA60" i="244" s="1"/>
  <c r="AO57" i="244"/>
  <c r="AO59" i="244" s="1"/>
  <c r="AO60" i="244" s="1"/>
  <c r="P57" i="239"/>
  <c r="P59" i="239" s="1"/>
  <c r="P60" i="239" s="1"/>
  <c r="Z57" i="239"/>
  <c r="Z59" i="239" s="1"/>
  <c r="Z60" i="239" s="1"/>
  <c r="AP57" i="239"/>
  <c r="AP59" i="239" s="1"/>
  <c r="AP60" i="239" s="1"/>
  <c r="AD57" i="239"/>
  <c r="AD59" i="239" s="1"/>
  <c r="AD60" i="239" s="1"/>
  <c r="L57" i="239"/>
  <c r="L59" i="239" s="1"/>
  <c r="L60" i="239" s="1"/>
  <c r="AE34" i="242"/>
  <c r="AE52" i="242" s="1"/>
  <c r="AE32" i="242"/>
  <c r="AE33" i="242"/>
  <c r="U32" i="242"/>
  <c r="U34" i="242"/>
  <c r="U52" i="242" s="1"/>
  <c r="U33" i="242"/>
  <c r="X33" i="242"/>
  <c r="X32" i="242"/>
  <c r="X34" i="242"/>
  <c r="X52" i="242" s="1"/>
  <c r="F33" i="242"/>
  <c r="F34" i="242"/>
  <c r="F52" i="242" s="1"/>
  <c r="F32" i="242"/>
  <c r="O34" i="242"/>
  <c r="O52" i="242" s="1"/>
  <c r="O32" i="242"/>
  <c r="O33" i="242"/>
  <c r="N38" i="246"/>
  <c r="N39" i="246" s="1"/>
  <c r="N42" i="246" s="1"/>
  <c r="N45" i="246" s="1"/>
  <c r="Y33" i="245"/>
  <c r="Y32" i="245"/>
  <c r="Y34" i="245"/>
  <c r="Y52" i="245" s="1"/>
  <c r="P33" i="245"/>
  <c r="P32" i="245"/>
  <c r="P34" i="245"/>
  <c r="P52" i="245" s="1"/>
  <c r="O32" i="245"/>
  <c r="O34" i="245"/>
  <c r="O52" i="245" s="1"/>
  <c r="O33" i="245"/>
  <c r="AI32" i="245"/>
  <c r="AI34" i="245"/>
  <c r="AI52" i="245" s="1"/>
  <c r="AI33" i="245"/>
  <c r="AP34" i="245"/>
  <c r="AP52" i="245" s="1"/>
  <c r="AP32" i="245"/>
  <c r="AP33" i="245"/>
  <c r="AP57" i="244"/>
  <c r="AP59" i="244" s="1"/>
  <c r="AP60" i="244" s="1"/>
  <c r="AQ57" i="239"/>
  <c r="AQ59" i="239" s="1"/>
  <c r="AQ60" i="239" s="1"/>
  <c r="M57" i="239"/>
  <c r="M59" i="239" s="1"/>
  <c r="M60" i="239" s="1"/>
  <c r="M32" i="242"/>
  <c r="M34" i="242"/>
  <c r="M52" i="242" s="1"/>
  <c r="M33" i="242"/>
  <c r="AO33" i="245"/>
  <c r="AO32" i="245"/>
  <c r="AO34" i="245"/>
  <c r="AO52" i="245" s="1"/>
  <c r="V57" i="244"/>
  <c r="V59" i="244" s="1"/>
  <c r="V60" i="244" s="1"/>
  <c r="AJ33" i="242"/>
  <c r="AJ34" i="242"/>
  <c r="AJ52" i="242" s="1"/>
  <c r="AJ32" i="242"/>
  <c r="X33" i="245"/>
  <c r="X32" i="245"/>
  <c r="X34" i="245"/>
  <c r="X52" i="245" s="1"/>
  <c r="AD34" i="245"/>
  <c r="AD52" i="245" s="1"/>
  <c r="AD32" i="245"/>
  <c r="AD33" i="245"/>
  <c r="AQ57" i="244"/>
  <c r="AQ59" i="244" s="1"/>
  <c r="AQ60" i="244" s="1"/>
  <c r="P57" i="244"/>
  <c r="P59" i="244" s="1"/>
  <c r="P60" i="244" s="1"/>
  <c r="AC57" i="244"/>
  <c r="AC59" i="244" s="1"/>
  <c r="AC60" i="244" s="1"/>
  <c r="R57" i="244"/>
  <c r="R59" i="244" s="1"/>
  <c r="R60" i="244" s="1"/>
  <c r="G57" i="244"/>
  <c r="G59" i="244" s="1"/>
  <c r="G60" i="244" s="1"/>
  <c r="AM57" i="244"/>
  <c r="AM59" i="244" s="1"/>
  <c r="AM60" i="244" s="1"/>
  <c r="X57" i="244"/>
  <c r="X59" i="244" s="1"/>
  <c r="X60" i="244" s="1"/>
  <c r="Q57" i="239"/>
  <c r="Q59" i="239" s="1"/>
  <c r="Q60" i="239" s="1"/>
  <c r="G57" i="239"/>
  <c r="G59" i="239" s="1"/>
  <c r="G60" i="239" s="1"/>
  <c r="J57" i="239"/>
  <c r="J59" i="239" s="1"/>
  <c r="J60" i="239" s="1"/>
  <c r="AE57" i="239"/>
  <c r="AE59" i="239" s="1"/>
  <c r="AE60" i="239" s="1"/>
  <c r="V57" i="239"/>
  <c r="V59" i="239" s="1"/>
  <c r="V60" i="239" s="1"/>
  <c r="AG32" i="242"/>
  <c r="AG34" i="242"/>
  <c r="AG52" i="242" s="1"/>
  <c r="AG33" i="242"/>
  <c r="I32" i="242"/>
  <c r="I34" i="242"/>
  <c r="I52" i="242" s="1"/>
  <c r="I33" i="242"/>
  <c r="J33" i="242"/>
  <c r="J34" i="242"/>
  <c r="J52" i="242" s="1"/>
  <c r="J32" i="242"/>
  <c r="AP33" i="242"/>
  <c r="AP34" i="242"/>
  <c r="AP52" i="242" s="1"/>
  <c r="AP32" i="242"/>
  <c r="AP35" i="242" s="1"/>
  <c r="AS32" i="242"/>
  <c r="AS34" i="242"/>
  <c r="AS52" i="242" s="1"/>
  <c r="AS33" i="242"/>
  <c r="AD38" i="246"/>
  <c r="AD39" i="246" s="1"/>
  <c r="AD42" i="246" s="1"/>
  <c r="AD45" i="246" s="1"/>
  <c r="V34" i="245"/>
  <c r="V52" i="245" s="1"/>
  <c r="V33" i="245"/>
  <c r="V32" i="245"/>
  <c r="AE34" i="245"/>
  <c r="AE52" i="245" s="1"/>
  <c r="AE32" i="245"/>
  <c r="AE33" i="245"/>
  <c r="AF33" i="245"/>
  <c r="AF32" i="245"/>
  <c r="AF34" i="245"/>
  <c r="AF52" i="245" s="1"/>
  <c r="U34" i="245"/>
  <c r="U52" i="245" s="1"/>
  <c r="U33" i="245"/>
  <c r="U32" i="245"/>
  <c r="S32" i="245"/>
  <c r="S34" i="245"/>
  <c r="S52" i="245" s="1"/>
  <c r="S33" i="245"/>
  <c r="AR57" i="244"/>
  <c r="AR59" i="244" s="1"/>
  <c r="AR60" i="244" s="1"/>
  <c r="X57" i="239"/>
  <c r="X59" i="239" s="1"/>
  <c r="X60" i="239" s="1"/>
  <c r="AF34" i="242"/>
  <c r="AF52" i="242" s="1"/>
  <c r="AF33" i="242"/>
  <c r="AF32" i="242"/>
  <c r="AH34" i="245"/>
  <c r="AH52" i="245" s="1"/>
  <c r="AH33" i="245"/>
  <c r="AH32" i="245"/>
  <c r="AH35" i="245" s="1"/>
  <c r="AG57" i="244"/>
  <c r="AG59" i="244" s="1"/>
  <c r="AG60" i="244" s="1"/>
  <c r="AG57" i="239"/>
  <c r="AG59" i="239" s="1"/>
  <c r="AG60" i="239" s="1"/>
  <c r="L34" i="242"/>
  <c r="L52" i="242" s="1"/>
  <c r="L32" i="242"/>
  <c r="L33" i="242"/>
  <c r="K34" i="242"/>
  <c r="K52" i="242" s="1"/>
  <c r="K33" i="242"/>
  <c r="K32" i="242"/>
  <c r="K35" i="242" s="1"/>
  <c r="W57" i="244"/>
  <c r="W59" i="244" s="1"/>
  <c r="W60" i="244" s="1"/>
  <c r="AF57" i="244"/>
  <c r="AF59" i="244" s="1"/>
  <c r="AF60" i="244" s="1"/>
  <c r="S57" i="239"/>
  <c r="S59" i="239" s="1"/>
  <c r="S60" i="239" s="1"/>
  <c r="AO32" i="242"/>
  <c r="AO33" i="242"/>
  <c r="AO34" i="242"/>
  <c r="AO52" i="242" s="1"/>
  <c r="W34" i="242"/>
  <c r="W52" i="242" s="1"/>
  <c r="W33" i="242"/>
  <c r="W32" i="242"/>
  <c r="K39" i="246"/>
  <c r="K42" i="246" s="1"/>
  <c r="K45" i="246" s="1"/>
  <c r="K38" i="246"/>
  <c r="AO38" i="246"/>
  <c r="AO39" i="246" s="1"/>
  <c r="AO42" i="246" s="1"/>
  <c r="AO45" i="246" s="1"/>
  <c r="T32" i="245"/>
  <c r="T34" i="245"/>
  <c r="T52" i="245" s="1"/>
  <c r="T33" i="245"/>
  <c r="AH57" i="244"/>
  <c r="AH59" i="244" s="1"/>
  <c r="AH60" i="244" s="1"/>
  <c r="AN57" i="244"/>
  <c r="AN59" i="244" s="1"/>
  <c r="AN60" i="244" s="1"/>
  <c r="K57" i="239"/>
  <c r="K59" i="239" s="1"/>
  <c r="K60" i="239" s="1"/>
  <c r="R57" i="239"/>
  <c r="R59" i="239" s="1"/>
  <c r="R60" i="239" s="1"/>
  <c r="AH57" i="239"/>
  <c r="AH59" i="239" s="1"/>
  <c r="AH60" i="239" s="1"/>
  <c r="AM57" i="239"/>
  <c r="AM59" i="239" s="1"/>
  <c r="AM60" i="239" s="1"/>
  <c r="AA57" i="239"/>
  <c r="AA59" i="239" s="1"/>
  <c r="AA60" i="239" s="1"/>
  <c r="AK32" i="242"/>
  <c r="AK34" i="242"/>
  <c r="AK52" i="242" s="1"/>
  <c r="AK33" i="242"/>
  <c r="AA34" i="242"/>
  <c r="AA52" i="242" s="1"/>
  <c r="AA33" i="242"/>
  <c r="AA32" i="242"/>
  <c r="AM34" i="242"/>
  <c r="AM52" i="242" s="1"/>
  <c r="AM33" i="242"/>
  <c r="AM32" i="242"/>
  <c r="T33" i="242"/>
  <c r="T34" i="242"/>
  <c r="T52" i="242" s="1"/>
  <c r="T32" i="242"/>
  <c r="P34" i="242"/>
  <c r="P52" i="242" s="1"/>
  <c r="P33" i="242"/>
  <c r="P32" i="242"/>
  <c r="P35" i="242" s="1"/>
  <c r="W33" i="245"/>
  <c r="W34" i="245"/>
  <c r="W52" i="245" s="1"/>
  <c r="W32" i="245"/>
  <c r="Z34" i="245"/>
  <c r="Z52" i="245" s="1"/>
  <c r="Z33" i="245"/>
  <c r="Z32" i="245"/>
  <c r="AJ32" i="245"/>
  <c r="AJ33" i="245"/>
  <c r="AJ34" i="245"/>
  <c r="AJ52" i="245" s="1"/>
  <c r="F34" i="245"/>
  <c r="F52" i="245" s="1"/>
  <c r="F32" i="245"/>
  <c r="F33" i="245"/>
  <c r="AN33" i="245"/>
  <c r="AN32" i="245"/>
  <c r="AN34" i="245"/>
  <c r="AN52" i="245" s="1"/>
  <c r="AL57" i="244"/>
  <c r="AL59" i="244" s="1"/>
  <c r="AL60" i="244" s="1"/>
  <c r="AF57" i="239"/>
  <c r="AF59" i="239" s="1"/>
  <c r="AF60" i="239" s="1"/>
  <c r="S34" i="242"/>
  <c r="S52" i="242" s="1"/>
  <c r="S33" i="242"/>
  <c r="S32" i="242"/>
  <c r="AE38" i="246"/>
  <c r="AE39" i="246" s="1"/>
  <c r="AE42" i="246" s="1"/>
  <c r="AE45" i="246" s="1"/>
  <c r="AL34" i="245"/>
  <c r="AL52" i="245" s="1"/>
  <c r="AL33" i="245"/>
  <c r="AL32" i="245"/>
  <c r="F57" i="244"/>
  <c r="F59" i="244" s="1"/>
  <c r="F60" i="244" s="1"/>
  <c r="AL33" i="242"/>
  <c r="AL34" i="242"/>
  <c r="AL52" i="242" s="1"/>
  <c r="AL32" i="242"/>
  <c r="AK34" i="245"/>
  <c r="AK52" i="245" s="1"/>
  <c r="AK33" i="245"/>
  <c r="AK32" i="245"/>
  <c r="U57" i="244"/>
  <c r="U59" i="244" s="1"/>
  <c r="U60" i="244" s="1"/>
  <c r="H57" i="239"/>
  <c r="H59" i="239" s="1"/>
  <c r="H60" i="239" s="1"/>
  <c r="E57" i="239"/>
  <c r="E47" i="239"/>
  <c r="AT27" i="239"/>
  <c r="AV27" i="239" s="1"/>
  <c r="U57" i="239"/>
  <c r="U59" i="239" s="1"/>
  <c r="U60" i="239" s="1"/>
  <c r="AO57" i="239"/>
  <c r="AO59" i="239" s="1"/>
  <c r="AO60" i="239" s="1"/>
  <c r="AQ34" i="242"/>
  <c r="AQ52" i="242" s="1"/>
  <c r="AQ33" i="242"/>
  <c r="AQ32" i="242"/>
  <c r="AQ35" i="242" s="1"/>
  <c r="AQ32" i="245"/>
  <c r="AQ33" i="245"/>
  <c r="AQ34" i="245"/>
  <c r="AQ52" i="245" s="1"/>
  <c r="K32" i="245"/>
  <c r="K33" i="245"/>
  <c r="K34" i="245"/>
  <c r="K52" i="245" s="1"/>
  <c r="AI57" i="244"/>
  <c r="AI59" i="244" s="1"/>
  <c r="AI60" i="244" s="1"/>
  <c r="AB57" i="244"/>
  <c r="AB59" i="244" s="1"/>
  <c r="AB60" i="244" s="1"/>
  <c r="AK38" i="246"/>
  <c r="AK39" i="246" s="1"/>
  <c r="AK42" i="246" s="1"/>
  <c r="AK45" i="246" s="1"/>
  <c r="T57" i="239"/>
  <c r="T59" i="239" s="1"/>
  <c r="T60" i="239" s="1"/>
  <c r="AJ57" i="239"/>
  <c r="AJ59" i="239" s="1"/>
  <c r="AJ60" i="239" s="1"/>
  <c r="AB57" i="239"/>
  <c r="AB59" i="239" s="1"/>
  <c r="AB60" i="239" s="1"/>
  <c r="AC57" i="239"/>
  <c r="AC59" i="239" s="1"/>
  <c r="AC60" i="239" s="1"/>
  <c r="N57" i="239"/>
  <c r="N59" i="239" s="1"/>
  <c r="N60" i="239" s="1"/>
  <c r="N33" i="242"/>
  <c r="N34" i="242"/>
  <c r="N52" i="242" s="1"/>
  <c r="N32" i="242"/>
  <c r="Q32" i="242"/>
  <c r="Q35" i="242" s="1"/>
  <c r="Q34" i="242"/>
  <c r="Q52" i="242" s="1"/>
  <c r="Q33" i="242"/>
  <c r="R33" i="242"/>
  <c r="R32" i="242"/>
  <c r="R34" i="242"/>
  <c r="R52" i="242" s="1"/>
  <c r="AI34" i="242"/>
  <c r="AI52" i="242" s="1"/>
  <c r="AI33" i="242"/>
  <c r="AI32" i="242"/>
  <c r="E32" i="242"/>
  <c r="E34" i="242"/>
  <c r="E33" i="242"/>
  <c r="E34" i="243"/>
  <c r="AB32" i="245"/>
  <c r="AB33" i="245"/>
  <c r="AB34" i="245"/>
  <c r="AB52" i="245" s="1"/>
  <c r="L32" i="245"/>
  <c r="L35" i="245" s="1"/>
  <c r="L33" i="245"/>
  <c r="L34" i="245"/>
  <c r="L52" i="245" s="1"/>
  <c r="N34" i="245"/>
  <c r="N52" i="245" s="1"/>
  <c r="N32" i="245"/>
  <c r="N33" i="245"/>
  <c r="H33" i="245"/>
  <c r="H32" i="245"/>
  <c r="H34" i="245"/>
  <c r="H52" i="245" s="1"/>
  <c r="M34" i="245"/>
  <c r="M52" i="245" s="1"/>
  <c r="M33" i="245"/>
  <c r="M32" i="245"/>
  <c r="E34" i="245"/>
  <c r="AU49" i="245"/>
  <c r="E33" i="245"/>
  <c r="E32" i="245"/>
  <c r="K57" i="244"/>
  <c r="K59" i="244" s="1"/>
  <c r="K60" i="244" s="1"/>
  <c r="Y57" i="244"/>
  <c r="Y59" i="244" s="1"/>
  <c r="Y60" i="244" s="1"/>
  <c r="AR34" i="242"/>
  <c r="AR52" i="242" s="1"/>
  <c r="AR32" i="242"/>
  <c r="AR33" i="242"/>
  <c r="I33" i="245"/>
  <c r="I32" i="245"/>
  <c r="I34" i="245"/>
  <c r="I52" i="245" s="1"/>
  <c r="N57" i="244"/>
  <c r="N59" i="244" s="1"/>
  <c r="N60" i="244" s="1"/>
  <c r="AI57" i="239"/>
  <c r="AI59" i="239" s="1"/>
  <c r="AI60" i="239" s="1"/>
  <c r="V33" i="242"/>
  <c r="V32" i="242"/>
  <c r="V34" i="242"/>
  <c r="V52" i="242" s="1"/>
  <c r="E39" i="246"/>
  <c r="E38" i="246"/>
  <c r="AE57" i="244"/>
  <c r="AE59" i="244" s="1"/>
  <c r="AE60" i="244" s="1"/>
  <c r="L57" i="244"/>
  <c r="L59" i="244" s="1"/>
  <c r="L60" i="244" s="1"/>
  <c r="AH33" i="242"/>
  <c r="AH32" i="242"/>
  <c r="AH35" i="242" s="1"/>
  <c r="AH34" i="242"/>
  <c r="AH52" i="242" s="1"/>
  <c r="AB34" i="242"/>
  <c r="AB52" i="242" s="1"/>
  <c r="AB33" i="242"/>
  <c r="AB32" i="242"/>
  <c r="AB35" i="242" s="1"/>
  <c r="AM32" i="245"/>
  <c r="AM34" i="245"/>
  <c r="AM52" i="245" s="1"/>
  <c r="AM33" i="245"/>
  <c r="R34" i="245"/>
  <c r="R52" i="245" s="1"/>
  <c r="R33" i="245"/>
  <c r="R32" i="245"/>
  <c r="E47" i="244"/>
  <c r="E57" i="244"/>
  <c r="AT27" i="244"/>
  <c r="AV27" i="244" s="1"/>
  <c r="J57" i="244"/>
  <c r="J59" i="244" s="1"/>
  <c r="J60" i="244" s="1"/>
  <c r="T57" i="244"/>
  <c r="T59" i="244" s="1"/>
  <c r="T60" i="244" s="1"/>
  <c r="AD57" i="244"/>
  <c r="AD59" i="244" s="1"/>
  <c r="AD60" i="244" s="1"/>
  <c r="M57" i="244"/>
  <c r="M59" i="244" s="1"/>
  <c r="M60" i="244" s="1"/>
  <c r="I57" i="244"/>
  <c r="I59" i="244" s="1"/>
  <c r="I60" i="244" s="1"/>
  <c r="AK57" i="244"/>
  <c r="AK59" i="244" s="1"/>
  <c r="AK60" i="244" s="1"/>
  <c r="S57" i="244"/>
  <c r="S59" i="244" s="1"/>
  <c r="S60" i="244" s="1"/>
  <c r="Z57" i="244"/>
  <c r="Z59" i="244" s="1"/>
  <c r="Z60" i="244" s="1"/>
  <c r="AJ57" i="244"/>
  <c r="AJ59" i="244" s="1"/>
  <c r="AJ60" i="244" s="1"/>
  <c r="Q57" i="244"/>
  <c r="Q59" i="244" s="1"/>
  <c r="Q60" i="244" s="1"/>
  <c r="AR57" i="239"/>
  <c r="AR59" i="239" s="1"/>
  <c r="AR60" i="239" s="1"/>
  <c r="O57" i="239"/>
  <c r="O59" i="239" s="1"/>
  <c r="O60" i="239" s="1"/>
  <c r="W57" i="239"/>
  <c r="W59" i="239" s="1"/>
  <c r="W60" i="239" s="1"/>
  <c r="F57" i="239"/>
  <c r="F59" i="239" s="1"/>
  <c r="F60" i="239" s="1"/>
  <c r="AN57" i="239"/>
  <c r="AN59" i="239" s="1"/>
  <c r="AN60" i="239" s="1"/>
  <c r="Z33" i="242"/>
  <c r="Z34" i="242"/>
  <c r="Z52" i="242" s="1"/>
  <c r="Z32" i="242"/>
  <c r="AD33" i="242"/>
  <c r="AD34" i="242"/>
  <c r="AD52" i="242" s="1"/>
  <c r="AD32" i="242"/>
  <c r="AC32" i="242"/>
  <c r="AC34" i="242"/>
  <c r="AC52" i="242" s="1"/>
  <c r="AC33" i="242"/>
  <c r="Y32" i="242"/>
  <c r="Y34" i="242"/>
  <c r="Y52" i="242" s="1"/>
  <c r="Y33" i="242"/>
  <c r="H33" i="242"/>
  <c r="H34" i="242"/>
  <c r="H52" i="242" s="1"/>
  <c r="H32" i="242"/>
  <c r="AN33" i="242"/>
  <c r="AN34" i="242"/>
  <c r="AN52" i="242" s="1"/>
  <c r="AN32" i="242"/>
  <c r="I54" i="246"/>
  <c r="AU54" i="246" s="1"/>
  <c r="G34" i="245"/>
  <c r="G52" i="245" s="1"/>
  <c r="G33" i="245"/>
  <c r="G32" i="245"/>
  <c r="AA32" i="245"/>
  <c r="AA34" i="245"/>
  <c r="AA52" i="245" s="1"/>
  <c r="AA33" i="245"/>
  <c r="AC34" i="245"/>
  <c r="AC52" i="245" s="1"/>
  <c r="AC33" i="245"/>
  <c r="AC32" i="245"/>
  <c r="Q33" i="245"/>
  <c r="Q32" i="245"/>
  <c r="Q34" i="245"/>
  <c r="Q52" i="245" s="1"/>
  <c r="J34" i="245"/>
  <c r="J52" i="245" s="1"/>
  <c r="J32" i="245"/>
  <c r="J33" i="245"/>
  <c r="I27" i="224"/>
  <c r="E15" i="38" s="1"/>
  <c r="H35" i="242" l="1"/>
  <c r="T35" i="245"/>
  <c r="I35" i="242"/>
  <c r="AI35" i="245"/>
  <c r="Y35" i="245"/>
  <c r="AK35" i="245"/>
  <c r="L35" i="242"/>
  <c r="V35" i="245"/>
  <c r="G35" i="242"/>
  <c r="AS35" i="242"/>
  <c r="V35" i="242"/>
  <c r="AR35" i="242"/>
  <c r="M35" i="245"/>
  <c r="AN35" i="245"/>
  <c r="Z35" i="245"/>
  <c r="Z35" i="242"/>
  <c r="S35" i="242"/>
  <c r="X35" i="245"/>
  <c r="AS35" i="245"/>
  <c r="J35" i="245"/>
  <c r="H35" i="245"/>
  <c r="N35" i="242"/>
  <c r="AQ35" i="245"/>
  <c r="AM35" i="242"/>
  <c r="AK35" i="242"/>
  <c r="U35" i="242"/>
  <c r="Y53" i="242"/>
  <c r="Y29" i="242" s="1"/>
  <c r="W53" i="245"/>
  <c r="W29" i="245" s="1"/>
  <c r="F53" i="242"/>
  <c r="F29" i="242" s="1"/>
  <c r="AC53" i="245"/>
  <c r="AC29" i="245" s="1"/>
  <c r="AN35" i="242"/>
  <c r="Y35" i="242"/>
  <c r="Z53" i="242"/>
  <c r="Z29" i="242" s="1"/>
  <c r="AR53" i="242"/>
  <c r="AR29" i="242" s="1"/>
  <c r="AR37" i="242" s="1"/>
  <c r="AU33" i="245"/>
  <c r="AI53" i="242"/>
  <c r="AI29" i="242" s="1"/>
  <c r="AI54" i="242"/>
  <c r="N53" i="242"/>
  <c r="N29" i="242" s="1"/>
  <c r="N54" i="242"/>
  <c r="AJ53" i="245"/>
  <c r="AJ29" i="245" s="1"/>
  <c r="L53" i="242"/>
  <c r="L29" i="242" s="1"/>
  <c r="L37" i="242" s="1"/>
  <c r="U53" i="245"/>
  <c r="U29" i="245" s="1"/>
  <c r="AP53" i="242"/>
  <c r="AP29" i="242" s="1"/>
  <c r="AP37" i="242" s="1"/>
  <c r="AD35" i="245"/>
  <c r="M35" i="242"/>
  <c r="AE35" i="242"/>
  <c r="I37" i="246"/>
  <c r="AU29" i="246"/>
  <c r="R53" i="245"/>
  <c r="R29" i="245" s="1"/>
  <c r="AB53" i="245"/>
  <c r="AB29" i="245" s="1"/>
  <c r="AM53" i="245"/>
  <c r="AM29" i="245" s="1"/>
  <c r="AM54" i="245"/>
  <c r="E42" i="246"/>
  <c r="AB35" i="245"/>
  <c r="R53" i="242"/>
  <c r="R29" i="242" s="1"/>
  <c r="K53" i="245"/>
  <c r="K29" i="245" s="1"/>
  <c r="AQ53" i="242"/>
  <c r="AQ29" i="242" s="1"/>
  <c r="AQ37" i="242" s="1"/>
  <c r="AM53" i="242"/>
  <c r="AM29" i="242" s="1"/>
  <c r="AM54" i="242"/>
  <c r="AO35" i="242"/>
  <c r="AH53" i="245"/>
  <c r="AH29" i="245" s="1"/>
  <c r="AH37" i="245" s="1"/>
  <c r="AF53" i="245"/>
  <c r="AF29" i="245" s="1"/>
  <c r="AF37" i="245" s="1"/>
  <c r="V53" i="245"/>
  <c r="V29" i="245" s="1"/>
  <c r="AG53" i="242"/>
  <c r="AG29" i="242" s="1"/>
  <c r="AD53" i="245"/>
  <c r="AD29" i="245" s="1"/>
  <c r="O53" i="245"/>
  <c r="O29" i="245" s="1"/>
  <c r="O54" i="245"/>
  <c r="X54" i="242"/>
  <c r="X53" i="242"/>
  <c r="X29" i="242" s="1"/>
  <c r="AE53" i="242"/>
  <c r="AE29" i="242" s="1"/>
  <c r="AL54" i="242"/>
  <c r="AL53" i="242"/>
  <c r="AL29" i="242" s="1"/>
  <c r="J53" i="245"/>
  <c r="J29" i="245" s="1"/>
  <c r="J54" i="245"/>
  <c r="AA54" i="245"/>
  <c r="AA53" i="245"/>
  <c r="AA29" i="245" s="1"/>
  <c r="AC53" i="242"/>
  <c r="AC29" i="242" s="1"/>
  <c r="AT57" i="244"/>
  <c r="E59" i="244"/>
  <c r="AM35" i="245"/>
  <c r="V53" i="242"/>
  <c r="V29" i="242" s="1"/>
  <c r="V37" i="242" s="1"/>
  <c r="AU34" i="245"/>
  <c r="E52" i="245"/>
  <c r="N35" i="245"/>
  <c r="H12" i="243"/>
  <c r="R35" i="242"/>
  <c r="AN54" i="245"/>
  <c r="AN53" i="245"/>
  <c r="AN29" i="245" s="1"/>
  <c r="AN37" i="245" s="1"/>
  <c r="AJ35" i="245"/>
  <c r="AA35" i="242"/>
  <c r="AF35" i="242"/>
  <c r="AF35" i="245"/>
  <c r="J35" i="242"/>
  <c r="AG35" i="242"/>
  <c r="X54" i="245"/>
  <c r="X53" i="245"/>
  <c r="X29" i="245" s="1"/>
  <c r="O35" i="245"/>
  <c r="X35" i="242"/>
  <c r="F53" i="245"/>
  <c r="F29" i="245" s="1"/>
  <c r="AO53" i="242"/>
  <c r="AO29" i="242" s="1"/>
  <c r="AO37" i="242" s="1"/>
  <c r="Q53" i="245"/>
  <c r="Q29" i="245" s="1"/>
  <c r="I54" i="245"/>
  <c r="I53" i="245"/>
  <c r="I29" i="245" s="1"/>
  <c r="N53" i="245"/>
  <c r="N29" i="245" s="1"/>
  <c r="N37" i="245" s="1"/>
  <c r="N54" i="245"/>
  <c r="AU33" i="242"/>
  <c r="E18" i="243"/>
  <c r="K35" i="245"/>
  <c r="S53" i="242"/>
  <c r="S29" i="242" s="1"/>
  <c r="S37" i="242" s="1"/>
  <c r="P53" i="242"/>
  <c r="P29" i="242" s="1"/>
  <c r="P37" i="242" s="1"/>
  <c r="J53" i="242"/>
  <c r="J29" i="242" s="1"/>
  <c r="AO53" i="245"/>
  <c r="AO29" i="245" s="1"/>
  <c r="AO37" i="245" s="1"/>
  <c r="AP35" i="245"/>
  <c r="P53" i="245"/>
  <c r="P29" i="245" s="1"/>
  <c r="AR53" i="245"/>
  <c r="AR29" i="245" s="1"/>
  <c r="G53" i="242"/>
  <c r="G29" i="242" s="1"/>
  <c r="G37" i="242" s="1"/>
  <c r="AU32" i="245"/>
  <c r="E35" i="245"/>
  <c r="M53" i="242"/>
  <c r="M29" i="242" s="1"/>
  <c r="AA35" i="245"/>
  <c r="AC35" i="242"/>
  <c r="Q35" i="245"/>
  <c r="G35" i="245"/>
  <c r="H53" i="242"/>
  <c r="H29" i="242" s="1"/>
  <c r="H37" i="242" s="1"/>
  <c r="AD35" i="242"/>
  <c r="I35" i="245"/>
  <c r="L53" i="245"/>
  <c r="L29" i="245" s="1"/>
  <c r="L37" i="245" s="1"/>
  <c r="E19" i="243"/>
  <c r="F19" i="243" s="1"/>
  <c r="E52" i="242"/>
  <c r="AU34" i="242"/>
  <c r="AQ53" i="245"/>
  <c r="AQ29" i="245" s="1"/>
  <c r="AQ37" i="245" s="1"/>
  <c r="AT57" i="239"/>
  <c r="E59" i="239"/>
  <c r="AL35" i="245"/>
  <c r="T35" i="242"/>
  <c r="AA53" i="242"/>
  <c r="AA29" i="242" s="1"/>
  <c r="AA37" i="242" s="1"/>
  <c r="AA54" i="242"/>
  <c r="W35" i="242"/>
  <c r="AF53" i="242"/>
  <c r="AF29" i="242" s="1"/>
  <c r="AF54" i="242"/>
  <c r="S53" i="245"/>
  <c r="S29" i="245" s="1"/>
  <c r="AO35" i="245"/>
  <c r="AP53" i="245"/>
  <c r="AP29" i="245" s="1"/>
  <c r="AP37" i="245" s="1"/>
  <c r="P35" i="245"/>
  <c r="O35" i="242"/>
  <c r="AR35" i="245"/>
  <c r="AD53" i="242"/>
  <c r="AD29" i="242" s="1"/>
  <c r="AD37" i="242" s="1"/>
  <c r="R35" i="245"/>
  <c r="AB53" i="242"/>
  <c r="AB29" i="242" s="1"/>
  <c r="AB37" i="242" s="1"/>
  <c r="AB54" i="242"/>
  <c r="M53" i="245"/>
  <c r="M29" i="245" s="1"/>
  <c r="M37" i="245" s="1"/>
  <c r="E35" i="242"/>
  <c r="AU32" i="242"/>
  <c r="Q53" i="242"/>
  <c r="Q29" i="242" s="1"/>
  <c r="Q37" i="242" s="1"/>
  <c r="AK53" i="245"/>
  <c r="AK29" i="245" s="1"/>
  <c r="AK37" i="245" s="1"/>
  <c r="Z54" i="245"/>
  <c r="Z53" i="245"/>
  <c r="Z29" i="245" s="1"/>
  <c r="Z37" i="245" s="1"/>
  <c r="T53" i="242"/>
  <c r="T29" i="242" s="1"/>
  <c r="K53" i="242"/>
  <c r="K29" i="242" s="1"/>
  <c r="K37" i="242" s="1"/>
  <c r="S35" i="245"/>
  <c r="AE35" i="245"/>
  <c r="AS53" i="242"/>
  <c r="AS29" i="242" s="1"/>
  <c r="AS37" i="242" s="1"/>
  <c r="AJ35" i="242"/>
  <c r="O53" i="242"/>
  <c r="O29" i="242" s="1"/>
  <c r="O37" i="242" s="1"/>
  <c r="U53" i="242"/>
  <c r="U29" i="242" s="1"/>
  <c r="AG35" i="245"/>
  <c r="AN53" i="242"/>
  <c r="AN29" i="242" s="1"/>
  <c r="AN37" i="242" s="1"/>
  <c r="AC35" i="245"/>
  <c r="G53" i="245"/>
  <c r="G29" i="245" s="1"/>
  <c r="G37" i="245" s="1"/>
  <c r="AH53" i="242"/>
  <c r="AH29" i="242" s="1"/>
  <c r="AH37" i="242" s="1"/>
  <c r="H53" i="245"/>
  <c r="H29" i="245" s="1"/>
  <c r="H37" i="245" s="1"/>
  <c r="AI35" i="242"/>
  <c r="AL35" i="242"/>
  <c r="AL53" i="245"/>
  <c r="AL29" i="245" s="1"/>
  <c r="AL37" i="245" s="1"/>
  <c r="AL54" i="245"/>
  <c r="F35" i="245"/>
  <c r="W35" i="245"/>
  <c r="AK53" i="242"/>
  <c r="AK29" i="242" s="1"/>
  <c r="AK37" i="242" s="1"/>
  <c r="T53" i="245"/>
  <c r="T29" i="245" s="1"/>
  <c r="T37" i="245" s="1"/>
  <c r="W53" i="242"/>
  <c r="W29" i="242" s="1"/>
  <c r="U35" i="245"/>
  <c r="AE53" i="245"/>
  <c r="AE29" i="245" s="1"/>
  <c r="AE54" i="245"/>
  <c r="I53" i="242"/>
  <c r="I29" i="242" s="1"/>
  <c r="I37" i="242" s="1"/>
  <c r="AJ53" i="242"/>
  <c r="AJ29" i="242" s="1"/>
  <c r="AJ37" i="242" s="1"/>
  <c r="AJ54" i="242"/>
  <c r="AI53" i="245"/>
  <c r="AI29" i="245" s="1"/>
  <c r="AI37" i="245" s="1"/>
  <c r="Y53" i="245"/>
  <c r="Y29" i="245" s="1"/>
  <c r="Y37" i="245" s="1"/>
  <c r="Y54" i="245"/>
  <c r="F35" i="242"/>
  <c r="AG53" i="245"/>
  <c r="AG29" i="245" s="1"/>
  <c r="AS53" i="245"/>
  <c r="AS29" i="245" s="1"/>
  <c r="AS37" i="245" s="1"/>
  <c r="J37" i="242" l="1"/>
  <c r="AC54" i="245"/>
  <c r="U37" i="242"/>
  <c r="Q54" i="242"/>
  <c r="J54" i="242"/>
  <c r="J37" i="245"/>
  <c r="O37" i="245"/>
  <c r="AM37" i="242"/>
  <c r="AM38" i="242" s="1"/>
  <c r="AM39" i="242" s="1"/>
  <c r="AM42" i="242" s="1"/>
  <c r="AM45" i="242" s="1"/>
  <c r="AB37" i="245"/>
  <c r="I54" i="242"/>
  <c r="AK54" i="242"/>
  <c r="H54" i="245"/>
  <c r="O54" i="242"/>
  <c r="T54" i="242"/>
  <c r="AQ54" i="245"/>
  <c r="H54" i="242"/>
  <c r="G54" i="242"/>
  <c r="P54" i="242"/>
  <c r="X37" i="245"/>
  <c r="AD37" i="245"/>
  <c r="AB54" i="245"/>
  <c r="AR54" i="242"/>
  <c r="W54" i="245"/>
  <c r="G54" i="245"/>
  <c r="AP54" i="245"/>
  <c r="AR37" i="245"/>
  <c r="Q37" i="245"/>
  <c r="AE54" i="242"/>
  <c r="V37" i="245"/>
  <c r="V39" i="245" s="1"/>
  <c r="V42" i="245" s="1"/>
  <c r="V45" i="245" s="1"/>
  <c r="AJ37" i="245"/>
  <c r="Z37" i="242"/>
  <c r="AI54" i="245"/>
  <c r="W54" i="242"/>
  <c r="AS54" i="242"/>
  <c r="AK54" i="245"/>
  <c r="F54" i="245"/>
  <c r="N37" i="242"/>
  <c r="V38" i="242"/>
  <c r="V39" i="242" s="1"/>
  <c r="V42" i="242" s="1"/>
  <c r="V45" i="242" s="1"/>
  <c r="AK38" i="242"/>
  <c r="AK39" i="242" s="1"/>
  <c r="AK42" i="242" s="1"/>
  <c r="AK45" i="242" s="1"/>
  <c r="H38" i="245"/>
  <c r="H39" i="245" s="1"/>
  <c r="H42" i="245" s="1"/>
  <c r="H45" i="245" s="1"/>
  <c r="AN38" i="242"/>
  <c r="AN39" i="242"/>
  <c r="AN42" i="242" s="1"/>
  <c r="AN45" i="242" s="1"/>
  <c r="M38" i="245"/>
  <c r="M39" i="245" s="1"/>
  <c r="M42" i="245" s="1"/>
  <c r="M45" i="245" s="1"/>
  <c r="H38" i="242"/>
  <c r="H39" i="242"/>
  <c r="H42" i="242" s="1"/>
  <c r="H45" i="242" s="1"/>
  <c r="AU35" i="245"/>
  <c r="S38" i="242"/>
  <c r="S39" i="242"/>
  <c r="S42" i="242" s="1"/>
  <c r="S45" i="242" s="1"/>
  <c r="Q54" i="245"/>
  <c r="X38" i="245"/>
  <c r="X39" i="245" s="1"/>
  <c r="X42" i="245" s="1"/>
  <c r="X45" i="245" s="1"/>
  <c r="AN38" i="245"/>
  <c r="AN39" i="245" s="1"/>
  <c r="AN42" i="245" s="1"/>
  <c r="AN45" i="245" s="1"/>
  <c r="V54" i="242"/>
  <c r="V38" i="245"/>
  <c r="AQ54" i="242"/>
  <c r="I38" i="246"/>
  <c r="AU38" i="246" s="1"/>
  <c r="AU37" i="246"/>
  <c r="L54" i="242"/>
  <c r="AC37" i="245"/>
  <c r="AO38" i="245"/>
  <c r="AO39" i="245" s="1"/>
  <c r="AO42" i="245" s="1"/>
  <c r="AO45" i="245" s="1"/>
  <c r="L39" i="242"/>
  <c r="L42" i="242" s="1"/>
  <c r="L45" i="242" s="1"/>
  <c r="L38" i="242"/>
  <c r="Y38" i="245"/>
  <c r="Y39" i="245" s="1"/>
  <c r="Y42" i="245" s="1"/>
  <c r="Y45" i="245" s="1"/>
  <c r="AH38" i="242"/>
  <c r="AH39" i="242" s="1"/>
  <c r="AH42" i="242" s="1"/>
  <c r="AH45" i="242" s="1"/>
  <c r="U38" i="242"/>
  <c r="U39" i="242" s="1"/>
  <c r="U42" i="242" s="1"/>
  <c r="U45" i="242" s="1"/>
  <c r="AK38" i="245"/>
  <c r="AK39" i="245" s="1"/>
  <c r="AK42" i="245" s="1"/>
  <c r="AK45" i="245" s="1"/>
  <c r="AB38" i="242"/>
  <c r="AB39" i="242"/>
  <c r="AB42" i="242" s="1"/>
  <c r="AB45" i="242" s="1"/>
  <c r="AP38" i="245"/>
  <c r="AP39" i="245"/>
  <c r="AP42" i="245" s="1"/>
  <c r="AP45" i="245" s="1"/>
  <c r="AA38" i="242"/>
  <c r="AA39" i="242" s="1"/>
  <c r="AA42" i="242" s="1"/>
  <c r="AA45" i="242" s="1"/>
  <c r="E53" i="242"/>
  <c r="E54" i="242" s="1"/>
  <c r="E37" i="243"/>
  <c r="AO54" i="245"/>
  <c r="E20" i="243"/>
  <c r="F20" i="243" s="1"/>
  <c r="F18" i="243"/>
  <c r="AO38" i="242"/>
  <c r="AO39" i="242" s="1"/>
  <c r="AO42" i="242" s="1"/>
  <c r="AO45" i="242" s="1"/>
  <c r="J38" i="245"/>
  <c r="J39" i="245" s="1"/>
  <c r="J42" i="245" s="1"/>
  <c r="J45" i="245" s="1"/>
  <c r="O38" i="245"/>
  <c r="O39" i="245"/>
  <c r="O42" i="245" s="1"/>
  <c r="O45" i="245" s="1"/>
  <c r="AF54" i="245"/>
  <c r="K37" i="245"/>
  <c r="AM37" i="245"/>
  <c r="AJ38" i="245"/>
  <c r="AJ39" i="245" s="1"/>
  <c r="AJ42" i="245" s="1"/>
  <c r="AJ45" i="245" s="1"/>
  <c r="AR38" i="242"/>
  <c r="AR39" i="242" s="1"/>
  <c r="AR42" i="242" s="1"/>
  <c r="AR45" i="242" s="1"/>
  <c r="F37" i="242"/>
  <c r="AF38" i="245"/>
  <c r="AF39" i="245" s="1"/>
  <c r="AF42" i="245" s="1"/>
  <c r="AF45" i="245" s="1"/>
  <c r="AE37" i="245"/>
  <c r="AI38" i="245"/>
  <c r="AI39" i="245"/>
  <c r="AI42" i="245" s="1"/>
  <c r="AI45" i="245" s="1"/>
  <c r="AH54" i="242"/>
  <c r="U54" i="242"/>
  <c r="K54" i="242"/>
  <c r="Q38" i="242"/>
  <c r="Q39" i="242"/>
  <c r="Q42" i="242" s="1"/>
  <c r="Q45" i="242" s="1"/>
  <c r="G38" i="242"/>
  <c r="G39" i="242" s="1"/>
  <c r="G42" i="242" s="1"/>
  <c r="G45" i="242" s="1"/>
  <c r="J38" i="242"/>
  <c r="J39" i="242" s="1"/>
  <c r="J42" i="242" s="1"/>
  <c r="J45" i="242" s="1"/>
  <c r="AO54" i="242"/>
  <c r="E60" i="244"/>
  <c r="AT59" i="244"/>
  <c r="AL37" i="242"/>
  <c r="AD54" i="245"/>
  <c r="AH54" i="245"/>
  <c r="K54" i="245"/>
  <c r="AB38" i="245"/>
  <c r="AB39" i="245" s="1"/>
  <c r="AB42" i="245" s="1"/>
  <c r="AB45" i="245" s="1"/>
  <c r="AJ54" i="245"/>
  <c r="F54" i="242"/>
  <c r="AS38" i="245"/>
  <c r="AS39" i="245" s="1"/>
  <c r="AS42" i="245" s="1"/>
  <c r="AS45" i="245" s="1"/>
  <c r="K38" i="242"/>
  <c r="K39" i="242" s="1"/>
  <c r="K42" i="242" s="1"/>
  <c r="K45" i="242" s="1"/>
  <c r="AD38" i="242"/>
  <c r="AD39" i="242" s="1"/>
  <c r="AD42" i="242" s="1"/>
  <c r="AD45" i="242" s="1"/>
  <c r="S37" i="245"/>
  <c r="L38" i="245"/>
  <c r="L39" i="245"/>
  <c r="L42" i="245" s="1"/>
  <c r="L45" i="245" s="1"/>
  <c r="AR38" i="245"/>
  <c r="AR39" i="245"/>
  <c r="AR42" i="245" s="1"/>
  <c r="AR45" i="245" s="1"/>
  <c r="AD38" i="245"/>
  <c r="AD39" i="245" s="1"/>
  <c r="AD42" i="245" s="1"/>
  <c r="AD45" i="245" s="1"/>
  <c r="AH38" i="245"/>
  <c r="AH39" i="245" s="1"/>
  <c r="AH42" i="245" s="1"/>
  <c r="AH45" i="245" s="1"/>
  <c r="R37" i="242"/>
  <c r="AP39" i="242"/>
  <c r="AP42" i="242" s="1"/>
  <c r="AP45" i="242" s="1"/>
  <c r="AP38" i="242"/>
  <c r="Z38" i="242"/>
  <c r="Z39" i="242" s="1"/>
  <c r="Z42" i="242" s="1"/>
  <c r="Z45" i="242" s="1"/>
  <c r="Q38" i="245"/>
  <c r="Q39" i="245" s="1"/>
  <c r="Q42" i="245" s="1"/>
  <c r="Q45" i="245" s="1"/>
  <c r="W37" i="242"/>
  <c r="AL38" i="245"/>
  <c r="AL39" i="245" s="1"/>
  <c r="AL42" i="245" s="1"/>
  <c r="AL45" i="245" s="1"/>
  <c r="G38" i="245"/>
  <c r="G39" i="245" s="1"/>
  <c r="G42" i="245" s="1"/>
  <c r="O38" i="242"/>
  <c r="O39" i="242" s="1"/>
  <c r="O42" i="242" s="1"/>
  <c r="O45" i="242" s="1"/>
  <c r="AD54" i="242"/>
  <c r="S54" i="245"/>
  <c r="AT59" i="239"/>
  <c r="E60" i="239"/>
  <c r="L54" i="245"/>
  <c r="AR54" i="245"/>
  <c r="N38" i="245"/>
  <c r="N39" i="245" s="1"/>
  <c r="N42" i="245" s="1"/>
  <c r="N45" i="245" s="1"/>
  <c r="F37" i="245"/>
  <c r="AC37" i="242"/>
  <c r="AG37" i="242"/>
  <c r="R54" i="242"/>
  <c r="R37" i="245"/>
  <c r="AP54" i="242"/>
  <c r="N38" i="242"/>
  <c r="N39" i="242" s="1"/>
  <c r="N42" i="242" s="1"/>
  <c r="N45" i="242" s="1"/>
  <c r="Z54" i="242"/>
  <c r="W37" i="245"/>
  <c r="AG37" i="245"/>
  <c r="AJ38" i="242"/>
  <c r="AJ39" i="242" s="1"/>
  <c r="AJ42" i="242" s="1"/>
  <c r="AJ45" i="242" s="1"/>
  <c r="T38" i="245"/>
  <c r="T39" i="245"/>
  <c r="T42" i="245" s="1"/>
  <c r="T45" i="245" s="1"/>
  <c r="T37" i="242"/>
  <c r="AU35" i="242"/>
  <c r="M37" i="242"/>
  <c r="P37" i="245"/>
  <c r="P38" i="242"/>
  <c r="P39" i="242" s="1"/>
  <c r="P42" i="242" s="1"/>
  <c r="P45" i="242" s="1"/>
  <c r="I37" i="245"/>
  <c r="AU52" i="245"/>
  <c r="E53" i="245"/>
  <c r="E54" i="245" s="1"/>
  <c r="AC54" i="242"/>
  <c r="AE37" i="242"/>
  <c r="AG54" i="242"/>
  <c r="R54" i="245"/>
  <c r="U37" i="245"/>
  <c r="Y37" i="242"/>
  <c r="AQ38" i="242"/>
  <c r="AQ39" i="242" s="1"/>
  <c r="AQ42" i="242" s="1"/>
  <c r="AQ45" i="242" s="1"/>
  <c r="AS54" i="245"/>
  <c r="AG54" i="245"/>
  <c r="I38" i="242"/>
  <c r="I39" i="242" s="1"/>
  <c r="I42" i="242" s="1"/>
  <c r="I45" i="242" s="1"/>
  <c r="T54" i="245"/>
  <c r="AN54" i="242"/>
  <c r="AS38" i="242"/>
  <c r="AS39" i="242" s="1"/>
  <c r="AS42" i="242" s="1"/>
  <c r="AS45" i="242" s="1"/>
  <c r="Z38" i="245"/>
  <c r="Z39" i="245" s="1"/>
  <c r="Z42" i="245" s="1"/>
  <c r="Z45" i="245" s="1"/>
  <c r="M54" i="245"/>
  <c r="AF37" i="242"/>
  <c r="AQ38" i="245"/>
  <c r="AQ39" i="245"/>
  <c r="AQ42" i="245" s="1"/>
  <c r="AQ45" i="245" s="1"/>
  <c r="M54" i="242"/>
  <c r="P54" i="245"/>
  <c r="S54" i="242"/>
  <c r="AA37" i="245"/>
  <c r="X37" i="242"/>
  <c r="V54" i="245"/>
  <c r="E45" i="246"/>
  <c r="U54" i="245"/>
  <c r="AI37" i="242"/>
  <c r="Y54" i="242"/>
  <c r="AU54" i="245" l="1"/>
  <c r="G45" i="245"/>
  <c r="B11" i="238"/>
  <c r="U38" i="245"/>
  <c r="U39" i="245" s="1"/>
  <c r="U42" i="245" s="1"/>
  <c r="U45" i="245" s="1"/>
  <c r="I38" i="245"/>
  <c r="I39" i="245" s="1"/>
  <c r="I42" i="245" s="1"/>
  <c r="I45" i="245" s="1"/>
  <c r="Y38" i="242"/>
  <c r="Y39" i="242"/>
  <c r="Y42" i="242" s="1"/>
  <c r="Y45" i="242" s="1"/>
  <c r="AF38" i="242"/>
  <c r="AF39" i="242" s="1"/>
  <c r="AF42" i="242" s="1"/>
  <c r="AF45" i="242" s="1"/>
  <c r="R38" i="245"/>
  <c r="R39" i="245" s="1"/>
  <c r="R42" i="245" s="1"/>
  <c r="R45" i="245" s="1"/>
  <c r="AE38" i="245"/>
  <c r="AE39" i="245" s="1"/>
  <c r="AE42" i="245" s="1"/>
  <c r="AE45" i="245" s="1"/>
  <c r="AM38" i="245"/>
  <c r="AM39" i="245" s="1"/>
  <c r="AM42" i="245" s="1"/>
  <c r="AM45" i="245" s="1"/>
  <c r="X38" i="242"/>
  <c r="X39" i="242" s="1"/>
  <c r="X42" i="242" s="1"/>
  <c r="X45" i="242" s="1"/>
  <c r="AT60" i="239"/>
  <c r="E48" i="239"/>
  <c r="Y49" i="239"/>
  <c r="AQ49" i="239"/>
  <c r="I49" i="239"/>
  <c r="Z49" i="239"/>
  <c r="V49" i="239"/>
  <c r="AM49" i="239"/>
  <c r="AJ49" i="239"/>
  <c r="O49" i="239"/>
  <c r="L49" i="239"/>
  <c r="AO49" i="239"/>
  <c r="N49" i="239"/>
  <c r="AN49" i="239"/>
  <c r="M49" i="239"/>
  <c r="J49" i="239"/>
  <c r="AG49" i="239"/>
  <c r="R49" i="239"/>
  <c r="AK49" i="239"/>
  <c r="AP49" i="239"/>
  <c r="AA49" i="239"/>
  <c r="E49" i="239"/>
  <c r="Q49" i="239"/>
  <c r="AF49" i="239"/>
  <c r="X49" i="239"/>
  <c r="G49" i="239"/>
  <c r="AL49" i="239"/>
  <c r="AD49" i="239"/>
  <c r="S49" i="239"/>
  <c r="T49" i="239"/>
  <c r="H49" i="239"/>
  <c r="P49" i="239"/>
  <c r="W49" i="239"/>
  <c r="AR49" i="239"/>
  <c r="K49" i="239"/>
  <c r="AE49" i="239"/>
  <c r="AH49" i="239"/>
  <c r="AB49" i="239"/>
  <c r="AI49" i="239"/>
  <c r="F49" i="239"/>
  <c r="AC49" i="239"/>
  <c r="U49" i="239"/>
  <c r="AL38" i="242"/>
  <c r="AL39" i="242" s="1"/>
  <c r="AL42" i="242" s="1"/>
  <c r="AL45" i="242" s="1"/>
  <c r="K38" i="245"/>
  <c r="K39" i="245" s="1"/>
  <c r="K42" i="245" s="1"/>
  <c r="K45" i="245" s="1"/>
  <c r="AC38" i="245"/>
  <c r="AC39" i="245" s="1"/>
  <c r="AC42" i="245" s="1"/>
  <c r="AC45" i="245" s="1"/>
  <c r="AI38" i="242"/>
  <c r="AI39" i="242"/>
  <c r="AI42" i="242" s="1"/>
  <c r="AI45" i="242" s="1"/>
  <c r="AA38" i="245"/>
  <c r="AA39" i="245"/>
  <c r="AA42" i="245" s="1"/>
  <c r="AA45" i="245" s="1"/>
  <c r="AE38" i="242"/>
  <c r="AE39" i="242" s="1"/>
  <c r="AE42" i="242" s="1"/>
  <c r="AE45" i="242" s="1"/>
  <c r="P38" i="245"/>
  <c r="P39" i="245" s="1"/>
  <c r="P42" i="245" s="1"/>
  <c r="P45" i="245" s="1"/>
  <c r="AG38" i="245"/>
  <c r="AG39" i="245" s="1"/>
  <c r="AG42" i="245" s="1"/>
  <c r="AG45" i="245" s="1"/>
  <c r="AG38" i="242"/>
  <c r="AG39" i="242"/>
  <c r="AG42" i="242" s="1"/>
  <c r="AG45" i="242" s="1"/>
  <c r="R38" i="242"/>
  <c r="R39" i="242" s="1"/>
  <c r="R42" i="242" s="1"/>
  <c r="R45" i="242" s="1"/>
  <c r="M38" i="242"/>
  <c r="M39" i="242" s="1"/>
  <c r="M42" i="242" s="1"/>
  <c r="M45" i="242" s="1"/>
  <c r="W38" i="245"/>
  <c r="W39" i="245" s="1"/>
  <c r="W42" i="245" s="1"/>
  <c r="W45" i="245" s="1"/>
  <c r="AC38" i="242"/>
  <c r="AC39" i="242" s="1"/>
  <c r="AC42" i="242" s="1"/>
  <c r="AC45" i="242" s="1"/>
  <c r="W38" i="242"/>
  <c r="W39" i="242" s="1"/>
  <c r="W42" i="242" s="1"/>
  <c r="W45" i="242" s="1"/>
  <c r="S38" i="245"/>
  <c r="S39" i="245" s="1"/>
  <c r="S42" i="245" s="1"/>
  <c r="S45" i="245" s="1"/>
  <c r="AT60" i="244"/>
  <c r="E48" i="244"/>
  <c r="AA49" i="244"/>
  <c r="AQ49" i="244"/>
  <c r="K49" i="244"/>
  <c r="J49" i="244"/>
  <c r="AN49" i="244"/>
  <c r="AD49" i="244"/>
  <c r="E49" i="244"/>
  <c r="AS49" i="244"/>
  <c r="X49" i="244"/>
  <c r="AB49" i="244"/>
  <c r="M49" i="244"/>
  <c r="H49" i="244"/>
  <c r="V49" i="244"/>
  <c r="G49" i="244"/>
  <c r="W49" i="244"/>
  <c r="U49" i="244"/>
  <c r="Y49" i="244"/>
  <c r="N49" i="244"/>
  <c r="I49" i="244"/>
  <c r="O49" i="244"/>
  <c r="AJ49" i="244"/>
  <c r="AL49" i="244"/>
  <c r="AP49" i="244"/>
  <c r="AE49" i="244"/>
  <c r="L49" i="244"/>
  <c r="Z49" i="244"/>
  <c r="AO49" i="244"/>
  <c r="Q49" i="244"/>
  <c r="AR49" i="244"/>
  <c r="AH49" i="244"/>
  <c r="P49" i="244"/>
  <c r="T49" i="244"/>
  <c r="S49" i="244"/>
  <c r="AK49" i="244"/>
  <c r="AC49" i="244"/>
  <c r="AG49" i="244"/>
  <c r="F49" i="244"/>
  <c r="AI49" i="244"/>
  <c r="AM49" i="244"/>
  <c r="AF49" i="244"/>
  <c r="R49" i="244"/>
  <c r="F39" i="242"/>
  <c r="F42" i="242" s="1"/>
  <c r="F38" i="242"/>
  <c r="F38" i="245"/>
  <c r="F39" i="245" s="1"/>
  <c r="F42" i="245" s="1"/>
  <c r="F45" i="245" s="1"/>
  <c r="F37" i="243"/>
  <c r="E39" i="243"/>
  <c r="F39" i="243" s="1"/>
  <c r="I39" i="246"/>
  <c r="AU53" i="245"/>
  <c r="E29" i="245"/>
  <c r="T38" i="242"/>
  <c r="T39" i="242" s="1"/>
  <c r="T42" i="242" s="1"/>
  <c r="T45" i="242" s="1"/>
  <c r="E29" i="242"/>
  <c r="E38" i="243"/>
  <c r="F38" i="243" s="1"/>
  <c r="O33" i="244" l="1"/>
  <c r="O34" i="244"/>
  <c r="O52" i="244" s="1"/>
  <c r="O32" i="244"/>
  <c r="O35" i="244" s="1"/>
  <c r="AC33" i="244"/>
  <c r="AC34" i="244"/>
  <c r="AC52" i="244" s="1"/>
  <c r="AC32" i="244"/>
  <c r="AO32" i="244"/>
  <c r="AO33" i="244"/>
  <c r="AO34" i="244"/>
  <c r="AO52" i="244" s="1"/>
  <c r="I32" i="244"/>
  <c r="I33" i="244"/>
  <c r="I34" i="244"/>
  <c r="I52" i="244" s="1"/>
  <c r="M33" i="244"/>
  <c r="M32" i="244"/>
  <c r="M34" i="244"/>
  <c r="M52" i="244" s="1"/>
  <c r="K34" i="244"/>
  <c r="K52" i="244" s="1"/>
  <c r="K33" i="244"/>
  <c r="K32" i="244"/>
  <c r="AH34" i="239"/>
  <c r="AH52" i="239" s="1"/>
  <c r="AH32" i="239"/>
  <c r="AH33" i="239"/>
  <c r="S32" i="239"/>
  <c r="S34" i="239"/>
  <c r="S52" i="239" s="1"/>
  <c r="S33" i="239"/>
  <c r="AA32" i="239"/>
  <c r="AA34" i="239"/>
  <c r="AA52" i="239" s="1"/>
  <c r="AA33" i="239"/>
  <c r="N34" i="239"/>
  <c r="N52" i="239" s="1"/>
  <c r="N33" i="239"/>
  <c r="N32" i="239"/>
  <c r="I33" i="239"/>
  <c r="I34" i="239"/>
  <c r="I52" i="239" s="1"/>
  <c r="I32" i="239"/>
  <c r="H32" i="244"/>
  <c r="H33" i="244"/>
  <c r="H34" i="244"/>
  <c r="H52" i="244" s="1"/>
  <c r="T33" i="239"/>
  <c r="T32" i="239"/>
  <c r="T34" i="239"/>
  <c r="T52" i="239" s="1"/>
  <c r="AU29" i="245"/>
  <c r="E37" i="245"/>
  <c r="F45" i="242"/>
  <c r="B12" i="238"/>
  <c r="AK33" i="244"/>
  <c r="AK34" i="244"/>
  <c r="AK52" i="244" s="1"/>
  <c r="AK32" i="244"/>
  <c r="Z34" i="244"/>
  <c r="Z52" i="244" s="1"/>
  <c r="Z32" i="244"/>
  <c r="Z33" i="244"/>
  <c r="N33" i="244"/>
  <c r="N34" i="244"/>
  <c r="N52" i="244" s="1"/>
  <c r="N32" i="244"/>
  <c r="AB32" i="244"/>
  <c r="AB33" i="244"/>
  <c r="AB34" i="244"/>
  <c r="AB52" i="244" s="1"/>
  <c r="AQ34" i="244"/>
  <c r="AQ52" i="244" s="1"/>
  <c r="AQ32" i="244"/>
  <c r="AQ33" i="244"/>
  <c r="AE34" i="239"/>
  <c r="AE52" i="239" s="1"/>
  <c r="AE33" i="239"/>
  <c r="AE32" i="239"/>
  <c r="AD32" i="239"/>
  <c r="AD33" i="239"/>
  <c r="AD34" i="239"/>
  <c r="AD52" i="239" s="1"/>
  <c r="AP34" i="239"/>
  <c r="AP52" i="239" s="1"/>
  <c r="AP33" i="239"/>
  <c r="AP32" i="239"/>
  <c r="AP35" i="239" s="1"/>
  <c r="AO33" i="239"/>
  <c r="AO32" i="239"/>
  <c r="AO34" i="239"/>
  <c r="AO52" i="239" s="1"/>
  <c r="AQ32" i="239"/>
  <c r="AQ34" i="239"/>
  <c r="AQ52" i="239" s="1"/>
  <c r="AQ33" i="239"/>
  <c r="AN33" i="239"/>
  <c r="AN32" i="239"/>
  <c r="AN34" i="239"/>
  <c r="AN52" i="239" s="1"/>
  <c r="R34" i="244"/>
  <c r="R52" i="244" s="1"/>
  <c r="R32" i="244"/>
  <c r="R33" i="244"/>
  <c r="S34" i="244"/>
  <c r="S52" i="244" s="1"/>
  <c r="S32" i="244"/>
  <c r="S33" i="244"/>
  <c r="L32" i="244"/>
  <c r="L34" i="244"/>
  <c r="L52" i="244" s="1"/>
  <c r="L33" i="244"/>
  <c r="Y32" i="244"/>
  <c r="Y33" i="244"/>
  <c r="Y34" i="244"/>
  <c r="Y52" i="244" s="1"/>
  <c r="X32" i="244"/>
  <c r="X34" i="244"/>
  <c r="X52" i="244" s="1"/>
  <c r="X33" i="244"/>
  <c r="AA34" i="244"/>
  <c r="AA52" i="244" s="1"/>
  <c r="AA32" i="244"/>
  <c r="AA33" i="244"/>
  <c r="K34" i="239"/>
  <c r="K52" i="239" s="1"/>
  <c r="K32" i="239"/>
  <c r="K33" i="239"/>
  <c r="AL32" i="239"/>
  <c r="AL34" i="239"/>
  <c r="AL52" i="239" s="1"/>
  <c r="AL33" i="239"/>
  <c r="AK34" i="239"/>
  <c r="AK52" i="239" s="1"/>
  <c r="AK33" i="239"/>
  <c r="AK32" i="239"/>
  <c r="L33" i="239"/>
  <c r="L34" i="239"/>
  <c r="L52" i="239" s="1"/>
  <c r="L32" i="239"/>
  <c r="Y33" i="239"/>
  <c r="Y32" i="239"/>
  <c r="Y34" i="239"/>
  <c r="Y52" i="239" s="1"/>
  <c r="Z34" i="239"/>
  <c r="Z52" i="239" s="1"/>
  <c r="Z33" i="239"/>
  <c r="Z32" i="239"/>
  <c r="I42" i="246"/>
  <c r="AU39" i="246"/>
  <c r="AF32" i="244"/>
  <c r="AF34" i="244"/>
  <c r="AF52" i="244" s="1"/>
  <c r="AF33" i="244"/>
  <c r="T32" i="244"/>
  <c r="T33" i="244"/>
  <c r="T34" i="244"/>
  <c r="T52" i="244" s="1"/>
  <c r="AE34" i="244"/>
  <c r="AE52" i="244" s="1"/>
  <c r="AE33" i="244"/>
  <c r="AE32" i="244"/>
  <c r="AE35" i="244" s="1"/>
  <c r="U33" i="244"/>
  <c r="U32" i="244"/>
  <c r="U34" i="244"/>
  <c r="U52" i="244" s="1"/>
  <c r="AS33" i="244"/>
  <c r="AS34" i="244"/>
  <c r="AS52" i="244" s="1"/>
  <c r="AS32" i="244"/>
  <c r="U34" i="239"/>
  <c r="U52" i="239" s="1"/>
  <c r="U33" i="239"/>
  <c r="U32" i="239"/>
  <c r="AR33" i="239"/>
  <c r="AR34" i="239"/>
  <c r="AR52" i="239" s="1"/>
  <c r="AR32" i="239"/>
  <c r="G34" i="239"/>
  <c r="G52" i="239" s="1"/>
  <c r="G33" i="239"/>
  <c r="G32" i="239"/>
  <c r="R34" i="239"/>
  <c r="R52" i="239" s="1"/>
  <c r="R32" i="239"/>
  <c r="R33" i="239"/>
  <c r="O34" i="239"/>
  <c r="O52" i="239" s="1"/>
  <c r="O33" i="239"/>
  <c r="O32" i="239"/>
  <c r="AG32" i="244"/>
  <c r="AG33" i="244"/>
  <c r="AG34" i="244"/>
  <c r="AG52" i="244" s="1"/>
  <c r="AM32" i="244"/>
  <c r="AM33" i="244"/>
  <c r="AM34" i="244"/>
  <c r="AM52" i="244" s="1"/>
  <c r="P32" i="244"/>
  <c r="P34" i="244"/>
  <c r="P52" i="244" s="1"/>
  <c r="P33" i="244"/>
  <c r="AP34" i="244"/>
  <c r="AP52" i="244" s="1"/>
  <c r="AP33" i="244"/>
  <c r="AP32" i="244"/>
  <c r="W33" i="244"/>
  <c r="W34" i="244"/>
  <c r="W52" i="244" s="1"/>
  <c r="W32" i="244"/>
  <c r="D34" i="243"/>
  <c r="E33" i="244"/>
  <c r="E34" i="244"/>
  <c r="AT49" i="244"/>
  <c r="E32" i="244"/>
  <c r="AC32" i="239"/>
  <c r="AC34" i="239"/>
  <c r="AC52" i="239" s="1"/>
  <c r="AC33" i="239"/>
  <c r="W34" i="239"/>
  <c r="W52" i="239" s="1"/>
  <c r="W32" i="239"/>
  <c r="W33" i="239"/>
  <c r="X33" i="239"/>
  <c r="X32" i="239"/>
  <c r="X34" i="239"/>
  <c r="X52" i="239" s="1"/>
  <c r="AG33" i="239"/>
  <c r="AG32" i="239"/>
  <c r="AG34" i="239"/>
  <c r="AG52" i="239" s="1"/>
  <c r="AJ33" i="239"/>
  <c r="AJ32" i="239"/>
  <c r="AJ34" i="239"/>
  <c r="AJ52" i="239" s="1"/>
  <c r="Q32" i="244"/>
  <c r="Q33" i="244"/>
  <c r="Q34" i="244"/>
  <c r="Q52" i="244" s="1"/>
  <c r="AB33" i="239"/>
  <c r="AB32" i="239"/>
  <c r="AB34" i="239"/>
  <c r="AB52" i="239" s="1"/>
  <c r="AI34" i="244"/>
  <c r="AI52" i="244" s="1"/>
  <c r="AI33" i="244"/>
  <c r="AI32" i="244"/>
  <c r="AH34" i="244"/>
  <c r="AH52" i="244" s="1"/>
  <c r="AH33" i="244"/>
  <c r="AH32" i="244"/>
  <c r="AL33" i="244"/>
  <c r="AL34" i="244"/>
  <c r="AL52" i="244" s="1"/>
  <c r="AL32" i="244"/>
  <c r="G32" i="244"/>
  <c r="G34" i="244"/>
  <c r="G52" i="244" s="1"/>
  <c r="G33" i="244"/>
  <c r="AD33" i="244"/>
  <c r="AD34" i="244"/>
  <c r="AD52" i="244" s="1"/>
  <c r="AD32" i="244"/>
  <c r="F32" i="239"/>
  <c r="F34" i="239"/>
  <c r="F52" i="239" s="1"/>
  <c r="F33" i="239"/>
  <c r="P34" i="239"/>
  <c r="P52" i="239" s="1"/>
  <c r="P33" i="239"/>
  <c r="P32" i="239"/>
  <c r="AF34" i="239"/>
  <c r="AF52" i="239" s="1"/>
  <c r="AF33" i="239"/>
  <c r="AF32" i="239"/>
  <c r="J34" i="239"/>
  <c r="J52" i="239" s="1"/>
  <c r="J33" i="239"/>
  <c r="J32" i="239"/>
  <c r="AM34" i="239"/>
  <c r="AM52" i="239" s="1"/>
  <c r="AM33" i="239"/>
  <c r="AM32" i="239"/>
  <c r="J34" i="244"/>
  <c r="J52" i="244" s="1"/>
  <c r="J33" i="244"/>
  <c r="J32" i="244"/>
  <c r="AT49" i="239"/>
  <c r="E34" i="239"/>
  <c r="E33" i="239"/>
  <c r="E32" i="239"/>
  <c r="E14" i="243"/>
  <c r="F14" i="243" s="1"/>
  <c r="AU29" i="242"/>
  <c r="E37" i="242"/>
  <c r="F33" i="244"/>
  <c r="F34" i="244"/>
  <c r="F52" i="244" s="1"/>
  <c r="F32" i="244"/>
  <c r="AR32" i="244"/>
  <c r="AR34" i="244"/>
  <c r="AR52" i="244" s="1"/>
  <c r="AR33" i="244"/>
  <c r="AJ32" i="244"/>
  <c r="AJ33" i="244"/>
  <c r="AJ34" i="244"/>
  <c r="AJ52" i="244" s="1"/>
  <c r="V33" i="244"/>
  <c r="V34" i="244"/>
  <c r="V52" i="244" s="1"/>
  <c r="V32" i="244"/>
  <c r="AN32" i="244"/>
  <c r="AN34" i="244"/>
  <c r="AN52" i="244" s="1"/>
  <c r="AN33" i="244"/>
  <c r="AI32" i="239"/>
  <c r="AI33" i="239"/>
  <c r="AI34" i="239"/>
  <c r="AI52" i="239" s="1"/>
  <c r="H33" i="239"/>
  <c r="H34" i="239"/>
  <c r="H52" i="239" s="1"/>
  <c r="H32" i="239"/>
  <c r="Q33" i="239"/>
  <c r="Q32" i="239"/>
  <c r="Q34" i="239"/>
  <c r="Q52" i="239" s="1"/>
  <c r="M34" i="239"/>
  <c r="M52" i="239" s="1"/>
  <c r="M33" i="239"/>
  <c r="M32" i="239"/>
  <c r="V32" i="239"/>
  <c r="V34" i="239"/>
  <c r="V52" i="239" s="1"/>
  <c r="V33" i="239"/>
  <c r="AM35" i="239" l="1"/>
  <c r="AH35" i="244"/>
  <c r="W35" i="244"/>
  <c r="AR35" i="239"/>
  <c r="AK35" i="239"/>
  <c r="P35" i="239"/>
  <c r="N35" i="239"/>
  <c r="AK35" i="244"/>
  <c r="AC35" i="244"/>
  <c r="V35" i="244"/>
  <c r="AE35" i="239"/>
  <c r="AG35" i="239"/>
  <c r="P35" i="244"/>
  <c r="AQ35" i="239"/>
  <c r="AO35" i="244"/>
  <c r="H35" i="239"/>
  <c r="AN35" i="244"/>
  <c r="J35" i="239"/>
  <c r="AI35" i="244"/>
  <c r="X35" i="239"/>
  <c r="AP35" i="244"/>
  <c r="R35" i="239"/>
  <c r="U35" i="239"/>
  <c r="N35" i="244"/>
  <c r="J35" i="244"/>
  <c r="AN53" i="244"/>
  <c r="AN29" i="244" s="1"/>
  <c r="AN37" i="244" s="1"/>
  <c r="AN54" i="244"/>
  <c r="AD35" i="244"/>
  <c r="AB35" i="239"/>
  <c r="AG53" i="239"/>
  <c r="AG29" i="239" s="1"/>
  <c r="AG37" i="239" s="1"/>
  <c r="W53" i="239"/>
  <c r="W29" i="239" s="1"/>
  <c r="G12" i="243"/>
  <c r="F34" i="243"/>
  <c r="P53" i="244"/>
  <c r="P29" i="244" s="1"/>
  <c r="O35" i="239"/>
  <c r="G53" i="239"/>
  <c r="G29" i="239" s="1"/>
  <c r="AS53" i="244"/>
  <c r="AS29" i="244" s="1"/>
  <c r="T53" i="244"/>
  <c r="T29" i="244" s="1"/>
  <c r="Z35" i="239"/>
  <c r="K35" i="239"/>
  <c r="Y53" i="244"/>
  <c r="Y29" i="244" s="1"/>
  <c r="S53" i="244"/>
  <c r="S29" i="244" s="1"/>
  <c r="AQ53" i="239"/>
  <c r="AQ29" i="239" s="1"/>
  <c r="AD53" i="239"/>
  <c r="AD29" i="239" s="1"/>
  <c r="AQ53" i="244"/>
  <c r="AQ29" i="244" s="1"/>
  <c r="Z35" i="244"/>
  <c r="I53" i="239"/>
  <c r="I29" i="239" s="1"/>
  <c r="K53" i="244"/>
  <c r="K29" i="244" s="1"/>
  <c r="E35" i="239"/>
  <c r="AT32" i="239"/>
  <c r="K53" i="239"/>
  <c r="K29" i="239" s="1"/>
  <c r="T53" i="239"/>
  <c r="T29" i="239" s="1"/>
  <c r="V35" i="239"/>
  <c r="H53" i="239"/>
  <c r="H29" i="239" s="1"/>
  <c r="AR35" i="244"/>
  <c r="AT33" i="239"/>
  <c r="Q53" i="244"/>
  <c r="Q29" i="244" s="1"/>
  <c r="AC53" i="239"/>
  <c r="AC29" i="239" s="1"/>
  <c r="W53" i="244"/>
  <c r="W29" i="244" s="1"/>
  <c r="W37" i="244" s="1"/>
  <c r="AM53" i="244"/>
  <c r="AM29" i="244" s="1"/>
  <c r="AM54" i="244"/>
  <c r="O53" i="239"/>
  <c r="O29" i="239" s="1"/>
  <c r="AR53" i="239"/>
  <c r="AR29" i="239" s="1"/>
  <c r="AR37" i="239" s="1"/>
  <c r="U53" i="244"/>
  <c r="U29" i="244" s="1"/>
  <c r="T35" i="244"/>
  <c r="Z53" i="239"/>
  <c r="Z29" i="239" s="1"/>
  <c r="Y35" i="244"/>
  <c r="R35" i="244"/>
  <c r="AO53" i="239"/>
  <c r="AO29" i="239" s="1"/>
  <c r="AD35" i="239"/>
  <c r="T35" i="239"/>
  <c r="S35" i="239"/>
  <c r="M35" i="244"/>
  <c r="AR53" i="244"/>
  <c r="AR29" i="244" s="1"/>
  <c r="AB53" i="244"/>
  <c r="AB29" i="244" s="1"/>
  <c r="M35" i="239"/>
  <c r="V53" i="244"/>
  <c r="V29" i="244" s="1"/>
  <c r="V37" i="244" s="1"/>
  <c r="F35" i="244"/>
  <c r="E52" i="239"/>
  <c r="AT34" i="239"/>
  <c r="AM53" i="239"/>
  <c r="AM29" i="239" s="1"/>
  <c r="AM37" i="239" s="1"/>
  <c r="AH53" i="244"/>
  <c r="AH29" i="244" s="1"/>
  <c r="AH37" i="244" s="1"/>
  <c r="X53" i="239"/>
  <c r="X29" i="239" s="1"/>
  <c r="AC35" i="239"/>
  <c r="U35" i="244"/>
  <c r="Y53" i="239"/>
  <c r="Y29" i="239" s="1"/>
  <c r="AK53" i="239"/>
  <c r="AK29" i="239" s="1"/>
  <c r="AK37" i="239" s="1"/>
  <c r="AA35" i="244"/>
  <c r="R53" i="244"/>
  <c r="R29" i="244" s="1"/>
  <c r="AO35" i="239"/>
  <c r="AB35" i="244"/>
  <c r="AK53" i="244"/>
  <c r="AK29" i="244" s="1"/>
  <c r="AC53" i="244"/>
  <c r="AC29" i="244" s="1"/>
  <c r="AC37" i="244" s="1"/>
  <c r="Z53" i="244"/>
  <c r="Z29" i="244" s="1"/>
  <c r="AI53" i="239"/>
  <c r="AI29" i="239" s="1"/>
  <c r="F53" i="244"/>
  <c r="F29" i="244" s="1"/>
  <c r="P53" i="239"/>
  <c r="P29" i="239" s="1"/>
  <c r="G53" i="244"/>
  <c r="G29" i="244" s="1"/>
  <c r="Q35" i="244"/>
  <c r="AT32" i="244"/>
  <c r="E35" i="244"/>
  <c r="AM35" i="244"/>
  <c r="AF53" i="244"/>
  <c r="AF29" i="244" s="1"/>
  <c r="Y35" i="239"/>
  <c r="AA53" i="244"/>
  <c r="AA29" i="244" s="1"/>
  <c r="L53" i="244"/>
  <c r="L29" i="244" s="1"/>
  <c r="AN53" i="239"/>
  <c r="AN29" i="239" s="1"/>
  <c r="AN54" i="239"/>
  <c r="H53" i="244"/>
  <c r="H29" i="244" s="1"/>
  <c r="N53" i="239"/>
  <c r="N29" i="239" s="1"/>
  <c r="N37" i="239" s="1"/>
  <c r="AH35" i="239"/>
  <c r="I53" i="244"/>
  <c r="I29" i="244" s="1"/>
  <c r="V53" i="239"/>
  <c r="V29" i="239" s="1"/>
  <c r="AF53" i="239"/>
  <c r="AF29" i="239" s="1"/>
  <c r="S53" i="239"/>
  <c r="S29" i="239" s="1"/>
  <c r="M53" i="239"/>
  <c r="M29" i="239" s="1"/>
  <c r="AJ53" i="244"/>
  <c r="AJ29" i="244" s="1"/>
  <c r="G35" i="244"/>
  <c r="AJ53" i="239"/>
  <c r="AJ29" i="239" s="1"/>
  <c r="AG53" i="244"/>
  <c r="AG29" i="244" s="1"/>
  <c r="R53" i="239"/>
  <c r="R29" i="239" s="1"/>
  <c r="AF35" i="244"/>
  <c r="AL53" i="239"/>
  <c r="AL29" i="239" s="1"/>
  <c r="L35" i="244"/>
  <c r="AN35" i="239"/>
  <c r="AE53" i="239"/>
  <c r="AE29" i="239" s="1"/>
  <c r="AE37" i="239" s="1"/>
  <c r="N53" i="244"/>
  <c r="N29" i="244" s="1"/>
  <c r="N37" i="244" s="1"/>
  <c r="AH53" i="239"/>
  <c r="AH29" i="239" s="1"/>
  <c r="AD53" i="244"/>
  <c r="AD29" i="244" s="1"/>
  <c r="AD37" i="244" s="1"/>
  <c r="M53" i="244"/>
  <c r="M29" i="244" s="1"/>
  <c r="Q53" i="239"/>
  <c r="Q29" i="239" s="1"/>
  <c r="AI35" i="239"/>
  <c r="E38" i="242"/>
  <c r="E39" i="242" s="1"/>
  <c r="AU37" i="242"/>
  <c r="E22" i="243"/>
  <c r="J53" i="239"/>
  <c r="J29" i="239" s="1"/>
  <c r="F53" i="239"/>
  <c r="F29" i="239" s="1"/>
  <c r="AL35" i="244"/>
  <c r="AI53" i="244"/>
  <c r="AI29" i="244" s="1"/>
  <c r="AJ35" i="239"/>
  <c r="AT34" i="244"/>
  <c r="E52" i="244"/>
  <c r="AP53" i="244"/>
  <c r="AP29" i="244" s="1"/>
  <c r="AP37" i="244" s="1"/>
  <c r="G35" i="239"/>
  <c r="U53" i="239"/>
  <c r="U29" i="239" s="1"/>
  <c r="L35" i="239"/>
  <c r="AL35" i="239"/>
  <c r="X53" i="244"/>
  <c r="X29" i="244" s="1"/>
  <c r="X54" i="244"/>
  <c r="H35" i="244"/>
  <c r="AA53" i="239"/>
  <c r="AA29" i="239" s="1"/>
  <c r="K35" i="244"/>
  <c r="I35" i="244"/>
  <c r="O53" i="244"/>
  <c r="O29" i="244" s="1"/>
  <c r="O37" i="244" s="1"/>
  <c r="Q35" i="239"/>
  <c r="AJ35" i="244"/>
  <c r="J53" i="244"/>
  <c r="J29" i="244" s="1"/>
  <c r="J37" i="244" s="1"/>
  <c r="AF35" i="239"/>
  <c r="F35" i="239"/>
  <c r="AL53" i="244"/>
  <c r="AL29" i="244" s="1"/>
  <c r="AB53" i="239"/>
  <c r="AB29" i="239" s="1"/>
  <c r="W35" i="239"/>
  <c r="AT33" i="244"/>
  <c r="AG35" i="244"/>
  <c r="AS35" i="244"/>
  <c r="AE53" i="244"/>
  <c r="AE29" i="244" s="1"/>
  <c r="AE37" i="244" s="1"/>
  <c r="I45" i="246"/>
  <c r="AU42" i="246"/>
  <c r="L53" i="239"/>
  <c r="L29" i="239" s="1"/>
  <c r="X35" i="244"/>
  <c r="S35" i="244"/>
  <c r="AP53" i="239"/>
  <c r="AP29" i="239" s="1"/>
  <c r="AP37" i="239" s="1"/>
  <c r="AQ35" i="244"/>
  <c r="AU37" i="245"/>
  <c r="E38" i="245"/>
  <c r="AU38" i="245" s="1"/>
  <c r="I35" i="239"/>
  <c r="AA35" i="239"/>
  <c r="AO53" i="244"/>
  <c r="AO29" i="244" s="1"/>
  <c r="H37" i="239" l="1"/>
  <c r="AK37" i="244"/>
  <c r="P37" i="239"/>
  <c r="P38" i="239" s="1"/>
  <c r="Y54" i="244"/>
  <c r="AO37" i="244"/>
  <c r="U37" i="239"/>
  <c r="O54" i="244"/>
  <c r="AI54" i="244"/>
  <c r="AF54" i="244"/>
  <c r="AO54" i="244"/>
  <c r="H54" i="244"/>
  <c r="AA54" i="244"/>
  <c r="Q54" i="239"/>
  <c r="M54" i="239"/>
  <c r="G54" i="244"/>
  <c r="R37" i="244"/>
  <c r="AE54" i="244"/>
  <c r="Q37" i="244"/>
  <c r="P37" i="244"/>
  <c r="U37" i="244"/>
  <c r="V54" i="239"/>
  <c r="Y54" i="239"/>
  <c r="AQ37" i="239"/>
  <c r="AQ38" i="239" s="1"/>
  <c r="AQ39" i="239" s="1"/>
  <c r="AQ42" i="239" s="1"/>
  <c r="AQ45" i="239" s="1"/>
  <c r="R37" i="239"/>
  <c r="R38" i="239" s="1"/>
  <c r="R39" i="239" s="1"/>
  <c r="R42" i="239" s="1"/>
  <c r="R45" i="239" s="1"/>
  <c r="AC54" i="239"/>
  <c r="AB37" i="239"/>
  <c r="F54" i="239"/>
  <c r="P54" i="239"/>
  <c r="X37" i="239"/>
  <c r="X38" i="239" s="1"/>
  <c r="X39" i="239" s="1"/>
  <c r="X42" i="239" s="1"/>
  <c r="X45" i="239" s="1"/>
  <c r="AD54" i="239"/>
  <c r="AG54" i="239"/>
  <c r="U54" i="239"/>
  <c r="AO54" i="239"/>
  <c r="J37" i="239"/>
  <c r="J38" i="239" s="1"/>
  <c r="T54" i="239"/>
  <c r="AH37" i="239"/>
  <c r="V37" i="239"/>
  <c r="V38" i="239" s="1"/>
  <c r="V39" i="239" s="1"/>
  <c r="V42" i="239" s="1"/>
  <c r="V45" i="239" s="1"/>
  <c r="AI37" i="244"/>
  <c r="AF54" i="239"/>
  <c r="K37" i="239"/>
  <c r="K38" i="239" s="1"/>
  <c r="K39" i="239" s="1"/>
  <c r="K42" i="239" s="1"/>
  <c r="K45" i="239" s="1"/>
  <c r="AJ54" i="239"/>
  <c r="J54" i="244"/>
  <c r="AA54" i="239"/>
  <c r="AN37" i="239"/>
  <c r="AN38" i="239" s="1"/>
  <c r="W37" i="239"/>
  <c r="W38" i="239" s="1"/>
  <c r="F37" i="239"/>
  <c r="F38" i="239" s="1"/>
  <c r="F39" i="239" s="1"/>
  <c r="F42" i="239" s="1"/>
  <c r="F45" i="239" s="1"/>
  <c r="AL37" i="239"/>
  <c r="AL38" i="239" s="1"/>
  <c r="AL39" i="239" s="1"/>
  <c r="AL42" i="239" s="1"/>
  <c r="AL45" i="239" s="1"/>
  <c r="I54" i="244"/>
  <c r="L54" i="244"/>
  <c r="R54" i="244"/>
  <c r="AB54" i="244"/>
  <c r="AO37" i="239"/>
  <c r="O54" i="239"/>
  <c r="K54" i="244"/>
  <c r="AS54" i="244"/>
  <c r="L37" i="244"/>
  <c r="S54" i="244"/>
  <c r="X37" i="244"/>
  <c r="X38" i="244" s="1"/>
  <c r="M37" i="239"/>
  <c r="M38" i="239" s="1"/>
  <c r="M39" i="239" s="1"/>
  <c r="M42" i="239" s="1"/>
  <c r="M45" i="239" s="1"/>
  <c r="Z54" i="244"/>
  <c r="AK54" i="239"/>
  <c r="AL37" i="244"/>
  <c r="AL38" i="244" s="1"/>
  <c r="AL39" i="244" s="1"/>
  <c r="AL42" i="244" s="1"/>
  <c r="AL45" i="244" s="1"/>
  <c r="AG54" i="244"/>
  <c r="Z37" i="239"/>
  <c r="Z38" i="239" s="1"/>
  <c r="Y37" i="244"/>
  <c r="P54" i="244"/>
  <c r="AP38" i="244"/>
  <c r="AP39" i="244" s="1"/>
  <c r="AP42" i="244" s="1"/>
  <c r="AP45" i="244" s="1"/>
  <c r="AB54" i="239"/>
  <c r="AP54" i="244"/>
  <c r="N38" i="244"/>
  <c r="N39" i="244" s="1"/>
  <c r="N42" i="244" s="1"/>
  <c r="N45" i="244" s="1"/>
  <c r="AJ37" i="244"/>
  <c r="H37" i="244"/>
  <c r="AC38" i="244"/>
  <c r="AC39" i="244" s="1"/>
  <c r="AC42" i="244" s="1"/>
  <c r="AC45" i="244" s="1"/>
  <c r="X54" i="239"/>
  <c r="V38" i="244"/>
  <c r="V39" i="244" s="1"/>
  <c r="V42" i="244" s="1"/>
  <c r="V45" i="244" s="1"/>
  <c r="Z54" i="239"/>
  <c r="K54" i="239"/>
  <c r="AQ37" i="244"/>
  <c r="G37" i="239"/>
  <c r="W54" i="239"/>
  <c r="AP38" i="239"/>
  <c r="AP39" i="239"/>
  <c r="AP42" i="239" s="1"/>
  <c r="AP45" i="239" s="1"/>
  <c r="E53" i="244"/>
  <c r="E54" i="244" s="1"/>
  <c r="AT52" i="244"/>
  <c r="Q37" i="239"/>
  <c r="N54" i="244"/>
  <c r="AJ54" i="244"/>
  <c r="AF37" i="244"/>
  <c r="AC54" i="244"/>
  <c r="AH38" i="244"/>
  <c r="AH39" i="244" s="1"/>
  <c r="AH42" i="244" s="1"/>
  <c r="AH45" i="244" s="1"/>
  <c r="V54" i="244"/>
  <c r="AM37" i="244"/>
  <c r="AQ54" i="244"/>
  <c r="Y38" i="244"/>
  <c r="Y39" i="244" s="1"/>
  <c r="Y42" i="244" s="1"/>
  <c r="Y45" i="244" s="1"/>
  <c r="G54" i="239"/>
  <c r="AO38" i="244"/>
  <c r="AO39" i="244"/>
  <c r="AO42" i="244" s="1"/>
  <c r="AO45" i="244" s="1"/>
  <c r="AP54" i="239"/>
  <c r="AE38" i="244"/>
  <c r="AE39" i="244" s="1"/>
  <c r="AE42" i="244" s="1"/>
  <c r="AE45" i="244" s="1"/>
  <c r="AL54" i="244"/>
  <c r="O38" i="244"/>
  <c r="O39" i="244" s="1"/>
  <c r="O42" i="244" s="1"/>
  <c r="O45" i="244" s="1"/>
  <c r="J54" i="239"/>
  <c r="M37" i="244"/>
  <c r="AE38" i="239"/>
  <c r="AE39" i="239" s="1"/>
  <c r="AE42" i="239" s="1"/>
  <c r="AE45" i="239" s="1"/>
  <c r="R54" i="239"/>
  <c r="F37" i="244"/>
  <c r="AK38" i="244"/>
  <c r="AK39" i="244" s="1"/>
  <c r="AK42" i="244" s="1"/>
  <c r="AK45" i="244" s="1"/>
  <c r="AK38" i="239"/>
  <c r="AK39" i="239" s="1"/>
  <c r="AK42" i="239" s="1"/>
  <c r="AK45" i="239" s="1"/>
  <c r="AH54" i="244"/>
  <c r="U38" i="244"/>
  <c r="U39" i="244" s="1"/>
  <c r="U42" i="244" s="1"/>
  <c r="U45" i="244" s="1"/>
  <c r="W38" i="244"/>
  <c r="W39" i="244" s="1"/>
  <c r="W42" i="244" s="1"/>
  <c r="W45" i="244" s="1"/>
  <c r="H38" i="239"/>
  <c r="H39" i="239" s="1"/>
  <c r="H42" i="239" s="1"/>
  <c r="H45" i="239" s="1"/>
  <c r="AT35" i="239"/>
  <c r="AG38" i="239"/>
  <c r="AG39" i="239" s="1"/>
  <c r="AG42" i="239" s="1"/>
  <c r="AG45" i="239" s="1"/>
  <c r="AH38" i="239"/>
  <c r="AH39" i="239" s="1"/>
  <c r="AH42" i="239" s="1"/>
  <c r="AH45" i="239" s="1"/>
  <c r="F22" i="243"/>
  <c r="M54" i="244"/>
  <c r="AE54" i="239"/>
  <c r="I37" i="244"/>
  <c r="AT35" i="244"/>
  <c r="F54" i="244"/>
  <c r="AK54" i="244"/>
  <c r="AM38" i="239"/>
  <c r="AM39" i="239" s="1"/>
  <c r="AM42" i="239" s="1"/>
  <c r="AM45" i="239" s="1"/>
  <c r="U54" i="244"/>
  <c r="W54" i="244"/>
  <c r="H54" i="239"/>
  <c r="AD37" i="239"/>
  <c r="AD38" i="244"/>
  <c r="AD39" i="244" s="1"/>
  <c r="AD42" i="244" s="1"/>
  <c r="AD45" i="244" s="1"/>
  <c r="AG37" i="244"/>
  <c r="S37" i="239"/>
  <c r="L38" i="244"/>
  <c r="L39" i="244" s="1"/>
  <c r="L42" i="244" s="1"/>
  <c r="L45" i="244" s="1"/>
  <c r="AI37" i="239"/>
  <c r="Y37" i="239"/>
  <c r="AM54" i="239"/>
  <c r="AB37" i="244"/>
  <c r="AO38" i="239"/>
  <c r="AO39" i="239" s="1"/>
  <c r="AO42" i="239" s="1"/>
  <c r="AO45" i="239" s="1"/>
  <c r="AR38" i="239"/>
  <c r="AR39" i="239" s="1"/>
  <c r="AR42" i="239" s="1"/>
  <c r="AR45" i="239" s="1"/>
  <c r="K37" i="244"/>
  <c r="T37" i="244"/>
  <c r="P38" i="244"/>
  <c r="P39" i="244" s="1"/>
  <c r="P42" i="244" s="1"/>
  <c r="P45" i="244" s="1"/>
  <c r="AB38" i="239"/>
  <c r="AB39" i="239" s="1"/>
  <c r="AB42" i="239" s="1"/>
  <c r="AB45" i="239" s="1"/>
  <c r="Q38" i="244"/>
  <c r="Q39" i="244"/>
  <c r="Q42" i="244" s="1"/>
  <c r="Q45" i="244" s="1"/>
  <c r="L37" i="239"/>
  <c r="J38" i="244"/>
  <c r="J39" i="244" s="1"/>
  <c r="J42" i="244" s="1"/>
  <c r="J45" i="244" s="1"/>
  <c r="AA37" i="239"/>
  <c r="U38" i="239"/>
  <c r="U39" i="239" s="1"/>
  <c r="U42" i="239" s="1"/>
  <c r="U45" i="239" s="1"/>
  <c r="AI38" i="244"/>
  <c r="AI39" i="244" s="1"/>
  <c r="AI42" i="244" s="1"/>
  <c r="AI45" i="244" s="1"/>
  <c r="E23" i="243"/>
  <c r="F23" i="243" s="1"/>
  <c r="AU38" i="242"/>
  <c r="AD54" i="244"/>
  <c r="AJ37" i="239"/>
  <c r="S54" i="239"/>
  <c r="N54" i="239"/>
  <c r="AA37" i="244"/>
  <c r="AI54" i="239"/>
  <c r="AR54" i="244"/>
  <c r="AR54" i="239"/>
  <c r="AC37" i="239"/>
  <c r="T37" i="239"/>
  <c r="I54" i="239"/>
  <c r="AQ54" i="239"/>
  <c r="T54" i="244"/>
  <c r="E39" i="245"/>
  <c r="L54" i="239"/>
  <c r="AU39" i="242"/>
  <c r="E42" i="242"/>
  <c r="AH54" i="239"/>
  <c r="AL54" i="239"/>
  <c r="AF37" i="239"/>
  <c r="N38" i="239"/>
  <c r="N39" i="239" s="1"/>
  <c r="N42" i="239" s="1"/>
  <c r="N45" i="239" s="1"/>
  <c r="G37" i="244"/>
  <c r="Z37" i="244"/>
  <c r="R38" i="244"/>
  <c r="R39" i="244" s="1"/>
  <c r="R42" i="244" s="1"/>
  <c r="R45" i="244" s="1"/>
  <c r="E53" i="239"/>
  <c r="E54" i="239" s="1"/>
  <c r="AT52" i="239"/>
  <c r="AR37" i="244"/>
  <c r="O37" i="239"/>
  <c r="Q54" i="244"/>
  <c r="I37" i="239"/>
  <c r="S37" i="244"/>
  <c r="AS37" i="244"/>
  <c r="AN38" i="244"/>
  <c r="AN39" i="244"/>
  <c r="AN42" i="244" s="1"/>
  <c r="AN45" i="244" s="1"/>
  <c r="P39" i="239" l="1"/>
  <c r="P42" i="239" s="1"/>
  <c r="P45" i="239" s="1"/>
  <c r="X39" i="244"/>
  <c r="X42" i="244" s="1"/>
  <c r="X45" i="244" s="1"/>
  <c r="J39" i="239"/>
  <c r="J42" i="239" s="1"/>
  <c r="J45" i="239" s="1"/>
  <c r="Z39" i="239"/>
  <c r="Z42" i="239" s="1"/>
  <c r="Z45" i="239" s="1"/>
  <c r="AN39" i="239"/>
  <c r="AN42" i="239" s="1"/>
  <c r="AN45" i="239" s="1"/>
  <c r="W39" i="239"/>
  <c r="W42" i="239" s="1"/>
  <c r="W45" i="239" s="1"/>
  <c r="S38" i="244"/>
  <c r="S39" i="244" s="1"/>
  <c r="S42" i="244" s="1"/>
  <c r="S45" i="244" s="1"/>
  <c r="T38" i="239"/>
  <c r="T39" i="239" s="1"/>
  <c r="T42" i="239" s="1"/>
  <c r="T45" i="239" s="1"/>
  <c r="AJ38" i="239"/>
  <c r="AJ39" i="239" s="1"/>
  <c r="AJ42" i="239" s="1"/>
  <c r="AJ45" i="239" s="1"/>
  <c r="AA38" i="239"/>
  <c r="AA39" i="239"/>
  <c r="AA42" i="239" s="1"/>
  <c r="AA45" i="239" s="1"/>
  <c r="S38" i="239"/>
  <c r="S39" i="239" s="1"/>
  <c r="S42" i="239" s="1"/>
  <c r="S45" i="239" s="1"/>
  <c r="F38" i="244"/>
  <c r="F39" i="244" s="1"/>
  <c r="F42" i="244" s="1"/>
  <c r="F45" i="244" s="1"/>
  <c r="E29" i="244"/>
  <c r="AT53" i="244"/>
  <c r="Z38" i="244"/>
  <c r="Z39" i="244" s="1"/>
  <c r="Z42" i="244" s="1"/>
  <c r="Z45" i="244" s="1"/>
  <c r="T38" i="244"/>
  <c r="T39" i="244" s="1"/>
  <c r="T42" i="244" s="1"/>
  <c r="T45" i="244" s="1"/>
  <c r="AB38" i="244"/>
  <c r="AB39" i="244" s="1"/>
  <c r="AB42" i="244" s="1"/>
  <c r="AB45" i="244" s="1"/>
  <c r="O38" i="239"/>
  <c r="O39" i="239" s="1"/>
  <c r="O42" i="239" s="1"/>
  <c r="O45" i="239" s="1"/>
  <c r="G38" i="244"/>
  <c r="G39" i="244"/>
  <c r="G42" i="244" s="1"/>
  <c r="G45" i="244" s="1"/>
  <c r="L38" i="239"/>
  <c r="L39" i="239" s="1"/>
  <c r="L42" i="239" s="1"/>
  <c r="L45" i="239" s="1"/>
  <c r="G38" i="239"/>
  <c r="G39" i="239" s="1"/>
  <c r="G42" i="239" s="1"/>
  <c r="G45" i="239" s="1"/>
  <c r="AC38" i="239"/>
  <c r="AC39" i="239" s="1"/>
  <c r="AC42" i="239" s="1"/>
  <c r="AC45" i="239" s="1"/>
  <c r="AT54" i="244"/>
  <c r="E42" i="245"/>
  <c r="AU39" i="245"/>
  <c r="Y38" i="239"/>
  <c r="Y39" i="239" s="1"/>
  <c r="Y42" i="239" s="1"/>
  <c r="Y45" i="239" s="1"/>
  <c r="E24" i="243"/>
  <c r="Q38" i="239"/>
  <c r="Q39" i="239" s="1"/>
  <c r="Q42" i="239" s="1"/>
  <c r="Q45" i="239" s="1"/>
  <c r="AQ38" i="244"/>
  <c r="AQ39" i="244" s="1"/>
  <c r="AQ42" i="244" s="1"/>
  <c r="AQ45" i="244" s="1"/>
  <c r="H38" i="244"/>
  <c r="H39" i="244" s="1"/>
  <c r="H42" i="244" s="1"/>
  <c r="H45" i="244" s="1"/>
  <c r="AU42" i="242"/>
  <c r="E45" i="242"/>
  <c r="E30" i="243" s="1"/>
  <c r="F30" i="243" s="1"/>
  <c r="AG38" i="244"/>
  <c r="AG39" i="244"/>
  <c r="AG42" i="244" s="1"/>
  <c r="AG45" i="244" s="1"/>
  <c r="AA38" i="244"/>
  <c r="AA39" i="244" s="1"/>
  <c r="AA42" i="244" s="1"/>
  <c r="AA45" i="244" s="1"/>
  <c r="K38" i="244"/>
  <c r="K39" i="244" s="1"/>
  <c r="K42" i="244" s="1"/>
  <c r="K45" i="244" s="1"/>
  <c r="AI38" i="239"/>
  <c r="AI39" i="239" s="1"/>
  <c r="AI42" i="239" s="1"/>
  <c r="AI45" i="239" s="1"/>
  <c r="AF38" i="244"/>
  <c r="AF39" i="244"/>
  <c r="AF42" i="244" s="1"/>
  <c r="AF45" i="244" s="1"/>
  <c r="AJ38" i="244"/>
  <c r="AJ39" i="244" s="1"/>
  <c r="AJ42" i="244" s="1"/>
  <c r="AJ45" i="244" s="1"/>
  <c r="I38" i="239"/>
  <c r="I39" i="239" s="1"/>
  <c r="I42" i="239" s="1"/>
  <c r="I45" i="239" s="1"/>
  <c r="AT54" i="239"/>
  <c r="AF38" i="239"/>
  <c r="AF39" i="239" s="1"/>
  <c r="AF42" i="239" s="1"/>
  <c r="AF45" i="239" s="1"/>
  <c r="AD38" i="239"/>
  <c r="AD39" i="239" s="1"/>
  <c r="AD42" i="239" s="1"/>
  <c r="AD45" i="239" s="1"/>
  <c r="M38" i="244"/>
  <c r="M39" i="244" s="1"/>
  <c r="M42" i="244" s="1"/>
  <c r="M45" i="244" s="1"/>
  <c r="AM38" i="244"/>
  <c r="AM39" i="244" s="1"/>
  <c r="AM42" i="244" s="1"/>
  <c r="AM45" i="244" s="1"/>
  <c r="AR38" i="244"/>
  <c r="AR39" i="244" s="1"/>
  <c r="AR42" i="244" s="1"/>
  <c r="AR45" i="244" s="1"/>
  <c r="AS38" i="244"/>
  <c r="AS39" i="244" s="1"/>
  <c r="AS42" i="244" s="1"/>
  <c r="AS45" i="244" s="1"/>
  <c r="AT53" i="239"/>
  <c r="E29" i="239"/>
  <c r="I38" i="244"/>
  <c r="I39" i="244"/>
  <c r="I42" i="244" s="1"/>
  <c r="I45" i="244" s="1"/>
  <c r="E10" i="215" l="1"/>
  <c r="E9" i="215"/>
  <c r="AT29" i="244"/>
  <c r="E37" i="244"/>
  <c r="E27" i="243"/>
  <c r="F24" i="243"/>
  <c r="E45" i="245"/>
  <c r="AU42" i="245"/>
  <c r="AT29" i="239"/>
  <c r="E37" i="239"/>
  <c r="AT37" i="239" l="1"/>
  <c r="E38" i="239"/>
  <c r="AT38" i="239" s="1"/>
  <c r="E28" i="243"/>
  <c r="F27" i="243"/>
  <c r="E6" i="243"/>
  <c r="F6" i="243" s="1"/>
  <c r="F7" i="243" s="1"/>
  <c r="B13" i="238" s="1"/>
  <c r="E38" i="244"/>
  <c r="AT38" i="244" s="1"/>
  <c r="AT37" i="244"/>
  <c r="E39" i="244" l="1"/>
  <c r="E39" i="239"/>
  <c r="AT39" i="239" l="1"/>
  <c r="F28" i="240"/>
  <c r="F29" i="240" s="1"/>
  <c r="B14" i="238" s="1"/>
  <c r="B15" i="238" s="1"/>
  <c r="E42" i="239"/>
  <c r="AT39" i="244"/>
  <c r="E42" i="244"/>
  <c r="AT42" i="244" l="1"/>
  <c r="E45" i="244"/>
  <c r="E45" i="239"/>
  <c r="AT42" i="239"/>
  <c r="K32" i="24" l="1"/>
  <c r="J32" i="24"/>
  <c r="I32" i="24"/>
  <c r="H32" i="24"/>
  <c r="G32" i="24"/>
  <c r="F32" i="24"/>
  <c r="E32" i="24"/>
  <c r="D32" i="24"/>
  <c r="K29" i="24"/>
  <c r="J29" i="24"/>
  <c r="I29" i="24"/>
  <c r="H29" i="24"/>
  <c r="G29" i="24"/>
  <c r="F29" i="24"/>
  <c r="E29" i="24"/>
  <c r="D29" i="24"/>
  <c r="G23" i="215" l="1"/>
  <c r="H23" i="215"/>
  <c r="I23" i="215"/>
  <c r="J23" i="215"/>
  <c r="K23" i="215"/>
  <c r="L23" i="215"/>
  <c r="F23" i="215"/>
  <c r="C23" i="215"/>
  <c r="N23" i="215" l="1"/>
  <c r="B2" i="216" l="1"/>
  <c r="C22" i="215"/>
  <c r="C20" i="215" l="1"/>
  <c r="C21" i="215"/>
  <c r="B2" i="215"/>
  <c r="B2" i="24" l="1"/>
  <c r="E24" i="215" l="1"/>
  <c r="O24" i="215" s="1"/>
  <c r="K22" i="215" l="1"/>
  <c r="G22" i="215"/>
  <c r="L22" i="215"/>
  <c r="H22" i="215"/>
  <c r="I22" i="215"/>
  <c r="F22" i="215"/>
  <c r="J22" i="215"/>
  <c r="N22" i="215" l="1"/>
  <c r="D22" i="24"/>
  <c r="G23" i="24" s="1"/>
  <c r="H20" i="215" s="1"/>
  <c r="E16" i="216" l="1"/>
  <c r="K23" i="24"/>
  <c r="L20" i="215" s="1"/>
  <c r="J23" i="24"/>
  <c r="K20" i="215" s="1"/>
  <c r="I23" i="24"/>
  <c r="J20" i="215" s="1"/>
  <c r="H23" i="24"/>
  <c r="I20" i="215" s="1"/>
  <c r="E23" i="24"/>
  <c r="F23" i="24"/>
  <c r="G20" i="215" s="1"/>
  <c r="D23" i="24" l="1"/>
  <c r="F20" i="215"/>
  <c r="N20" i="215" s="1"/>
  <c r="E16" i="84"/>
  <c r="O16" i="84" s="1"/>
  <c r="E16" i="215"/>
  <c r="A2" i="25" l="1"/>
  <c r="B2" i="38"/>
  <c r="B2" i="84"/>
  <c r="E11" i="216" l="1"/>
  <c r="E19" i="216" s="1"/>
  <c r="E21" i="216" s="1"/>
  <c r="O21" i="216" s="1"/>
  <c r="E11" i="215" l="1"/>
  <c r="O16" i="215" s="1"/>
  <c r="O11" i="215" l="1"/>
  <c r="E26" i="215"/>
  <c r="E28" i="215" s="1"/>
  <c r="O28" i="215" s="1"/>
  <c r="D25" i="24" l="1"/>
  <c r="J26" i="24" s="1"/>
  <c r="D19" i="24"/>
  <c r="K20" i="24" s="1"/>
  <c r="L19" i="215" l="1"/>
  <c r="L19" i="84"/>
  <c r="K21" i="215"/>
  <c r="H20" i="24"/>
  <c r="E20" i="24"/>
  <c r="G26" i="24"/>
  <c r="K26" i="24"/>
  <c r="I20" i="24"/>
  <c r="H26" i="24"/>
  <c r="F20" i="24"/>
  <c r="J20" i="24"/>
  <c r="E26" i="24"/>
  <c r="I26" i="24"/>
  <c r="G20" i="24"/>
  <c r="F26" i="24"/>
  <c r="L21" i="215" l="1"/>
  <c r="L24" i="215" s="1"/>
  <c r="G21" i="215"/>
  <c r="L24" i="84"/>
  <c r="H19" i="84"/>
  <c r="H19" i="215"/>
  <c r="H21" i="215"/>
  <c r="J21" i="215"/>
  <c r="F19" i="215"/>
  <c r="F19" i="84"/>
  <c r="F21" i="215"/>
  <c r="I19" i="84"/>
  <c r="I19" i="215"/>
  <c r="K19" i="215"/>
  <c r="K24" i="215" s="1"/>
  <c r="K19" i="84"/>
  <c r="K24" i="84" s="1"/>
  <c r="G19" i="215"/>
  <c r="G24" i="215" s="1"/>
  <c r="G19" i="84"/>
  <c r="G24" i="84" s="1"/>
  <c r="I21" i="215"/>
  <c r="J19" i="215"/>
  <c r="J19" i="84"/>
  <c r="D20" i="24"/>
  <c r="D26" i="24"/>
  <c r="J24" i="215" l="1"/>
  <c r="I24" i="84"/>
  <c r="N21" i="215"/>
  <c r="N19" i="215"/>
  <c r="F24" i="215"/>
  <c r="H24" i="215"/>
  <c r="F24" i="84"/>
  <c r="N19" i="84"/>
  <c r="J24" i="84"/>
  <c r="I24" i="215"/>
  <c r="H24" i="84"/>
  <c r="N24" i="84" l="1"/>
  <c r="N24" i="215"/>
  <c r="E11" i="84"/>
  <c r="O17" i="84" s="1"/>
  <c r="O11" i="84" l="1"/>
  <c r="E26" i="84"/>
  <c r="E28" i="84" s="1"/>
  <c r="E11" i="38" l="1"/>
  <c r="E16" i="38" l="1"/>
  <c r="O16" i="38" s="1"/>
  <c r="M26" i="25"/>
  <c r="L26" i="25"/>
  <c r="K26" i="25"/>
  <c r="J26" i="25"/>
  <c r="I26" i="25"/>
  <c r="H26" i="25"/>
  <c r="G26" i="25"/>
  <c r="F26" i="25"/>
  <c r="E26" i="25"/>
  <c r="D26" i="25"/>
  <c r="C26" i="25"/>
  <c r="B26" i="25"/>
  <c r="M25" i="25"/>
  <c r="L25" i="25"/>
  <c r="K25" i="25"/>
  <c r="J25" i="25"/>
  <c r="I25" i="25"/>
  <c r="H25" i="25"/>
  <c r="G25" i="25"/>
  <c r="F25" i="25"/>
  <c r="E25" i="25"/>
  <c r="D25" i="25"/>
  <c r="C25" i="25"/>
  <c r="B25" i="25"/>
  <c r="M24" i="25"/>
  <c r="L24" i="25"/>
  <c r="K24" i="25"/>
  <c r="J24" i="25"/>
  <c r="I24" i="25"/>
  <c r="H24" i="25"/>
  <c r="G24" i="25"/>
  <c r="F24" i="25"/>
  <c r="E24" i="25"/>
  <c r="D24" i="25"/>
  <c r="C24" i="25"/>
  <c r="B24" i="25"/>
  <c r="M22" i="25"/>
  <c r="L22" i="25"/>
  <c r="K22" i="25"/>
  <c r="J22" i="25"/>
  <c r="I22" i="25"/>
  <c r="H22" i="25"/>
  <c r="G22" i="25"/>
  <c r="F22" i="25"/>
  <c r="E22" i="25"/>
  <c r="D22" i="25"/>
  <c r="C22" i="25"/>
  <c r="B22" i="25"/>
  <c r="N21" i="25"/>
  <c r="N20" i="25"/>
  <c r="N19" i="25"/>
  <c r="N18" i="25"/>
  <c r="N17" i="25"/>
  <c r="N16" i="25"/>
  <c r="N15" i="25"/>
  <c r="N14" i="25"/>
  <c r="N13" i="25"/>
  <c r="N12" i="25"/>
  <c r="N11" i="25"/>
  <c r="N10" i="25"/>
  <c r="N9" i="25"/>
  <c r="N8" i="25"/>
  <c r="C7" i="25"/>
  <c r="D7" i="25" s="1"/>
  <c r="E7" i="25" s="1"/>
  <c r="F7" i="25" s="1"/>
  <c r="G7" i="25" s="1"/>
  <c r="H7" i="25" s="1"/>
  <c r="I7" i="25" s="1"/>
  <c r="J7" i="25" s="1"/>
  <c r="K7" i="25" s="1"/>
  <c r="L7" i="25" s="1"/>
  <c r="M7" i="25" s="1"/>
  <c r="A4" i="25" s="1"/>
  <c r="F19" i="113" l="1"/>
  <c r="H19" i="113"/>
  <c r="K19" i="113"/>
  <c r="J19" i="113"/>
  <c r="I19" i="113"/>
  <c r="E19" i="113"/>
  <c r="B27" i="25"/>
  <c r="B28" i="25" s="1"/>
  <c r="J27" i="25"/>
  <c r="J28" i="25" s="1"/>
  <c r="H27" i="25"/>
  <c r="G19" i="113"/>
  <c r="G27" i="25"/>
  <c r="G28" i="25" s="1"/>
  <c r="I27" i="25"/>
  <c r="I28" i="25" s="1"/>
  <c r="C27" i="25"/>
  <c r="C28" i="25" s="1"/>
  <c r="K27" i="25"/>
  <c r="K28" i="25" s="1"/>
  <c r="D27" i="25"/>
  <c r="D28" i="25" s="1"/>
  <c r="L27" i="25"/>
  <c r="L28" i="25" s="1"/>
  <c r="E27" i="25"/>
  <c r="E28" i="25" s="1"/>
  <c r="M27" i="25"/>
  <c r="M28" i="25" s="1"/>
  <c r="F27" i="25"/>
  <c r="F28" i="25" s="1"/>
  <c r="H28" i="25"/>
  <c r="N25" i="25"/>
  <c r="N26" i="25"/>
  <c r="N22" i="25"/>
  <c r="N24" i="25"/>
  <c r="D19" i="113" l="1"/>
  <c r="N27" i="25"/>
  <c r="N28" i="25" s="1"/>
  <c r="M19" i="113"/>
  <c r="D14" i="24"/>
  <c r="K11" i="24"/>
  <c r="J11" i="24"/>
  <c r="I11" i="24"/>
  <c r="H11" i="24"/>
  <c r="G11" i="24"/>
  <c r="F11" i="24"/>
  <c r="E11" i="24"/>
  <c r="D10" i="24"/>
  <c r="D9" i="24"/>
  <c r="K16" i="24"/>
  <c r="J16" i="24"/>
  <c r="I16" i="24"/>
  <c r="H16" i="24"/>
  <c r="G16" i="24"/>
  <c r="F16" i="24"/>
  <c r="E16" i="24"/>
  <c r="D15" i="24"/>
  <c r="D11" i="24" l="1"/>
  <c r="M11" i="24" s="1"/>
  <c r="D16" i="24"/>
  <c r="M16" i="24" s="1"/>
  <c r="I12" i="24"/>
  <c r="J14" i="216" l="1"/>
  <c r="J14" i="215"/>
  <c r="J9" i="216"/>
  <c r="J9" i="215"/>
  <c r="K17" i="24"/>
  <c r="E17" i="24"/>
  <c r="F15" i="38" s="1"/>
  <c r="J17" i="24"/>
  <c r="G17" i="24"/>
  <c r="H17" i="24"/>
  <c r="F17" i="24"/>
  <c r="I17" i="24"/>
  <c r="H12" i="24"/>
  <c r="I15" i="38"/>
  <c r="J14" i="84"/>
  <c r="J9" i="84"/>
  <c r="J14" i="38"/>
  <c r="E12" i="24"/>
  <c r="F12" i="24"/>
  <c r="G12" i="24"/>
  <c r="J12" i="24"/>
  <c r="K12" i="24"/>
  <c r="H15" i="216" l="1"/>
  <c r="H15" i="215"/>
  <c r="H10" i="216"/>
  <c r="H10" i="215"/>
  <c r="L15" i="216"/>
  <c r="L15" i="215"/>
  <c r="L10" i="216"/>
  <c r="L10" i="215"/>
  <c r="J15" i="216"/>
  <c r="J15" i="215"/>
  <c r="J16" i="215" s="1"/>
  <c r="J10" i="216"/>
  <c r="J11" i="216" s="1"/>
  <c r="J10" i="215"/>
  <c r="J11" i="215" s="1"/>
  <c r="L10" i="84"/>
  <c r="L15" i="84"/>
  <c r="K10" i="84"/>
  <c r="K15" i="216"/>
  <c r="K15" i="215"/>
  <c r="K10" i="216"/>
  <c r="K10" i="215"/>
  <c r="F15" i="216"/>
  <c r="F15" i="215"/>
  <c r="F10" i="216"/>
  <c r="F10" i="215"/>
  <c r="L15" i="38"/>
  <c r="G15" i="216"/>
  <c r="G15" i="215"/>
  <c r="G10" i="216"/>
  <c r="G10" i="215"/>
  <c r="I10" i="84"/>
  <c r="I15" i="216"/>
  <c r="I15" i="215"/>
  <c r="I10" i="216"/>
  <c r="I10" i="215"/>
  <c r="J16" i="216"/>
  <c r="H14" i="216"/>
  <c r="H16" i="216" s="1"/>
  <c r="H14" i="215"/>
  <c r="H16" i="215" s="1"/>
  <c r="H9" i="216"/>
  <c r="H11" i="216" s="1"/>
  <c r="H9" i="215"/>
  <c r="G14" i="216"/>
  <c r="G16" i="216" s="1"/>
  <c r="G14" i="215"/>
  <c r="G16" i="215" s="1"/>
  <c r="G9" i="216"/>
  <c r="G9" i="215"/>
  <c r="I9" i="84"/>
  <c r="I14" i="216"/>
  <c r="I14" i="215"/>
  <c r="I9" i="216"/>
  <c r="I9" i="215"/>
  <c r="I11" i="215" s="1"/>
  <c r="K14" i="216"/>
  <c r="K14" i="215"/>
  <c r="K9" i="216"/>
  <c r="K9" i="215"/>
  <c r="F14" i="84"/>
  <c r="F14" i="216"/>
  <c r="F14" i="215"/>
  <c r="F9" i="216"/>
  <c r="F9" i="215"/>
  <c r="L14" i="216"/>
  <c r="L14" i="215"/>
  <c r="L9" i="216"/>
  <c r="L9" i="215"/>
  <c r="I15" i="84"/>
  <c r="G10" i="84"/>
  <c r="F15" i="84"/>
  <c r="F10" i="84"/>
  <c r="H15" i="84"/>
  <c r="H15" i="38"/>
  <c r="K15" i="84"/>
  <c r="H10" i="84"/>
  <c r="K15" i="38"/>
  <c r="G15" i="84"/>
  <c r="J10" i="84"/>
  <c r="J11" i="84" s="1"/>
  <c r="D17" i="24"/>
  <c r="G15" i="38"/>
  <c r="J15" i="38"/>
  <c r="J16" i="38" s="1"/>
  <c r="J15" i="84"/>
  <c r="I14" i="38"/>
  <c r="I16" i="38" s="1"/>
  <c r="I14" i="84"/>
  <c r="L9" i="84"/>
  <c r="L14" i="84"/>
  <c r="L14" i="38"/>
  <c r="F9" i="84"/>
  <c r="F14" i="38"/>
  <c r="H9" i="84"/>
  <c r="H14" i="84"/>
  <c r="H14" i="38"/>
  <c r="K9" i="84"/>
  <c r="K11" i="84" s="1"/>
  <c r="K14" i="84"/>
  <c r="K14" i="38"/>
  <c r="G9" i="84"/>
  <c r="G14" i="84"/>
  <c r="G14" i="38"/>
  <c r="K9" i="38"/>
  <c r="H9" i="38"/>
  <c r="G9" i="38"/>
  <c r="E19" i="38"/>
  <c r="E21" i="38" s="1"/>
  <c r="O21" i="38" s="1"/>
  <c r="F9" i="38"/>
  <c r="L9" i="38"/>
  <c r="J9" i="38"/>
  <c r="I9" i="38"/>
  <c r="J10" i="38"/>
  <c r="G10" i="38"/>
  <c r="F10" i="38"/>
  <c r="L10" i="38"/>
  <c r="I10" i="38"/>
  <c r="H10" i="38"/>
  <c r="K10" i="38"/>
  <c r="D12" i="24"/>
  <c r="H11" i="215" l="1"/>
  <c r="H26" i="215" s="1"/>
  <c r="H28" i="215" s="1"/>
  <c r="I16" i="215"/>
  <c r="L16" i="38"/>
  <c r="N15" i="216"/>
  <c r="K16" i="216"/>
  <c r="I16" i="216"/>
  <c r="L16" i="216"/>
  <c r="H19" i="216"/>
  <c r="H21" i="216" s="1"/>
  <c r="G14" i="113" s="1"/>
  <c r="I11" i="216"/>
  <c r="I19" i="216" s="1"/>
  <c r="I21" i="216" s="1"/>
  <c r="H14" i="113" s="1"/>
  <c r="N10" i="216"/>
  <c r="G11" i="216"/>
  <c r="G19" i="216" s="1"/>
  <c r="G21" i="216" s="1"/>
  <c r="F14" i="113" s="1"/>
  <c r="N15" i="215"/>
  <c r="L11" i="215"/>
  <c r="J26" i="215"/>
  <c r="J28" i="215" s="1"/>
  <c r="I16" i="113" s="1"/>
  <c r="K16" i="215"/>
  <c r="J30" i="215"/>
  <c r="L16" i="84"/>
  <c r="L11" i="84"/>
  <c r="J19" i="216"/>
  <c r="J21" i="216" s="1"/>
  <c r="L11" i="216"/>
  <c r="K11" i="215"/>
  <c r="I11" i="84"/>
  <c r="L16" i="215"/>
  <c r="L26" i="215" s="1"/>
  <c r="L28" i="215" s="1"/>
  <c r="K11" i="216"/>
  <c r="K19" i="216" s="1"/>
  <c r="K21" i="216" s="1"/>
  <c r="K23" i="216" s="1"/>
  <c r="G11" i="215"/>
  <c r="G26" i="215" s="1"/>
  <c r="G28" i="215" s="1"/>
  <c r="F16" i="113" s="1"/>
  <c r="N10" i="215"/>
  <c r="F16" i="215"/>
  <c r="N14" i="215"/>
  <c r="F16" i="216"/>
  <c r="N16" i="216" s="1"/>
  <c r="N14" i="216"/>
  <c r="G16" i="113"/>
  <c r="H30" i="215"/>
  <c r="N9" i="215"/>
  <c r="F11" i="215"/>
  <c r="N9" i="216"/>
  <c r="F11" i="216"/>
  <c r="I26" i="215"/>
  <c r="I28" i="215" s="1"/>
  <c r="H16" i="84"/>
  <c r="I16" i="84"/>
  <c r="G11" i="84"/>
  <c r="G16" i="84"/>
  <c r="K16" i="84"/>
  <c r="K26" i="84" s="1"/>
  <c r="K28" i="84" s="1"/>
  <c r="K16" i="38"/>
  <c r="H16" i="38"/>
  <c r="N10" i="84"/>
  <c r="H11" i="84"/>
  <c r="H26" i="84" s="1"/>
  <c r="H28" i="84" s="1"/>
  <c r="N15" i="84"/>
  <c r="N15" i="38"/>
  <c r="G16" i="38"/>
  <c r="J16" i="84"/>
  <c r="J26" i="84" s="1"/>
  <c r="J28" i="84" s="1"/>
  <c r="F16" i="38"/>
  <c r="N14" i="38"/>
  <c r="F16" i="84"/>
  <c r="N14" i="84"/>
  <c r="F11" i="84"/>
  <c r="N9" i="84"/>
  <c r="L11" i="38"/>
  <c r="L19" i="38" s="1"/>
  <c r="L21" i="38" s="1"/>
  <c r="H11" i="38"/>
  <c r="I11" i="38"/>
  <c r="K11" i="38"/>
  <c r="N10" i="38"/>
  <c r="J11" i="38"/>
  <c r="J19" i="38" s="1"/>
  <c r="J21" i="38" s="1"/>
  <c r="I13" i="113" s="1"/>
  <c r="G11" i="38"/>
  <c r="F11" i="38"/>
  <c r="N9" i="38"/>
  <c r="I17" i="113" l="1"/>
  <c r="N16" i="215"/>
  <c r="G23" i="216"/>
  <c r="I23" i="216"/>
  <c r="H23" i="216"/>
  <c r="L19" i="216"/>
  <c r="L21" i="216" s="1"/>
  <c r="L23" i="216" s="1"/>
  <c r="J14" i="113"/>
  <c r="L26" i="84"/>
  <c r="L28" i="84" s="1"/>
  <c r="K26" i="215"/>
  <c r="K28" i="215" s="1"/>
  <c r="L30" i="215"/>
  <c r="K16" i="113"/>
  <c r="J23" i="216"/>
  <c r="I14" i="113"/>
  <c r="K14" i="113"/>
  <c r="I26" i="84"/>
  <c r="I28" i="84" s="1"/>
  <c r="I30" i="84" s="1"/>
  <c r="G30" i="215"/>
  <c r="I30" i="215"/>
  <c r="H16" i="113"/>
  <c r="F19" i="216"/>
  <c r="N11" i="216"/>
  <c r="N11" i="215"/>
  <c r="F26" i="215"/>
  <c r="G26" i="84"/>
  <c r="G28" i="84" s="1"/>
  <c r="H19" i="38"/>
  <c r="H21" i="38" s="1"/>
  <c r="G13" i="113" s="1"/>
  <c r="G17" i="113" s="1"/>
  <c r="F26" i="84"/>
  <c r="F28" i="84" s="1"/>
  <c r="I15" i="113"/>
  <c r="G15" i="113"/>
  <c r="K15" i="113"/>
  <c r="J15" i="113"/>
  <c r="K19" i="38"/>
  <c r="K21" i="38" s="1"/>
  <c r="J13" i="113" s="1"/>
  <c r="G19" i="38"/>
  <c r="G21" i="38" s="1"/>
  <c r="F13" i="113" s="1"/>
  <c r="F17" i="113" s="1"/>
  <c r="N16" i="38"/>
  <c r="N16" i="84"/>
  <c r="L23" i="38"/>
  <c r="K13" i="113"/>
  <c r="K17" i="113" s="1"/>
  <c r="H30" i="84"/>
  <c r="F19" i="38"/>
  <c r="F21" i="38" s="1"/>
  <c r="E13" i="113" s="1"/>
  <c r="N11" i="84"/>
  <c r="K30" i="84"/>
  <c r="J30" i="84"/>
  <c r="L30" i="84"/>
  <c r="N11" i="38"/>
  <c r="I19" i="38"/>
  <c r="I21" i="38" s="1"/>
  <c r="H13" i="113" s="1"/>
  <c r="H17" i="113" s="1"/>
  <c r="J23" i="38"/>
  <c r="K30" i="215" l="1"/>
  <c r="J16" i="113"/>
  <c r="H15" i="113"/>
  <c r="H22" i="113" s="1"/>
  <c r="E13" i="255" s="1"/>
  <c r="F28" i="215"/>
  <c r="N26" i="215"/>
  <c r="F21" i="216"/>
  <c r="N19" i="216"/>
  <c r="K23" i="38"/>
  <c r="H23" i="38"/>
  <c r="I22" i="113"/>
  <c r="E14" i="255" s="1"/>
  <c r="K22" i="113"/>
  <c r="E21" i="255" s="1"/>
  <c r="G21" i="255" s="1"/>
  <c r="H21" i="255" s="1"/>
  <c r="G22" i="113"/>
  <c r="E12" i="255" s="1"/>
  <c r="F15" i="113"/>
  <c r="F30" i="84"/>
  <c r="E15" i="113"/>
  <c r="G30" i="84"/>
  <c r="G23" i="38"/>
  <c r="D13" i="113"/>
  <c r="N26" i="84"/>
  <c r="I23" i="38"/>
  <c r="N19" i="38"/>
  <c r="F23" i="38"/>
  <c r="N21" i="38"/>
  <c r="E17" i="255" l="1"/>
  <c r="G17" i="255" s="1"/>
  <c r="H17" i="255" s="1"/>
  <c r="G12" i="255"/>
  <c r="H12" i="255" s="1"/>
  <c r="I21" i="255"/>
  <c r="S23" i="253"/>
  <c r="E18" i="255"/>
  <c r="G18" i="255" s="1"/>
  <c r="H18" i="255" s="1"/>
  <c r="G13" i="255"/>
  <c r="H13" i="255" s="1"/>
  <c r="E19" i="255"/>
  <c r="G19" i="255" s="1"/>
  <c r="H19" i="255" s="1"/>
  <c r="G14" i="255"/>
  <c r="H14" i="255" s="1"/>
  <c r="J17" i="113"/>
  <c r="J22" i="113" s="1"/>
  <c r="E15" i="255" s="1"/>
  <c r="N13" i="113"/>
  <c r="E14" i="113"/>
  <c r="D14" i="113" s="1"/>
  <c r="F23" i="216"/>
  <c r="E23" i="216" s="1"/>
  <c r="N21" i="216"/>
  <c r="F30" i="215"/>
  <c r="E30" i="215" s="1"/>
  <c r="N28" i="215"/>
  <c r="E16" i="113"/>
  <c r="D15" i="113"/>
  <c r="M14" i="113"/>
  <c r="F22" i="113"/>
  <c r="E11" i="255" s="1"/>
  <c r="M13" i="113"/>
  <c r="E30" i="84"/>
  <c r="N28" i="84"/>
  <c r="E23" i="38"/>
  <c r="S16" i="253" l="1"/>
  <c r="I14" i="255"/>
  <c r="I19" i="255"/>
  <c r="S21" i="253"/>
  <c r="T21" i="253" s="1"/>
  <c r="S20" i="253"/>
  <c r="T20" i="253" s="1"/>
  <c r="I18" i="255"/>
  <c r="S33" i="253"/>
  <c r="T33" i="253" s="1"/>
  <c r="T23" i="253"/>
  <c r="S14" i="253"/>
  <c r="I12" i="255"/>
  <c r="S15" i="253"/>
  <c r="I13" i="255"/>
  <c r="G11" i="255"/>
  <c r="H11" i="255" s="1"/>
  <c r="E16" i="255"/>
  <c r="G16" i="255" s="1"/>
  <c r="H16" i="255" s="1"/>
  <c r="E20" i="255"/>
  <c r="G20" i="255" s="1"/>
  <c r="H20" i="255" s="1"/>
  <c r="G15" i="255"/>
  <c r="H15" i="255" s="1"/>
  <c r="S19" i="253"/>
  <c r="T19" i="253" s="1"/>
  <c r="I17" i="255"/>
  <c r="D16" i="113"/>
  <c r="E17" i="113"/>
  <c r="E22" i="113" s="1"/>
  <c r="M15" i="113"/>
  <c r="M16" i="113"/>
  <c r="I20" i="255" l="1"/>
  <c r="S22" i="253"/>
  <c r="T22" i="253" s="1"/>
  <c r="T16" i="253"/>
  <c r="S31" i="253"/>
  <c r="T31" i="253" s="1"/>
  <c r="E23" i="113"/>
  <c r="E9" i="255"/>
  <c r="T14" i="253"/>
  <c r="S29" i="253"/>
  <c r="T29" i="253" s="1"/>
  <c r="I15" i="255"/>
  <c r="S17" i="253"/>
  <c r="I16" i="255"/>
  <c r="S18" i="253"/>
  <c r="T18" i="253" s="1"/>
  <c r="I11" i="255"/>
  <c r="S13" i="253"/>
  <c r="S30" i="253"/>
  <c r="T30" i="253" s="1"/>
  <c r="T15" i="253"/>
  <c r="N16" i="113"/>
  <c r="D17" i="113"/>
  <c r="N17" i="113" s="1"/>
  <c r="S32" i="253" l="1"/>
  <c r="T32" i="253" s="1"/>
  <c r="T17" i="253"/>
  <c r="T13" i="253"/>
  <c r="S28" i="253"/>
  <c r="T28" i="253" s="1"/>
  <c r="G22" i="254"/>
  <c r="G23" i="254" s="1"/>
  <c r="G9" i="255"/>
  <c r="E10" i="255"/>
  <c r="G10" i="255" s="1"/>
  <c r="H10" i="255" s="1"/>
  <c r="H9" i="255" l="1"/>
  <c r="G22" i="255"/>
  <c r="H23" i="254"/>
  <c r="H30" i="254" s="1"/>
  <c r="H32" i="254" s="1"/>
  <c r="H33" i="254" s="1"/>
  <c r="H34" i="254" s="1"/>
  <c r="G36" i="254"/>
  <c r="G30" i="254"/>
  <c r="S12" i="253"/>
  <c r="T12" i="253" s="1"/>
  <c r="I10" i="255"/>
  <c r="S11" i="253" l="1"/>
  <c r="I9" i="255"/>
  <c r="H22" i="255"/>
  <c r="I22" i="255" s="1"/>
  <c r="T11" i="253" l="1"/>
  <c r="S27" i="253"/>
  <c r="S24" i="253"/>
  <c r="T24" i="253" s="1"/>
  <c r="T27" i="253" l="1"/>
  <c r="S34" i="253"/>
  <c r="T34" i="253" s="1"/>
</calcChain>
</file>

<file path=xl/sharedStrings.xml><?xml version="1.0" encoding="utf-8"?>
<sst xmlns="http://schemas.openxmlformats.org/spreadsheetml/2006/main" count="1307" uniqueCount="460">
  <si>
    <t>Puget Sound Energy</t>
  </si>
  <si>
    <t>IPL-CRM REVENUE REQUIREMENT MODEL</t>
  </si>
  <si>
    <t>Program Year</t>
  </si>
  <si>
    <t>(Spending November 1 to October 31)</t>
  </si>
  <si>
    <t>Input Capital Costs and Rates</t>
  </si>
  <si>
    <t xml:space="preserve">Weighted </t>
  </si>
  <si>
    <t>Cost of Capital</t>
  </si>
  <si>
    <t>% of Capital</t>
  </si>
  <si>
    <t>Cost</t>
  </si>
  <si>
    <t>Common Equity</t>
  </si>
  <si>
    <t>Total Pre Tax Cost of Capital</t>
  </si>
  <si>
    <t>Federal Tax Rate</t>
  </si>
  <si>
    <t xml:space="preserve">Revenue Sensitive Rate </t>
  </si>
  <si>
    <t>Depreciation Rate</t>
  </si>
  <si>
    <t>Bonus Tax Depreciation toggled  (1 = yes, 2 = no)</t>
  </si>
  <si>
    <t>Replacement Plan Investment</t>
  </si>
  <si>
    <t>Normalized Investment (baseline)</t>
  </si>
  <si>
    <t>Investment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</si>
  <si>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</si>
  <si>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</si>
  <si>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</si>
  <si>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</si>
  <si>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</si>
  <si>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</si>
  <si>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</si>
  <si>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</si>
  <si>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</si>
  <si>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</si>
  <si>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</si>
  <si>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</si>
  <si>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</si>
  <si>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</si>
  <si>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</si>
  <si>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</si>
  <si>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</si>
  <si>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</si>
  <si>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</si>
  <si>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</si>
  <si>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</si>
  <si>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</si>
  <si>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</si>
  <si>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</si>
  <si>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</si>
  <si>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</si>
  <si>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</si>
  <si>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</si>
  <si>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</si>
  <si>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</si>
  <si>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</si>
  <si>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</si>
  <si>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</si>
  <si>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</si>
  <si>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</si>
  <si>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Depreciation</t>
  </si>
  <si>
    <t>Federal Taxes on Equity Return</t>
  </si>
  <si>
    <t>Return on Rate Base</t>
  </si>
  <si>
    <t>Long Term Debt</t>
  </si>
  <si>
    <t>Short Term Debt</t>
  </si>
  <si>
    <t xml:space="preserve">      Total Return</t>
  </si>
  <si>
    <t xml:space="preserve">Cost of Service </t>
  </si>
  <si>
    <t>Revenue Sensitive Items</t>
  </si>
  <si>
    <t>Total  Cost of Service</t>
  </si>
  <si>
    <t>Total Cost of Service (Capital &amp; O&amp;M)</t>
  </si>
  <si>
    <t>Annual Cost of Service as % of Investment</t>
  </si>
  <si>
    <t>Rate Base - net of deprec. &amp; def. tax</t>
  </si>
  <si>
    <t>Federal Taxable Equity Income</t>
  </si>
  <si>
    <t>Less:  Federal Tax</t>
  </si>
  <si>
    <t>Return</t>
  </si>
  <si>
    <t>Book Depreciation</t>
  </si>
  <si>
    <t>Tax Depreciation</t>
  </si>
  <si>
    <t>Book-Tax Difference</t>
  </si>
  <si>
    <t>Tax Effect</t>
  </si>
  <si>
    <t>MACRS Depreciation - 20</t>
  </si>
  <si>
    <t>MACRS Depreciation - 20 year - Bonus</t>
  </si>
  <si>
    <t>Year 36</t>
  </si>
  <si>
    <t>Year 37</t>
  </si>
  <si>
    <t>PUGET SOUND ENERGY</t>
  </si>
  <si>
    <t>COST RECOVERY MECHANISM</t>
  </si>
  <si>
    <t>COST BREAKDOWN BY PROGRAM</t>
  </si>
  <si>
    <t>WBS Element</t>
  </si>
  <si>
    <t>WBS Description</t>
  </si>
  <si>
    <t>Total CRM Actual and Forecast</t>
  </si>
  <si>
    <t>Grand Total</t>
  </si>
  <si>
    <t>Mains</t>
  </si>
  <si>
    <t>Services</t>
  </si>
  <si>
    <t>DEPRECIATION EXPENSE CALCULATION</t>
  </si>
  <si>
    <t>Type</t>
  </si>
  <si>
    <t>Rate per Study</t>
  </si>
  <si>
    <t>FERC G376</t>
  </si>
  <si>
    <t>FERC G380</t>
  </si>
  <si>
    <t>Total</t>
  </si>
  <si>
    <t>Main</t>
  </si>
  <si>
    <t>Total Annual Depr</t>
  </si>
  <si>
    <t>WEIGHTED AVERAGE COMPOSITE RATE</t>
  </si>
  <si>
    <t>Actuals Nov 2016 - July 2017</t>
  </si>
  <si>
    <t>R.10015.03.04.01</t>
  </si>
  <si>
    <t>G-DIMP DUPONT PIPE REPL-MAIN WITH SERV</t>
  </si>
  <si>
    <t>R.10015.03.04.02</t>
  </si>
  <si>
    <t>G-DIMP OLDER STW REPL-MAIN WITH SERVICE</t>
  </si>
  <si>
    <t>R.10015.03.04.03</t>
  </si>
  <si>
    <t>G-DIMP OLDER STW REPL-SERVICE ONLY</t>
  </si>
  <si>
    <t>Program Years</t>
  </si>
  <si>
    <t>True Up Amount</t>
  </si>
  <si>
    <t>Year</t>
  </si>
  <si>
    <t>Check</t>
  </si>
  <si>
    <t>Table</t>
  </si>
  <si>
    <t>Apply 50% Bonus</t>
  </si>
  <si>
    <t>Apply 40% Bonus</t>
  </si>
  <si>
    <t>LINE</t>
  </si>
  <si>
    <t>NO.</t>
  </si>
  <si>
    <t>DESCRIPTION</t>
  </si>
  <si>
    <t>RATE</t>
  </si>
  <si>
    <t>BAD DEBTS</t>
  </si>
  <si>
    <t>ANNUAL FILING FEE</t>
  </si>
  <si>
    <t>SUM OF TAXES OTHER</t>
  </si>
  <si>
    <t>31, 31T</t>
  </si>
  <si>
    <t>41, 41T</t>
  </si>
  <si>
    <t>86, 86T</t>
  </si>
  <si>
    <t>87, 87T</t>
  </si>
  <si>
    <t>Allocation</t>
  </si>
  <si>
    <t>23, 16, 53</t>
  </si>
  <si>
    <t>Commercial &amp;</t>
  </si>
  <si>
    <t>Large</t>
  </si>
  <si>
    <t>85, 85T</t>
  </si>
  <si>
    <t>Limited</t>
  </si>
  <si>
    <t>Non-Exclusive</t>
  </si>
  <si>
    <t>Factor</t>
  </si>
  <si>
    <t>Residential</t>
  </si>
  <si>
    <t>Industrial</t>
  </si>
  <si>
    <t>Volume</t>
  </si>
  <si>
    <t>Interruptible</t>
  </si>
  <si>
    <t>Contracts</t>
  </si>
  <si>
    <t>Rate per Therm</t>
  </si>
  <si>
    <t>Rate per Mantle</t>
  </si>
  <si>
    <t>23, 16</t>
  </si>
  <si>
    <t xml:space="preserve">Plant Revenue Requirement </t>
  </si>
  <si>
    <t>Revenue Requirement Before Other Taxes</t>
  </si>
  <si>
    <t>Revenue Taxes</t>
  </si>
  <si>
    <t>Revenue Requirement</t>
  </si>
  <si>
    <t>Percent of Total</t>
  </si>
  <si>
    <t>Account</t>
  </si>
  <si>
    <t>Description</t>
  </si>
  <si>
    <t>Services - Accum Reserve</t>
  </si>
  <si>
    <t>Services Total</t>
  </si>
  <si>
    <t>Percent</t>
  </si>
  <si>
    <t>Mains - Accum Reserve</t>
  </si>
  <si>
    <t>Mains Total</t>
  </si>
  <si>
    <t>Calculation of Schedule 149 Rates</t>
  </si>
  <si>
    <t>Schedules</t>
  </si>
  <si>
    <t xml:space="preserve">Total Revenue Requirement </t>
  </si>
  <si>
    <t>Line</t>
  </si>
  <si>
    <t>No.</t>
  </si>
  <si>
    <t>(a)</t>
  </si>
  <si>
    <t>(b)</t>
  </si>
  <si>
    <t>(c)</t>
  </si>
  <si>
    <t>(d)</t>
  </si>
  <si>
    <t>(e)</t>
  </si>
  <si>
    <t>(f)</t>
  </si>
  <si>
    <t>(g)</t>
  </si>
  <si>
    <t>(h)</t>
  </si>
  <si>
    <t>(i)</t>
  </si>
  <si>
    <t>Forecasted Therm Volumes</t>
  </si>
  <si>
    <t>Schedule</t>
  </si>
  <si>
    <t>31T</t>
  </si>
  <si>
    <t>41T</t>
  </si>
  <si>
    <t>85T</t>
  </si>
  <si>
    <t>86T</t>
  </si>
  <si>
    <t>87T</t>
  </si>
  <si>
    <t>Total Firm</t>
  </si>
  <si>
    <t>Total Interruptible</t>
  </si>
  <si>
    <t>Total Transportation</t>
  </si>
  <si>
    <t>Total Delivered</t>
  </si>
  <si>
    <t>Current Year</t>
  </si>
  <si>
    <t>Pre Tax Long and Short Term Debt</t>
  </si>
  <si>
    <t>Year 38</t>
  </si>
  <si>
    <t>Year 39</t>
  </si>
  <si>
    <t>Year 40</t>
  </si>
  <si>
    <t>Partial Year 41</t>
  </si>
  <si>
    <t>Actual October 2017</t>
  </si>
  <si>
    <t>Per Depreciation Study Adjustment</t>
  </si>
  <si>
    <t>ACCOUNT</t>
  </si>
  <si>
    <t>Pre Jan 1, 2018</t>
  </si>
  <si>
    <t>17 GRC rate, Jan 1, 2018</t>
  </si>
  <si>
    <t>NUMBER</t>
  </si>
  <si>
    <t>%</t>
  </si>
  <si>
    <t xml:space="preserve">MAINS - PLASTIC                           </t>
  </si>
  <si>
    <t>SERVICES - PLASTIC</t>
  </si>
  <si>
    <t>Rate per 2017 GRC Study</t>
  </si>
  <si>
    <t>FERC G376.2</t>
  </si>
  <si>
    <t>FERC G380.2</t>
  </si>
  <si>
    <t>Percent Mains</t>
  </si>
  <si>
    <t>Percent Services</t>
  </si>
  <si>
    <t>Rate per 2007 GRC Study</t>
  </si>
  <si>
    <t>Revenue Sensitive Items Rate</t>
  </si>
  <si>
    <t>2018 Projects 
In Service November to September Actual Costs</t>
  </si>
  <si>
    <t>2018 Projects 
 October Project Forecast</t>
  </si>
  <si>
    <t>Rates beginning November 1, 2019</t>
  </si>
  <si>
    <t>41 years of depr</t>
  </si>
  <si>
    <t>Partial last year due to composite rate</t>
  </si>
  <si>
    <t>2018 - 2019</t>
  </si>
  <si>
    <t>2019 Projects 
In Service November to September Actual Costs</t>
  </si>
  <si>
    <t>WBS</t>
  </si>
  <si>
    <t>Revenue Requirement:</t>
  </si>
  <si>
    <t>Development of Allocation Factors</t>
  </si>
  <si>
    <t>Oper Mains &amp; Services Exp</t>
  </si>
  <si>
    <t>Oper Meter &amp; House Reg</t>
  </si>
  <si>
    <t>2019 - 2020</t>
  </si>
  <si>
    <t>Depreciation, Capital Spendings</t>
  </si>
  <si>
    <t>Total Cost of Service (Capital)</t>
  </si>
  <si>
    <t>CAPITAL</t>
  </si>
  <si>
    <t>Program</t>
  </si>
  <si>
    <t>Depr. Exp</t>
  </si>
  <si>
    <t>Buried Meters replacements</t>
  </si>
  <si>
    <t>R.10015.03.09.15</t>
  </si>
  <si>
    <t>DuPont Pipe Replacement Program</t>
  </si>
  <si>
    <t>O&amp;M</t>
  </si>
  <si>
    <t>Buried Meters mitigations</t>
  </si>
  <si>
    <t>R.99999.04.20.03</t>
  </si>
  <si>
    <t>InfraSource Labor</t>
  </si>
  <si>
    <t>Legacy Cross Bore inspections</t>
  </si>
  <si>
    <t>R.99999.04.37.10</t>
  </si>
  <si>
    <t>HydroMax Labor</t>
  </si>
  <si>
    <t>Legacy Cross Bore repairs</t>
  </si>
  <si>
    <t>R.99999.04.37.11</t>
  </si>
  <si>
    <t>Total for all programs</t>
  </si>
  <si>
    <t>Total O&amp;M Rev Req</t>
  </si>
  <si>
    <t>2019 Projects 
October Project Actuals</t>
  </si>
  <si>
    <t>Mains (FERC 376)</t>
  </si>
  <si>
    <t>Services (FERC 380)</t>
  </si>
  <si>
    <t>Mains &amp; Services Expense (FERC 874)</t>
  </si>
  <si>
    <t>Sch. 149 CRM Rates:</t>
  </si>
  <si>
    <t>2019 GRC Compliance Filing</t>
  </si>
  <si>
    <t>Total True up</t>
  </si>
  <si>
    <t>EXH. SEF-3G page 2 of 3</t>
  </si>
  <si>
    <t>EXH. SEF-3G page 3 of 4</t>
  </si>
  <si>
    <t>PUGET SOUND ENERGY - NATURAL GAS</t>
  </si>
  <si>
    <t>RESULTS OF OPERATIONS</t>
  </si>
  <si>
    <t>2019 GENERAL RATE CASE</t>
  </si>
  <si>
    <t>12 MONTHS ENDED DECEMBER 31, 2018</t>
  </si>
  <si>
    <t>COST OF CAPITAL - PROFORMA</t>
  </si>
  <si>
    <t>CONVERSION FACTOR</t>
  </si>
  <si>
    <t>WEIGHTED</t>
  </si>
  <si>
    <t>STRUCTURE</t>
  </si>
  <si>
    <t>COST</t>
  </si>
  <si>
    <t>SHORT AND LONG TERM DEBT</t>
  </si>
  <si>
    <t>EQUITY</t>
  </si>
  <si>
    <t>TOTAL</t>
  </si>
  <si>
    <t>STATE UTILITY TAX ( 3.8323% - ( LINE 1 * 3.8323% )  )</t>
  </si>
  <si>
    <t>AFTER TAX SHORT TERM DEBT ( (LINE 1)* 79%)</t>
  </si>
  <si>
    <t>TOTAL AFTER TAX COST OF CAPITAL</t>
  </si>
  <si>
    <t>CONVERSION FACTOR EXCLUDING FEDERAL INCOME TAX ( 1 - LINE 6 )</t>
  </si>
  <si>
    <t>FEDERAL INCOME TAX ( LINE 7  * 21% )</t>
  </si>
  <si>
    <t xml:space="preserve">CONVERSION FACTOR INCL FEDERAL INCOME TAX ( LINE 7 - LINE 8 ) </t>
  </si>
  <si>
    <t>Check1</t>
  </si>
  <si>
    <t>Check2</t>
  </si>
  <si>
    <t>check</t>
  </si>
  <si>
    <t>2017 GRC</t>
  </si>
  <si>
    <t>2019 GRC</t>
  </si>
  <si>
    <t>For the Period November 2019 - October 2020</t>
  </si>
  <si>
    <t>(See detail orders in the Summary All Program Orders Oct 2020 Filing)</t>
  </si>
  <si>
    <t xml:space="preserve">O &amp; M </t>
  </si>
  <si>
    <t>Actual (Nov 2019 - Sept 2020)</t>
  </si>
  <si>
    <t>Forecast Est. (October 2020)</t>
  </si>
  <si>
    <t>Total(Nov 2019 -Oct 2020)</t>
  </si>
  <si>
    <t xml:space="preserve">Total O&amp;M </t>
  </si>
  <si>
    <t>Dupont Plastic Replacement</t>
  </si>
  <si>
    <t>Buried Meters Replacements</t>
  </si>
  <si>
    <t>R.99999.03.09.15</t>
  </si>
  <si>
    <t>Total Capital</t>
  </si>
  <si>
    <t>Total O&amp;M + CAPITAL</t>
  </si>
  <si>
    <t>Maint Mains</t>
  </si>
  <si>
    <t>2020 - 2021</t>
  </si>
  <si>
    <t>PSE Labor</t>
  </si>
  <si>
    <t>Remove Legasy Cross Bore in Rates Estimate</t>
  </si>
  <si>
    <t>Total Capital from 2021 CRM tab</t>
  </si>
  <si>
    <t>Support the Depreciation Rate</t>
  </si>
  <si>
    <t>TM Legend</t>
  </si>
  <si>
    <t>AS FILED 10/16/2020</t>
  </si>
  <si>
    <t>TRUE UP FOR OCTOBER 2020 ACTUALS</t>
  </si>
  <si>
    <t>Actual October 2020 Amounts</t>
  </si>
  <si>
    <t>Total Actual CRM Program Year 2019-2020</t>
  </si>
  <si>
    <t>Capital Investment</t>
  </si>
  <si>
    <t>FILED ON OCT 16, 2020</t>
  </si>
  <si>
    <t>Maint Services</t>
  </si>
  <si>
    <t>CAPITAL EXPENSE</t>
  </si>
  <si>
    <t>Maint Meters &amp; House Reg</t>
  </si>
  <si>
    <t>RSI</t>
  </si>
  <si>
    <t>Updated for RSI</t>
  </si>
  <si>
    <t>Mains, FERC 376</t>
  </si>
  <si>
    <t>Services, FERC 380</t>
  </si>
  <si>
    <t>G874</t>
  </si>
  <si>
    <t xml:space="preserve">Mains &amp; Services Expense </t>
  </si>
  <si>
    <t>G887</t>
  </si>
  <si>
    <t>Total 2019 CRM Actuals</t>
  </si>
  <si>
    <t>FERC spread for Capital Project</t>
  </si>
  <si>
    <t xml:space="preserve">FERC </t>
  </si>
  <si>
    <t>Depreciation Exp</t>
  </si>
  <si>
    <t>FERC spread for O&amp;M Project</t>
  </si>
  <si>
    <r>
      <t xml:space="preserve">Remove Buried Meters mitigations in Rates </t>
    </r>
    <r>
      <rPr>
        <b/>
        <sz val="10"/>
        <color rgb="FF0000FF"/>
        <rFont val="Calibri"/>
        <family val="2"/>
        <scheme val="minor"/>
      </rPr>
      <t>(a)</t>
    </r>
  </si>
  <si>
    <r>
      <t xml:space="preserve">Remove Legasy Cross Bore in Rates Estimate </t>
    </r>
    <r>
      <rPr>
        <b/>
        <sz val="10"/>
        <color rgb="FF0000FF"/>
        <rFont val="Calibri"/>
        <family val="2"/>
        <scheme val="minor"/>
      </rPr>
      <t>(b)</t>
    </r>
  </si>
  <si>
    <t>Total CRM Program Year 1</t>
  </si>
  <si>
    <t>Similar to above, Legacy Cross Bore costs were included in the test year of PSE's 2019 GRC. As only approximately 300 inspections were completed in 2018 as compared to over 7,300 in 2020-2021, the costs have significantly increased and PSE is removing the estimated 2018 costs from this filing.</t>
  </si>
  <si>
    <t>Total True up (Capital &amp; O&amp;M)</t>
  </si>
  <si>
    <t>Page 3.04</t>
  </si>
  <si>
    <t>PUGET SOUND ENERGY-ELECTRIC</t>
  </si>
  <si>
    <t>CONVERSION FACTOR - GAS</t>
  </si>
  <si>
    <t>FOR THE TWELVE MONTHS ENDED SEPTEMBER 30, 2016</t>
  </si>
  <si>
    <t>STATE UTILITY TAX - NET OF BAD DEBTS ( 3.8734% - ( LINE 1 * 3.8734%) )</t>
  </si>
  <si>
    <t>CONVERSION FACTOR EXCLUDING FEDERAL INCOME TAX ( 1 - LINE 5)</t>
  </si>
  <si>
    <t>FEDERAL INCOME TAX ( LINE 7 * 35%)</t>
  </si>
  <si>
    <t xml:space="preserve">CONVERSION FACTOR INCL FEDERAL INCOME TAX ( LINE 5 + LINE 8 ) </t>
  </si>
  <si>
    <t>2022 Gas Schedule 149 Cost Recovery Mechanism For Pipeline Replacement (CRM) Filing (PRELIMINARY - August Filing)</t>
  </si>
  <si>
    <t>2022 PROGRAM YEAR</t>
  </si>
  <si>
    <t>August 2022 FILING</t>
  </si>
  <si>
    <t>2019 CRM Program, Year 4</t>
  </si>
  <si>
    <t>2020 CRM Program, Year 3</t>
  </si>
  <si>
    <t>2021 CRM Program, Year 2</t>
  </si>
  <si>
    <t>2021 CRM Program, Year 1 True Up to Actuals</t>
  </si>
  <si>
    <t>2022 CRM Program, Year 1</t>
  </si>
  <si>
    <t>Total Revenue Requirement For Aug 2022 Filing</t>
  </si>
  <si>
    <t>2021 - 2022</t>
  </si>
  <si>
    <t>Actual (Nov 2021 - June 2022)</t>
  </si>
  <si>
    <t>Forecast Est. (July - Oct 2022)</t>
  </si>
  <si>
    <t>PSE included  buried meter mitigation expenses that were included in its historical test year in its 2019 GRC as an offset to  November 2021 - October 2022 buried meter costs.</t>
  </si>
  <si>
    <t>For the Period November 2020 - October 2021</t>
  </si>
  <si>
    <t>(See detail orders in the Summary All Program Orders Oct 2021 Filing)</t>
  </si>
  <si>
    <t>AS FILED 10/18/2021</t>
  </si>
  <si>
    <t>TRUE UP FOR OCTOBER 2021 ACTUALS</t>
  </si>
  <si>
    <t>See CRM Summary Orders Oct 2021 Actual File for FERC Spread support</t>
  </si>
  <si>
    <t>Actual (Nov 2020 - Sept 2021)</t>
  </si>
  <si>
    <t>Forecast Est. (Oct 2021)</t>
  </si>
  <si>
    <t>Total(Nov 2020 -Oct 2021)</t>
  </si>
  <si>
    <t>Actual Oct 31, 2021</t>
  </si>
  <si>
    <t xml:space="preserve">Total Actual Nov 20 - Oct 21 </t>
  </si>
  <si>
    <t>Buried Meters Mitigations</t>
  </si>
  <si>
    <t>Support for remove O&amp;M Legacy Cross Bore in Rates Estimate $82,000</t>
  </si>
  <si>
    <t>RSI Updated</t>
  </si>
  <si>
    <t>True up of 2021 CRM Year One</t>
  </si>
  <si>
    <t>Program Year 2021</t>
  </si>
  <si>
    <t>As  Filed Oct 2021</t>
  </si>
  <si>
    <t>Oct 2021 True Up</t>
  </si>
  <si>
    <t>this tab is from 2021 CAP CRM</t>
  </si>
  <si>
    <t>ORIGINAL 2019 GRC ANNUAL FILING FEE</t>
  </si>
  <si>
    <t>UPDATED ANNUAL FILING FEE FOR YEAR 2022</t>
  </si>
  <si>
    <t>Projected Therms (Nov. 2022 - Oct. 2023)</t>
  </si>
  <si>
    <t>2022 Program Year Allocated Cost of Service</t>
  </si>
  <si>
    <t>2021 Program Year True Up Allocated Cost of Service</t>
  </si>
  <si>
    <t>2021 Program Year (Year 2) Allocated Cost of Service</t>
  </si>
  <si>
    <t>2020 Program Year (Year 3) Allocated Cost of Service</t>
  </si>
  <si>
    <t>2019 Program Year (Year 4) Allocated Cost of Service</t>
  </si>
  <si>
    <t>2022 Gas Schedule 149 CRM (August Preliminary Filing)</t>
  </si>
  <si>
    <t>Rate Change Impacts by Rate Schedule</t>
  </si>
  <si>
    <t>Proposed Rates Effective November 1, 2022</t>
  </si>
  <si>
    <t>Forecasted</t>
  </si>
  <si>
    <t>UG-190530</t>
  </si>
  <si>
    <t>Base Sch.</t>
  </si>
  <si>
    <t>Therms</t>
  </si>
  <si>
    <t>12ME Oct. 2023</t>
  </si>
  <si>
    <t>Sch. 149</t>
  </si>
  <si>
    <t>Rate</t>
  </si>
  <si>
    <t>Base Schedule</t>
  </si>
  <si>
    <t>Nov. 2022 -</t>
  </si>
  <si>
    <t>Sch. 101</t>
  </si>
  <si>
    <t>Sch. 106</t>
  </si>
  <si>
    <t>Sch. 120</t>
  </si>
  <si>
    <t>Sch. 129</t>
  </si>
  <si>
    <t>Sch. 140</t>
  </si>
  <si>
    <t>Sch. 141X</t>
  </si>
  <si>
    <t>Sch. 141Z</t>
  </si>
  <si>
    <t>Sch. 142</t>
  </si>
  <si>
    <t>Total Forecasted</t>
  </si>
  <si>
    <t>Revenue</t>
  </si>
  <si>
    <t>Rate Class</t>
  </si>
  <si>
    <r>
      <t>(Therms)</t>
    </r>
    <r>
      <rPr>
        <vertAlign val="superscript"/>
        <sz val="11"/>
        <color theme="1"/>
        <rFont val="Calibri"/>
        <family val="2"/>
      </rPr>
      <t xml:space="preserve"> (1)</t>
    </r>
  </si>
  <si>
    <r>
      <t>Revenue</t>
    </r>
    <r>
      <rPr>
        <vertAlign val="superscript"/>
        <sz val="11"/>
        <color theme="1"/>
        <rFont val="Calibri"/>
        <family val="2"/>
      </rPr>
      <t xml:space="preserve"> (1)</t>
    </r>
  </si>
  <si>
    <t>$/Therm</t>
  </si>
  <si>
    <t>Oct. 2023</t>
  </si>
  <si>
    <r>
      <t>Revenue</t>
    </r>
    <r>
      <rPr>
        <vertAlign val="superscript"/>
        <sz val="11"/>
        <color theme="1"/>
        <rFont val="Calibri"/>
        <family val="2"/>
        <scheme val="minor"/>
      </rPr>
      <t xml:space="preserve"> (2)</t>
    </r>
  </si>
  <si>
    <t>Change</t>
  </si>
  <si>
    <t>A</t>
  </si>
  <si>
    <t>B</t>
  </si>
  <si>
    <t>C</t>
  </si>
  <si>
    <t>D</t>
  </si>
  <si>
    <t>E</t>
  </si>
  <si>
    <t xml:space="preserve">F </t>
  </si>
  <si>
    <t xml:space="preserve">G=E*F </t>
  </si>
  <si>
    <t>H</t>
  </si>
  <si>
    <t>I</t>
  </si>
  <si>
    <t>J</t>
  </si>
  <si>
    <t>K</t>
  </si>
  <si>
    <t>L</t>
  </si>
  <si>
    <t>M</t>
  </si>
  <si>
    <t>N</t>
  </si>
  <si>
    <t>O</t>
  </si>
  <si>
    <t>P</t>
  </si>
  <si>
    <t>Q = sum(G:P)</t>
  </si>
  <si>
    <t xml:space="preserve">R </t>
  </si>
  <si>
    <t>S= R/Q</t>
  </si>
  <si>
    <t>23,53</t>
  </si>
  <si>
    <t>Residential Gas Lights</t>
  </si>
  <si>
    <t>Commercial &amp; Industrial</t>
  </si>
  <si>
    <t>Large Volume</t>
  </si>
  <si>
    <t>Limited Interruptible</t>
  </si>
  <si>
    <t>Non-exclusive Interruptible</t>
  </si>
  <si>
    <t>Commercial &amp; Industrial Transportation</t>
  </si>
  <si>
    <t>Large Volume Transportation</t>
  </si>
  <si>
    <t>Interruptible Transportation</t>
  </si>
  <si>
    <t>Limited Interruptible Transportation</t>
  </si>
  <si>
    <t>Non-exclusive Interruptible Transportation</t>
  </si>
  <si>
    <t>By Customer Class:</t>
  </si>
  <si>
    <t>16,23,53</t>
  </si>
  <si>
    <t>Commercial &amp; industrial</t>
  </si>
  <si>
    <t>31,31T</t>
  </si>
  <si>
    <t>Large volume</t>
  </si>
  <si>
    <t>41,41T</t>
  </si>
  <si>
    <t>85,85T</t>
  </si>
  <si>
    <t>Limited interruptible</t>
  </si>
  <si>
    <t>86,86T</t>
  </si>
  <si>
    <t>Non-exclusive interruptible</t>
  </si>
  <si>
    <t>87,87T</t>
  </si>
  <si>
    <r>
      <rPr>
        <vertAlign val="superscript"/>
        <sz val="11"/>
        <color theme="1"/>
        <rFont val="Calibri"/>
        <family val="2"/>
      </rPr>
      <t xml:space="preserve">(1) </t>
    </r>
    <r>
      <rPr>
        <sz val="10"/>
        <rFont val="Arial"/>
        <family val="2"/>
      </rPr>
      <t>Weather normalized volume and base schedule margin for 12 months ending December 2018, at approved rates from UG-190530 GRC IRS PLR compliance filing.</t>
    </r>
  </si>
  <si>
    <r>
      <rPr>
        <vertAlign val="superscript"/>
        <sz val="11"/>
        <color theme="1"/>
        <rFont val="Calibri"/>
        <family val="2"/>
      </rPr>
      <t xml:space="preserve">(2) </t>
    </r>
    <r>
      <rPr>
        <sz val="10"/>
        <rFont val="Arial"/>
        <family val="2"/>
      </rPr>
      <t>Forecasted revenues at current rates effective May 1, 2022.</t>
    </r>
  </si>
  <si>
    <t>Typical Residential Bill Impacts</t>
  </si>
  <si>
    <t>Schedule 149 CRM</t>
  </si>
  <si>
    <t>Current Rates</t>
  </si>
  <si>
    <t>Rate Change</t>
  </si>
  <si>
    <r>
      <t>Rates</t>
    </r>
    <r>
      <rPr>
        <vertAlign val="superscript"/>
        <sz val="11"/>
        <rFont val="Calibri"/>
        <family val="2"/>
        <scheme val="minor"/>
      </rPr>
      <t xml:space="preserve"> (1)</t>
    </r>
  </si>
  <si>
    <t>Charges</t>
  </si>
  <si>
    <t>Rates</t>
  </si>
  <si>
    <t>Volume (therms)</t>
  </si>
  <si>
    <t>Customer charge ($/month)</t>
  </si>
  <si>
    <t>Basic charge (Sch. 23)</t>
  </si>
  <si>
    <t>Subtotal</t>
  </si>
  <si>
    <t>Volumetric charges ($/therm)</t>
  </si>
  <si>
    <t>Delivery charge (Sch. 23)</t>
  </si>
  <si>
    <t>Low income charge (Sch. 129)</t>
  </si>
  <si>
    <t>Property tax charge (Sch. 140)</t>
  </si>
  <si>
    <t>EDIT adjusting charge (Sch. 141X)</t>
  </si>
  <si>
    <t>UP EDIT adjusting charge (Sch. 141Z)</t>
  </si>
  <si>
    <t>Decoupling charge (Sch. 142)</t>
  </si>
  <si>
    <t>CRM Charge (Sch. 149)</t>
  </si>
  <si>
    <t>Conservation charge (Sch. 120)</t>
  </si>
  <si>
    <t>Gas cost charge (Sch. 101)</t>
  </si>
  <si>
    <t>Gas cost amort. charge (Sch. 106)</t>
  </si>
  <si>
    <t>Total volumetric charges</t>
  </si>
  <si>
    <t>Total monthly bill</t>
  </si>
  <si>
    <t>Change from bill under current rates</t>
  </si>
  <si>
    <t>Percent change from bill under current rates</t>
  </si>
  <si>
    <t>Total volumetric rates less gas costs</t>
  </si>
  <si>
    <r>
      <rPr>
        <vertAlign val="superscript"/>
        <sz val="11"/>
        <rFont val="Calibri"/>
        <family val="2"/>
        <scheme val="minor"/>
      </rPr>
      <t xml:space="preserve">(1) </t>
    </r>
    <r>
      <rPr>
        <sz val="11"/>
        <rFont val="Calibri"/>
        <family val="2"/>
        <scheme val="minor"/>
      </rPr>
      <t>Rates for Schedule 23 customers in effect May 1, 2022</t>
    </r>
  </si>
  <si>
    <t>Gas Schedule 149</t>
  </si>
  <si>
    <t>Pipeline Replacement Cost Recovery Mechanism (CRM)</t>
  </si>
  <si>
    <t>Current</t>
  </si>
  <si>
    <t>Proposed</t>
  </si>
  <si>
    <t>Sched 149</t>
  </si>
  <si>
    <t>Volume (Therms)</t>
  </si>
  <si>
    <t>Proposed Rates</t>
  </si>
  <si>
    <t>Proposed Effective November 1, 2022</t>
  </si>
  <si>
    <t>Source: F2022 Forecast (2-25-2022)</t>
  </si>
  <si>
    <t>Source: 2019 Gas General Rate Case, Docket UG-190530, PLR Update Cost of Service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</si>
</sst>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0.000000"/>
    <numFmt numFmtId="167" formatCode="0.0%"/>
    <numFmt numFmtId="168" formatCode="&quot;$&quot;#,##0"/>
    <numFmt numFmtId="169" formatCode="0.000%"/>
    <numFmt numFmtId="170" formatCode="_(&quot;$&quot;* #,##0.00_);_(&quot;$&quot;* \(#,##0.00\);_(&quot;$&quot;* &quot;-&quot;_);_(@_)"/>
    <numFmt numFmtId="171" formatCode="_(&quot;$&quot;* #,##0.00000_);_(&quot;$&quot;* \(#,##0.00000\);_(&quot;$&quot;* &quot;-&quot;?????_);_(@_)"/>
    <numFmt numFmtId="172" formatCode="#,##0.000000_);\(#,##0.000000\)"/>
    <numFmt numFmtId="173" formatCode="_(* #,##0_);_(* \(#,##0\);_(* &quot;-&quot;??_);_(@_)"/>
    <numFmt numFmtId="174" formatCode="#,##0.000"/>
    <numFmt numFmtId="175" formatCode="_(* #,##0.00000_);_(* \(#,##0.00000\);_(* &quot;-&quot;??_);_(@_)"/>
    <numFmt numFmtId="176" formatCode="_(* #,##0.0_);_(* \(#,##0.0\);_(* &quot;-&quot;??_);_(@_)"/>
    <numFmt numFmtId="177" formatCode="_(* #,##0.0000_);_(* \(#,##0.0000\);_(* &quot;-&quot;??_);_(@_)"/>
    <numFmt numFmtId="178" formatCode="_(* #,##0.000_);_(* \(#,##0.000\);_(* &quot;-&quot;??_);_(@_)"/>
    <numFmt numFmtId="179" formatCode="_(&quot;$&quot;* #,##0.0_);_(&quot;$&quot;* \(#,##0.0\);_(&quot;$&quot;* &quot;-&quot;??_);_(@_)"/>
    <numFmt numFmtId="180" formatCode="_(&quot;$&quot;* #,##0.00000_);_(&quot;$&quot;* \(#,##0.00000\);_(&quot;$&quot;* &quot;-&quot;??_);_(@_)"/>
  </numFmts>
  <fonts count="7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indexed="8"/>
      <name val="Calibri"/>
      <family val="2"/>
    </font>
    <font>
      <sz val="11"/>
      <color indexed="8"/>
      <name val="Calibri"/>
      <family val="2"/>
      <scheme val="minor"/>
    </font>
    <font>
      <b/>
      <sz val="11"/>
      <color indexed="8"/>
      <name val="Calibri"/>
      <family val="2"/>
    </font>
    <font>
      <b/>
      <sz val="11"/>
      <name val="Arial"/>
      <family val="2"/>
    </font>
    <font>
      <b/>
      <sz val="11"/>
      <name val="Calibri"/>
      <family val="2"/>
    </font>
    <font>
      <sz val="11"/>
      <color indexed="12"/>
      <name val="Calibri"/>
      <family val="2"/>
    </font>
    <font>
      <sz val="11"/>
      <name val="Calibri"/>
      <family val="2"/>
    </font>
    <font>
      <sz val="11"/>
      <name val="Arial"/>
      <family val="2"/>
    </font>
    <font>
      <sz val="10"/>
      <name val="Arial"/>
      <family val="2"/>
    </font>
    <font>
      <b/>
      <sz val="11"/>
      <color theme="1"/>
      <name val="Calibri"/>
      <family val="2"/>
      <scheme val="minor"/>
    </font>
    <font>
      <sz val="8"/>
      <name val="Helv"/>
    </font>
    <font>
      <b/>
      <sz val="10"/>
      <name val="Arial"/>
      <family val="2"/>
    </font>
    <font>
      <sz val="10"/>
      <color theme="1"/>
      <name val="Arial"/>
      <family val="2"/>
    </font>
    <font>
      <b/>
      <sz val="11"/>
      <name val="Calibri"/>
      <family val="2"/>
      <scheme val="minor"/>
    </font>
    <font>
      <b/>
      <sz val="12"/>
      <color theme="1"/>
      <name val="Calibri"/>
      <family val="2"/>
      <scheme val="minor"/>
    </font>
    <font>
      <sz val="12"/>
      <color theme="1"/>
      <name val="Calibri"/>
      <family val="2"/>
      <scheme val="minor"/>
    </font>
    <font>
      <sz val="12"/>
      <color theme="1"/>
      <name val="Arial"/>
      <family val="2"/>
    </font>
    <font>
      <sz val="11"/>
      <color rgb="FF0000FF"/>
      <name val="Calibri"/>
      <family val="2"/>
      <scheme val="minor"/>
    </font>
    <font>
      <sz val="11"/>
      <color rgb="FF008080"/>
      <name val="Calibri"/>
      <family val="2"/>
      <scheme val="minor"/>
    </font>
    <font>
      <sz val="10"/>
      <color rgb="FF008080"/>
      <name val="Arial"/>
      <family val="2"/>
    </font>
    <font>
      <b/>
      <sz val="9"/>
      <name val="Arial"/>
      <family val="2"/>
    </font>
    <font>
      <sz val="9"/>
      <name val="Arial"/>
      <family val="2"/>
    </font>
    <font>
      <sz val="11"/>
      <color rgb="FF0000FF"/>
      <name val="Calibri"/>
      <family val="2"/>
    </font>
    <font>
      <b/>
      <sz val="11"/>
      <color theme="0"/>
      <name val="Calibri"/>
      <family val="2"/>
    </font>
    <font>
      <sz val="11"/>
      <color rgb="FF000000"/>
      <name val="Calibri"/>
      <family val="2"/>
    </font>
    <font>
      <b/>
      <sz val="11"/>
      <color rgb="FF000000"/>
      <name val="Calibri"/>
      <family val="2"/>
    </font>
    <font>
      <sz val="10"/>
      <color rgb="FFFF0000"/>
      <name val="Arial"/>
      <family val="2"/>
    </font>
    <font>
      <b/>
      <sz val="11"/>
      <color rgb="FF0000FF"/>
      <name val="Calibri"/>
      <family val="2"/>
    </font>
    <font>
      <sz val="10"/>
      <color theme="1"/>
      <name val="Calibri"/>
      <family val="2"/>
      <scheme val="minor"/>
    </font>
    <font>
      <b/>
      <sz val="10"/>
      <color theme="1"/>
      <name val="Calibri"/>
      <family val="2"/>
      <scheme val="minor"/>
    </font>
    <font>
      <b/>
      <sz val="11"/>
      <color rgb="FFFF0000"/>
      <name val="Calibri"/>
      <family val="2"/>
    </font>
    <font>
      <sz val="11"/>
      <color rgb="FF0000FF"/>
      <name val="Times New Roman"/>
      <family val="1"/>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9"/>
      <color theme="0" tint="-0.499984740745262"/>
      <name val="Calibri"/>
      <family val="2"/>
      <scheme val="minor"/>
    </font>
    <font>
      <sz val="9"/>
      <color rgb="FF0000FF"/>
      <name val="Calibri"/>
      <family val="2"/>
      <scheme val="minor"/>
    </font>
    <font>
      <b/>
      <sz val="11"/>
      <color rgb="FF0000FF"/>
      <name val="Calibri"/>
      <family val="2"/>
      <scheme val="minor"/>
    </font>
    <font>
      <b/>
      <sz val="8"/>
      <name val="Arial"/>
      <family val="2"/>
    </font>
    <font>
      <sz val="11"/>
      <color theme="0"/>
      <name val="Calibri"/>
      <family val="2"/>
      <scheme val="minor"/>
    </font>
    <font>
      <b/>
      <sz val="9"/>
      <color rgb="FF0000FF"/>
      <name val="Calibri"/>
      <family val="2"/>
    </font>
    <font>
      <b/>
      <sz val="11"/>
      <color indexed="12"/>
      <name val="Calibri"/>
      <family val="2"/>
    </font>
    <font>
      <b/>
      <sz val="10"/>
      <color theme="0"/>
      <name val="Calibri"/>
      <family val="2"/>
      <scheme val="minor"/>
    </font>
    <font>
      <sz val="10"/>
      <color theme="0"/>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name val="Calibri"/>
      <family val="2"/>
      <scheme val="minor"/>
    </font>
    <font>
      <b/>
      <sz val="10"/>
      <color rgb="FF0000FF"/>
      <name val="Calibri"/>
      <family val="2"/>
      <scheme val="minor"/>
    </font>
    <font>
      <sz val="10"/>
      <color theme="0"/>
      <name val="Arial"/>
      <family val="2"/>
    </font>
    <font>
      <b/>
      <u/>
      <sz val="10"/>
      <color theme="1"/>
      <name val="Calibri"/>
      <family val="2"/>
      <scheme val="minor"/>
    </font>
    <font>
      <sz val="10"/>
      <color rgb="FF0000FF"/>
      <name val="Calibri"/>
      <family val="2"/>
      <scheme val="minor"/>
    </font>
    <font>
      <b/>
      <sz val="10"/>
      <name val="Times New Roman"/>
      <family val="1"/>
    </font>
    <font>
      <sz val="10"/>
      <name val="Times New Roman"/>
      <family val="1"/>
    </font>
    <font>
      <b/>
      <sz val="11"/>
      <color rgb="FFFF0000"/>
      <name val="Times New Roman"/>
      <family val="1"/>
    </font>
    <font>
      <sz val="11"/>
      <name val="Times New Roman"/>
      <family val="1"/>
    </font>
    <font>
      <b/>
      <sz val="11"/>
      <name val="Times New Roman"/>
      <family val="1"/>
    </font>
    <font>
      <vertAlign val="superscript"/>
      <sz val="11"/>
      <color theme="1"/>
      <name val="Calibri"/>
      <family val="2"/>
    </font>
    <font>
      <vertAlign val="superscript"/>
      <sz val="11"/>
      <color theme="1"/>
      <name val="Calibri"/>
      <family val="2"/>
      <scheme val="minor"/>
    </font>
    <font>
      <u/>
      <sz val="11"/>
      <name val="Calibri"/>
      <family val="2"/>
    </font>
    <font>
      <vertAlign val="superscript"/>
      <sz val="11"/>
      <name val="Calibri"/>
      <family val="2"/>
      <scheme val="minor"/>
    </font>
    <font>
      <sz val="11"/>
      <color indexed="12"/>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1" tint="0.499984740745262"/>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CCCC"/>
        <bgColor indexed="64"/>
      </patternFill>
    </fill>
  </fills>
  <borders count="57">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21">
    <xf numFmtId="0" fontId="0" fillId="0" borderId="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2" fillId="0" borderId="0"/>
    <xf numFmtId="43" fontId="2" fillId="0" borderId="0" applyFont="0" applyFill="0" applyBorder="0" applyAlignment="0" applyProtection="0"/>
    <xf numFmtId="44" fontId="2" fillId="0" borderId="0" applyFont="0" applyFill="0" applyBorder="0" applyAlignment="0" applyProtection="0"/>
  </cellStyleXfs>
  <cellXfs count="838">
    <xf numFmtId="0" fontId="0" fillId="0" borderId="0" xfId="0"/>
    <xf numFmtId="170" fontId="27" fillId="0" borderId="0" xfId="0" applyNumberFormat="1" applyFont="1" applyFill="1"/>
    <xf numFmtId="171" fontId="27" fillId="0" borderId="0" xfId="0" applyNumberFormat="1" applyFont="1"/>
    <xf numFmtId="42" fontId="27" fillId="0" borderId="0" xfId="0" applyNumberFormat="1" applyFont="1" applyFill="1" applyBorder="1"/>
    <xf numFmtId="42" fontId="27" fillId="0" borderId="0" xfId="0" applyNumberFormat="1" applyFont="1" applyFill="1"/>
    <xf numFmtId="42" fontId="34" fillId="0" borderId="0" xfId="0" applyNumberFormat="1" applyFont="1" applyFill="1" applyBorder="1"/>
    <xf numFmtId="42" fontId="0" fillId="0" borderId="0" xfId="0" applyNumberFormat="1" applyFont="1" applyFill="1" applyBorder="1"/>
    <xf numFmtId="0" fontId="0" fillId="0" borderId="0" xfId="0" applyFont="1" applyFill="1"/>
    <xf numFmtId="0" fontId="0" fillId="0" borderId="0" xfId="0" applyFont="1" applyFill="1" applyAlignment="1"/>
    <xf numFmtId="0" fontId="27" fillId="0" borderId="0" xfId="0" applyFont="1" applyFill="1"/>
    <xf numFmtId="0" fontId="27" fillId="0" borderId="1" xfId="0" applyFont="1" applyBorder="1"/>
    <xf numFmtId="0" fontId="27" fillId="0" borderId="1" xfId="0" applyFont="1" applyBorder="1" applyAlignment="1">
      <alignment horizontal="center"/>
    </xf>
    <xf numFmtId="0" fontId="27" fillId="0" borderId="0" xfId="0" applyFont="1" applyBorder="1" applyAlignment="1">
      <alignment horizontal="center"/>
    </xf>
    <xf numFmtId="0" fontId="27" fillId="0" borderId="0" xfId="0" quotePrefix="1" applyFont="1"/>
    <xf numFmtId="0" fontId="27" fillId="0" borderId="0" xfId="0" applyFont="1" applyAlignment="1">
      <alignment horizontal="centerContinuous"/>
    </xf>
    <xf numFmtId="0" fontId="27" fillId="0" borderId="0" xfId="0" quotePrefix="1" applyFont="1" applyAlignment="1">
      <alignment horizontal="centerContinuous"/>
    </xf>
    <xf numFmtId="0" fontId="27" fillId="0" borderId="0" xfId="0" applyFont="1"/>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19" fillId="0" borderId="0" xfId="0" applyFont="1" applyFill="1" applyAlignment="1" applyProtection="1">
      <alignment horizontal="left"/>
    </xf>
    <xf numFmtId="0" fontId="19" fillId="0" borderId="0" xfId="0" applyFont="1" applyFill="1" applyAlignment="1">
      <alignment vertical="top"/>
    </xf>
    <xf numFmtId="0" fontId="15" fillId="0" borderId="0" xfId="0" applyFont="1" applyFill="1" applyAlignment="1">
      <alignment vertical="top"/>
    </xf>
    <xf numFmtId="0" fontId="17" fillId="0" borderId="0" xfId="0" applyFont="1" applyFill="1" applyAlignment="1">
      <alignment vertical="top"/>
    </xf>
    <xf numFmtId="3" fontId="15" fillId="0" borderId="0" xfId="0" applyNumberFormat="1" applyFont="1" applyFill="1" applyAlignment="1">
      <alignment vertical="top"/>
    </xf>
    <xf numFmtId="0" fontId="19" fillId="0" borderId="0" xfId="0" applyFont="1" applyFill="1" applyAlignment="1">
      <alignment horizontal="left"/>
    </xf>
    <xf numFmtId="0" fontId="19" fillId="0" borderId="3" xfId="0" quotePrefix="1" applyFont="1" applyFill="1" applyBorder="1" applyAlignment="1">
      <alignment horizontal="left" vertical="top"/>
    </xf>
    <xf numFmtId="0" fontId="19" fillId="0" borderId="4" xfId="0" applyFont="1" applyFill="1" applyBorder="1" applyAlignment="1">
      <alignment vertical="top"/>
    </xf>
    <xf numFmtId="0" fontId="15" fillId="0" borderId="4" xfId="0" applyFont="1" applyFill="1" applyBorder="1" applyAlignment="1">
      <alignment vertical="top"/>
    </xf>
    <xf numFmtId="3" fontId="15" fillId="0" borderId="5" xfId="0" applyNumberFormat="1" applyFont="1" applyFill="1" applyBorder="1" applyAlignment="1">
      <alignment vertical="top"/>
    </xf>
    <xf numFmtId="3" fontId="15" fillId="0" borderId="0" xfId="0" applyNumberFormat="1" applyFont="1" applyFill="1" applyBorder="1" applyAlignment="1">
      <alignment vertical="top"/>
    </xf>
    <xf numFmtId="0" fontId="19" fillId="0" borderId="6" xfId="0" applyFont="1" applyFill="1" applyBorder="1" applyAlignment="1">
      <alignment vertical="top"/>
    </xf>
    <xf numFmtId="0" fontId="19" fillId="0" borderId="0" xfId="0" applyFont="1" applyFill="1" applyBorder="1" applyAlignment="1">
      <alignment vertical="top"/>
    </xf>
    <xf numFmtId="0" fontId="15" fillId="0" borderId="0" xfId="0" applyFont="1" applyFill="1" applyBorder="1" applyAlignment="1">
      <alignment vertical="top"/>
    </xf>
    <xf numFmtId="3" fontId="15" fillId="0" borderId="7" xfId="0" applyNumberFormat="1" applyFont="1" applyFill="1" applyBorder="1" applyAlignment="1">
      <alignment vertical="top"/>
    </xf>
    <xf numFmtId="0" fontId="19" fillId="0" borderId="0" xfId="0" applyFont="1" applyFill="1" applyBorder="1" applyAlignment="1">
      <alignment horizontal="center" vertical="top"/>
    </xf>
    <xf numFmtId="0" fontId="19" fillId="0" borderId="7" xfId="0" applyFont="1" applyFill="1" applyBorder="1" applyAlignment="1">
      <alignment horizontal="center" vertical="top"/>
    </xf>
    <xf numFmtId="0" fontId="18" fillId="0" borderId="0" xfId="0" applyFont="1" applyFill="1" applyBorder="1" applyAlignment="1">
      <alignment horizontal="center" vertical="top"/>
    </xf>
    <xf numFmtId="0" fontId="19" fillId="0" borderId="1" xfId="0" applyFont="1" applyFill="1" applyBorder="1" applyAlignment="1">
      <alignment horizontal="center" vertical="top"/>
    </xf>
    <xf numFmtId="0" fontId="19" fillId="0" borderId="8" xfId="0" applyFont="1" applyFill="1" applyBorder="1" applyAlignment="1">
      <alignment horizontal="center" vertical="top"/>
    </xf>
    <xf numFmtId="0" fontId="15" fillId="0" borderId="7" xfId="0" applyFont="1" applyFill="1" applyBorder="1" applyAlignment="1">
      <alignment vertical="top"/>
    </xf>
    <xf numFmtId="42" fontId="15" fillId="0" borderId="0" xfId="0" applyNumberFormat="1" applyFont="1" applyFill="1" applyAlignment="1">
      <alignment vertical="top"/>
    </xf>
    <xf numFmtId="10" fontId="20" fillId="0" borderId="0" xfId="0" applyNumberFormat="1" applyFont="1" applyFill="1" applyBorder="1" applyAlignment="1">
      <alignment vertical="top"/>
    </xf>
    <xf numFmtId="10" fontId="20" fillId="0" borderId="7" xfId="0" applyNumberFormat="1" applyFont="1" applyFill="1" applyBorder="1" applyAlignment="1">
      <alignment vertical="top"/>
    </xf>
    <xf numFmtId="10" fontId="20" fillId="0" borderId="1" xfId="0" applyNumberFormat="1" applyFont="1" applyFill="1" applyBorder="1" applyAlignment="1">
      <alignment vertical="top"/>
    </xf>
    <xf numFmtId="10" fontId="20" fillId="0" borderId="8" xfId="0" applyNumberFormat="1" applyFont="1" applyFill="1" applyBorder="1" applyAlignment="1">
      <alignment vertical="top"/>
    </xf>
    <xf numFmtId="10" fontId="15" fillId="0" borderId="9" xfId="0" applyNumberFormat="1" applyFont="1" applyFill="1" applyBorder="1" applyAlignment="1">
      <alignment vertical="top"/>
    </xf>
    <xf numFmtId="10" fontId="15" fillId="0" borderId="0" xfId="0" applyNumberFormat="1" applyFont="1" applyFill="1" applyBorder="1" applyAlignment="1">
      <alignment vertical="top"/>
    </xf>
    <xf numFmtId="10" fontId="15" fillId="0" borderId="10" xfId="0" applyNumberFormat="1" applyFont="1" applyFill="1" applyBorder="1" applyAlignment="1">
      <alignment vertical="top"/>
    </xf>
    <xf numFmtId="3" fontId="20" fillId="0" borderId="7" xfId="0" applyNumberFormat="1" applyFont="1" applyFill="1" applyBorder="1" applyAlignment="1">
      <alignment vertical="top"/>
    </xf>
    <xf numFmtId="0" fontId="19" fillId="0" borderId="11" xfId="0" applyFont="1" applyFill="1" applyBorder="1" applyAlignment="1">
      <alignment vertical="top"/>
    </xf>
    <xf numFmtId="0" fontId="19" fillId="0" borderId="2" xfId="0" applyFont="1" applyFill="1" applyBorder="1" applyAlignment="1">
      <alignment vertical="top"/>
    </xf>
    <xf numFmtId="0" fontId="15" fillId="0" borderId="2" xfId="0" applyFont="1" applyFill="1" applyBorder="1" applyAlignment="1">
      <alignment vertical="top"/>
    </xf>
    <xf numFmtId="0" fontId="18" fillId="0" borderId="0" xfId="0" applyFont="1" applyFill="1" applyAlignment="1">
      <alignment vertical="top"/>
    </xf>
    <xf numFmtId="3" fontId="15" fillId="0" borderId="0" xfId="0" applyNumberFormat="1" applyFont="1" applyFill="1" applyAlignment="1" applyProtection="1">
      <alignment vertical="top"/>
      <protection hidden="1"/>
    </xf>
    <xf numFmtId="3" fontId="19" fillId="2" borderId="1" xfId="0" quotePrefix="1" applyNumberFormat="1" applyFont="1" applyFill="1" applyBorder="1" applyAlignment="1">
      <alignment horizontal="center" vertical="top"/>
    </xf>
    <xf numFmtId="3" fontId="19" fillId="0" borderId="1" xfId="0" quotePrefix="1" applyNumberFormat="1" applyFont="1" applyFill="1" applyBorder="1" applyAlignment="1">
      <alignment horizontal="center" vertical="top"/>
    </xf>
    <xf numFmtId="42" fontId="14" fillId="2" borderId="0" xfId="0" applyNumberFormat="1" applyFont="1" applyFill="1" applyAlignment="1">
      <alignment vertical="top"/>
    </xf>
    <xf numFmtId="44" fontId="14" fillId="0" borderId="0" xfId="0" applyNumberFormat="1" applyFont="1" applyFill="1" applyAlignment="1">
      <alignment vertical="top"/>
    </xf>
    <xf numFmtId="42" fontId="14" fillId="2" borderId="1" xfId="0" applyNumberFormat="1" applyFont="1" applyFill="1" applyBorder="1" applyAlignment="1">
      <alignment vertical="top"/>
    </xf>
    <xf numFmtId="42" fontId="14" fillId="2" borderId="0" xfId="0" applyNumberFormat="1" applyFont="1" applyFill="1" applyBorder="1" applyAlignment="1">
      <alignment vertical="top"/>
    </xf>
    <xf numFmtId="3" fontId="14" fillId="0" borderId="0" xfId="0" applyNumberFormat="1" applyFont="1" applyFill="1" applyAlignment="1">
      <alignment vertical="top"/>
    </xf>
    <xf numFmtId="5" fontId="14" fillId="2" borderId="0" xfId="0" applyNumberFormat="1" applyFont="1" applyFill="1" applyAlignment="1">
      <alignment vertical="top"/>
    </xf>
    <xf numFmtId="5" fontId="14" fillId="0" borderId="0" xfId="0" applyNumberFormat="1" applyFont="1" applyFill="1" applyAlignment="1">
      <alignment vertical="top"/>
    </xf>
    <xf numFmtId="10" fontId="14" fillId="2" borderId="0" xfId="0" applyNumberFormat="1" applyFont="1" applyFill="1" applyAlignment="1">
      <alignment vertical="top"/>
    </xf>
    <xf numFmtId="0" fontId="19" fillId="0" borderId="0" xfId="0" quotePrefix="1" applyFont="1" applyFill="1" applyAlignment="1">
      <alignment horizontal="left" vertical="top"/>
    </xf>
    <xf numFmtId="0" fontId="21" fillId="0" borderId="0" xfId="0" applyFont="1" applyFill="1" applyAlignment="1">
      <alignment vertical="top"/>
    </xf>
    <xf numFmtId="10" fontId="14" fillId="0" borderId="0" xfId="0" applyNumberFormat="1" applyFont="1" applyFill="1" applyAlignment="1" applyProtection="1">
      <alignment vertical="top"/>
    </xf>
    <xf numFmtId="10" fontId="20" fillId="0" borderId="0" xfId="0" applyNumberFormat="1" applyFont="1" applyFill="1" applyAlignment="1">
      <alignment vertical="top"/>
    </xf>
    <xf numFmtId="0" fontId="22" fillId="0" borderId="0" xfId="0" applyFont="1" applyFill="1" applyAlignment="1">
      <alignment vertical="top"/>
    </xf>
    <xf numFmtId="10" fontId="21" fillId="0" borderId="0" xfId="0" applyNumberFormat="1" applyFont="1" applyFill="1" applyAlignment="1" applyProtection="1">
      <alignment vertical="top"/>
    </xf>
    <xf numFmtId="10" fontId="14" fillId="0" borderId="0" xfId="0" applyNumberFormat="1" applyFont="1" applyFill="1"/>
    <xf numFmtId="10" fontId="22" fillId="0" borderId="0" xfId="0" applyNumberFormat="1" applyFont="1" applyFill="1" applyAlignment="1">
      <alignment vertical="top"/>
    </xf>
    <xf numFmtId="0" fontId="20" fillId="0" borderId="0" xfId="0" applyFont="1" applyFill="1" applyAlignment="1">
      <alignment vertical="top"/>
    </xf>
    <xf numFmtId="0" fontId="13" fillId="0" borderId="0" xfId="0" applyFont="1" applyFill="1"/>
    <xf numFmtId="0" fontId="16" fillId="0" borderId="0" xfId="0" applyFont="1" applyFill="1" applyAlignment="1">
      <alignment vertical="top"/>
    </xf>
    <xf numFmtId="42" fontId="20" fillId="2" borderId="12" xfId="0" applyNumberFormat="1" applyFont="1" applyFill="1" applyBorder="1" applyAlignment="1">
      <alignment vertical="top"/>
    </xf>
    <xf numFmtId="164" fontId="14" fillId="0" borderId="0" xfId="0" applyNumberFormat="1" applyFont="1" applyFill="1" applyAlignment="1" applyProtection="1">
      <alignment vertical="top"/>
    </xf>
    <xf numFmtId="164" fontId="14" fillId="2" borderId="0" xfId="0" applyNumberFormat="1" applyFont="1" applyFill="1" applyAlignment="1" applyProtection="1">
      <alignment vertical="top"/>
    </xf>
    <xf numFmtId="164" fontId="14" fillId="0" borderId="0" xfId="0" applyNumberFormat="1" applyFont="1" applyFill="1"/>
    <xf numFmtId="164" fontId="20" fillId="0" borderId="0" xfId="0" applyNumberFormat="1" applyFont="1" applyFill="1" applyAlignment="1">
      <alignment vertical="top"/>
    </xf>
    <xf numFmtId="164" fontId="21" fillId="2" borderId="0" xfId="0" applyNumberFormat="1" applyFont="1" applyFill="1" applyAlignment="1" applyProtection="1">
      <alignment vertical="top"/>
    </xf>
    <xf numFmtId="0" fontId="12" fillId="0" borderId="0" xfId="0" applyFont="1"/>
    <xf numFmtId="0" fontId="12" fillId="0" borderId="0" xfId="0" applyFont="1" applyBorder="1" applyAlignment="1">
      <alignment horizontal="center"/>
    </xf>
    <xf numFmtId="0" fontId="12" fillId="0" borderId="1" xfId="0" applyFont="1" applyBorder="1" applyAlignment="1">
      <alignment horizontal="center"/>
    </xf>
    <xf numFmtId="42" fontId="12" fillId="0" borderId="0" xfId="0" applyNumberFormat="1" applyFont="1"/>
    <xf numFmtId="0" fontId="12" fillId="0" borderId="0" xfId="0" applyFont="1" applyFill="1"/>
    <xf numFmtId="0" fontId="14" fillId="0" borderId="0" xfId="0" applyFont="1" applyFill="1"/>
    <xf numFmtId="42" fontId="12" fillId="0" borderId="0" xfId="0" applyNumberFormat="1" applyFont="1" applyFill="1"/>
    <xf numFmtId="42" fontId="12" fillId="0" borderId="15" xfId="0" applyNumberFormat="1" applyFont="1" applyFill="1" applyBorder="1"/>
    <xf numFmtId="42" fontId="12" fillId="0" borderId="0" xfId="0" applyNumberFormat="1" applyFont="1" applyFill="1" applyBorder="1"/>
    <xf numFmtId="42" fontId="12" fillId="0" borderId="15" xfId="0" applyNumberFormat="1" applyFont="1" applyBorder="1"/>
    <xf numFmtId="165" fontId="14" fillId="0" borderId="0" xfId="0" applyNumberFormat="1" applyFont="1" applyFill="1"/>
    <xf numFmtId="42" fontId="14" fillId="0" borderId="15" xfId="0" applyNumberFormat="1" applyFont="1" applyFill="1" applyBorder="1"/>
    <xf numFmtId="167" fontId="12" fillId="0" borderId="0" xfId="0" applyNumberFormat="1" applyFont="1"/>
    <xf numFmtId="0" fontId="12" fillId="0" borderId="0" xfId="0" applyFont="1" applyBorder="1" applyAlignment="1">
      <alignment horizontal="left"/>
    </xf>
    <xf numFmtId="0" fontId="12" fillId="0" borderId="0" xfId="0" applyFont="1" applyAlignment="1">
      <alignment horizontal="left"/>
    </xf>
    <xf numFmtId="0" fontId="11" fillId="0" borderId="0" xfId="0" applyFont="1"/>
    <xf numFmtId="0" fontId="11" fillId="0" borderId="0" xfId="0" applyFont="1" applyAlignment="1">
      <alignment horizontal="centerContinuous"/>
    </xf>
    <xf numFmtId="0" fontId="11" fillId="0" borderId="1" xfId="0" applyFont="1" applyBorder="1" applyAlignment="1">
      <alignment horizontal="center"/>
    </xf>
    <xf numFmtId="0" fontId="11" fillId="0" borderId="0" xfId="0" applyFont="1" applyAlignment="1">
      <alignment horizontal="left"/>
    </xf>
    <xf numFmtId="3" fontId="11" fillId="0" borderId="0" xfId="0" applyNumberFormat="1" applyFont="1"/>
    <xf numFmtId="3" fontId="11" fillId="0" borderId="15" xfId="0" applyNumberFormat="1" applyFont="1" applyBorder="1"/>
    <xf numFmtId="3" fontId="11" fillId="0" borderId="1" xfId="0" applyNumberFormat="1" applyFont="1" applyBorder="1"/>
    <xf numFmtId="0" fontId="13" fillId="0" borderId="0" xfId="0" applyFont="1" applyAlignment="1">
      <alignment horizontal="left"/>
    </xf>
    <xf numFmtId="173" fontId="13" fillId="0" borderId="0" xfId="0" applyNumberFormat="1" applyFont="1"/>
    <xf numFmtId="0" fontId="19" fillId="2" borderId="1" xfId="0" quotePrefix="1" applyNumberFormat="1" applyFont="1" applyFill="1" applyBorder="1" applyAlignment="1">
      <alignment horizontal="center" vertical="top"/>
    </xf>
    <xf numFmtId="174" fontId="14" fillId="2" borderId="0" xfId="0" applyNumberFormat="1" applyFont="1" applyFill="1" applyAlignment="1">
      <alignment vertical="top"/>
    </xf>
    <xf numFmtId="3" fontId="13" fillId="2" borderId="0" xfId="0" applyNumberFormat="1" applyFont="1" applyFill="1" applyAlignment="1">
      <alignment vertical="top"/>
    </xf>
    <xf numFmtId="0" fontId="23" fillId="0" borderId="14" xfId="0" applyFont="1" applyFill="1" applyBorder="1"/>
    <xf numFmtId="42" fontId="23" fillId="0" borderId="14" xfId="0" applyNumberFormat="1" applyFont="1" applyFill="1" applyBorder="1"/>
    <xf numFmtId="42" fontId="26" fillId="0" borderId="21" xfId="0" applyNumberFormat="1" applyFont="1" applyFill="1" applyBorder="1"/>
    <xf numFmtId="0" fontId="23" fillId="0" borderId="0" xfId="0" applyFont="1" applyFill="1"/>
    <xf numFmtId="41" fontId="23" fillId="0" borderId="0" xfId="0" applyNumberFormat="1" applyFont="1" applyFill="1"/>
    <xf numFmtId="0" fontId="29" fillId="0" borderId="0" xfId="0" applyFont="1" applyFill="1" applyAlignment="1">
      <alignment horizontal="centerContinuous"/>
    </xf>
    <xf numFmtId="0" fontId="29" fillId="0" borderId="0" xfId="0" applyFont="1" applyFill="1" applyAlignment="1">
      <alignment horizontal="center"/>
    </xf>
    <xf numFmtId="3" fontId="19" fillId="0" borderId="1" xfId="0" applyNumberFormat="1" applyFont="1" applyFill="1" applyBorder="1" applyAlignment="1">
      <alignment horizontal="center" vertical="top"/>
    </xf>
    <xf numFmtId="0" fontId="19" fillId="0" borderId="0" xfId="0" applyFont="1" applyAlignment="1">
      <alignment vertical="top"/>
    </xf>
    <xf numFmtId="3" fontId="0" fillId="0" borderId="0" xfId="0" applyNumberFormat="1" applyFont="1" applyFill="1" applyAlignment="1" applyProtection="1">
      <alignment vertical="top"/>
      <protection hidden="1"/>
    </xf>
    <xf numFmtId="0" fontId="19" fillId="0" borderId="0" xfId="0" applyFont="1" applyAlignment="1">
      <alignment horizontal="center" vertical="top"/>
    </xf>
    <xf numFmtId="42" fontId="14" fillId="0" borderId="0" xfId="0" applyNumberFormat="1" applyFont="1" applyFill="1" applyBorder="1" applyAlignment="1">
      <alignment vertical="top"/>
    </xf>
    <xf numFmtId="42" fontId="14" fillId="0" borderId="1" xfId="0" applyNumberFormat="1" applyFont="1" applyFill="1" applyBorder="1" applyAlignment="1">
      <alignment vertical="top"/>
    </xf>
    <xf numFmtId="10" fontId="14" fillId="0" borderId="0" xfId="0" applyNumberFormat="1" applyFont="1" applyFill="1" applyAlignment="1">
      <alignment vertical="top"/>
    </xf>
    <xf numFmtId="42" fontId="14" fillId="0" borderId="0" xfId="0" applyNumberFormat="1" applyFont="1" applyFill="1" applyAlignment="1">
      <alignment vertical="top"/>
    </xf>
    <xf numFmtId="37" fontId="14" fillId="0" borderId="0" xfId="0" applyNumberFormat="1" applyFont="1" applyFill="1" applyAlignment="1">
      <alignment vertical="top"/>
    </xf>
    <xf numFmtId="169" fontId="14" fillId="0" borderId="0" xfId="0" applyNumberFormat="1" applyFont="1" applyFill="1" applyAlignment="1" applyProtection="1">
      <alignment vertical="top"/>
    </xf>
    <xf numFmtId="43" fontId="15" fillId="0" borderId="0" xfId="0" applyNumberFormat="1" applyFont="1" applyFill="1" applyAlignment="1">
      <alignment vertical="top"/>
    </xf>
    <xf numFmtId="10" fontId="15" fillId="0" borderId="0" xfId="0" applyNumberFormat="1" applyFont="1" applyFill="1" applyAlignment="1">
      <alignment vertical="top"/>
    </xf>
    <xf numFmtId="0" fontId="31" fillId="0" borderId="0" xfId="0" applyFont="1"/>
    <xf numFmtId="169" fontId="31" fillId="0" borderId="0" xfId="0" applyNumberFormat="1" applyFont="1"/>
    <xf numFmtId="0" fontId="31" fillId="0" borderId="0" xfId="0" applyFont="1" applyBorder="1" applyAlignment="1">
      <alignment horizontal="center"/>
    </xf>
    <xf numFmtId="0" fontId="31" fillId="0" borderId="0" xfId="0" applyFont="1" applyAlignment="1">
      <alignment horizontal="center"/>
    </xf>
    <xf numFmtId="0" fontId="31" fillId="0" borderId="14" xfId="0" applyFont="1" applyBorder="1" applyAlignment="1">
      <alignment horizontal="left"/>
    </xf>
    <xf numFmtId="164" fontId="31" fillId="0" borderId="14" xfId="0" applyNumberFormat="1" applyFont="1" applyBorder="1" applyAlignment="1">
      <alignment vertical="center" wrapText="1"/>
    </xf>
    <xf numFmtId="0" fontId="38" fillId="3" borderId="0" xfId="0" applyFont="1" applyFill="1" applyBorder="1" applyAlignment="1">
      <alignment horizontal="centerContinuous" vertical="top"/>
    </xf>
    <xf numFmtId="3" fontId="38" fillId="3" borderId="7" xfId="0" applyNumberFormat="1" applyFont="1" applyFill="1" applyBorder="1" applyAlignment="1">
      <alignment horizontal="centerContinuous" vertical="top"/>
    </xf>
    <xf numFmtId="0" fontId="15" fillId="0" borderId="0" xfId="0" applyFont="1" applyFill="1" applyAlignment="1">
      <alignment horizontal="center" vertical="top"/>
    </xf>
    <xf numFmtId="42" fontId="16" fillId="0" borderId="0" xfId="0" applyNumberFormat="1" applyFont="1" applyFill="1" applyAlignment="1">
      <alignment vertical="top"/>
    </xf>
    <xf numFmtId="165" fontId="14" fillId="0" borderId="0" xfId="0" applyNumberFormat="1" applyFont="1" applyFill="1" applyBorder="1" applyAlignment="1">
      <alignment vertical="top"/>
    </xf>
    <xf numFmtId="165" fontId="14" fillId="0" borderId="14" xfId="0" applyNumberFormat="1" applyFont="1" applyFill="1" applyBorder="1"/>
    <xf numFmtId="10" fontId="14" fillId="0" borderId="14" xfId="0" applyNumberFormat="1" applyFont="1" applyFill="1" applyBorder="1" applyAlignment="1"/>
    <xf numFmtId="41" fontId="23" fillId="0" borderId="22" xfId="0" applyNumberFormat="1" applyFont="1" applyFill="1" applyBorder="1"/>
    <xf numFmtId="0" fontId="14" fillId="0" borderId="0" xfId="0" applyFont="1" applyFill="1" applyAlignment="1">
      <alignment vertical="top"/>
    </xf>
    <xf numFmtId="42" fontId="33" fillId="0" borderId="0" xfId="0" applyNumberFormat="1" applyFont="1"/>
    <xf numFmtId="0" fontId="23" fillId="0" borderId="0" xfId="0" applyFont="1"/>
    <xf numFmtId="17" fontId="24" fillId="0" borderId="13" xfId="0" applyNumberFormat="1" applyFont="1" applyFill="1" applyBorder="1" applyAlignment="1">
      <alignment horizontal="centerContinuous"/>
    </xf>
    <xf numFmtId="0" fontId="14" fillId="0" borderId="18" xfId="0" applyFont="1" applyFill="1" applyBorder="1"/>
    <xf numFmtId="0" fontId="24" fillId="0" borderId="14" xfId="0" applyFont="1" applyFill="1" applyBorder="1" applyAlignment="1">
      <alignment horizontal="center" vertical="center" wrapText="1"/>
    </xf>
    <xf numFmtId="0" fontId="14" fillId="0" borderId="18" xfId="0" applyFont="1" applyFill="1" applyBorder="1" applyAlignment="1">
      <alignment horizontal="center" wrapText="1"/>
    </xf>
    <xf numFmtId="0" fontId="30" fillId="0" borderId="19" xfId="0" applyFont="1" applyFill="1" applyBorder="1"/>
    <xf numFmtId="168" fontId="14" fillId="0" borderId="14" xfId="0" applyNumberFormat="1" applyFont="1" applyFill="1" applyBorder="1"/>
    <xf numFmtId="0" fontId="25" fillId="0" borderId="0" xfId="0" applyNumberFormat="1" applyFont="1" applyFill="1" applyAlignment="1"/>
    <xf numFmtId="0" fontId="24" fillId="0" borderId="0" xfId="0" applyFont="1" applyFill="1" applyAlignment="1">
      <alignment horizontal="centerContinuous"/>
    </xf>
    <xf numFmtId="0" fontId="14" fillId="0" borderId="14" xfId="0" applyFont="1" applyFill="1" applyBorder="1" applyAlignment="1">
      <alignment horizontal="center" wrapText="1"/>
    </xf>
    <xf numFmtId="0" fontId="28" fillId="0" borderId="14" xfId="0" applyFont="1" applyFill="1" applyBorder="1" applyAlignment="1">
      <alignment horizontal="center"/>
    </xf>
    <xf numFmtId="43" fontId="14" fillId="0" borderId="14" xfId="0" applyNumberFormat="1" applyFont="1" applyFill="1" applyBorder="1" applyAlignment="1"/>
    <xf numFmtId="0" fontId="14" fillId="0" borderId="14" xfId="0" applyNumberFormat="1" applyFont="1" applyFill="1" applyBorder="1" applyAlignment="1"/>
    <xf numFmtId="0" fontId="28" fillId="0" borderId="14" xfId="0" applyNumberFormat="1" applyFont="1" applyFill="1" applyBorder="1" applyAlignment="1"/>
    <xf numFmtId="0" fontId="27" fillId="0" borderId="0" xfId="0" applyFont="1" applyAlignment="1">
      <alignment horizontal="center"/>
    </xf>
    <xf numFmtId="0" fontId="27" fillId="0" borderId="0" xfId="0" applyFont="1" applyFill="1" applyAlignment="1">
      <alignment horizontal="center"/>
    </xf>
    <xf numFmtId="42" fontId="27" fillId="0" borderId="15" xfId="0" applyNumberFormat="1" applyFont="1" applyFill="1" applyBorder="1"/>
    <xf numFmtId="0" fontId="9" fillId="0" borderId="0" xfId="0" applyFont="1"/>
    <xf numFmtId="0" fontId="9" fillId="0" borderId="0" xfId="0" applyFont="1" applyFill="1"/>
    <xf numFmtId="0" fontId="14" fillId="0" borderId="0" xfId="0" applyFont="1" applyFill="1" applyBorder="1" applyAlignment="1">
      <alignment vertical="top"/>
    </xf>
    <xf numFmtId="10" fontId="14" fillId="0" borderId="1" xfId="0" applyNumberFormat="1" applyFont="1" applyFill="1" applyBorder="1" applyAlignment="1">
      <alignment vertical="top"/>
    </xf>
    <xf numFmtId="0" fontId="12" fillId="0" borderId="0" xfId="0" applyFont="1" applyFill="1" applyAlignment="1">
      <alignment horizontal="center"/>
    </xf>
    <xf numFmtId="0" fontId="41" fillId="0" borderId="0" xfId="0" applyFont="1"/>
    <xf numFmtId="0" fontId="41" fillId="0" borderId="0" xfId="0" applyFont="1" applyFill="1"/>
    <xf numFmtId="0" fontId="13" fillId="0" borderId="0" xfId="0" applyFont="1"/>
    <xf numFmtId="165" fontId="13" fillId="0" borderId="0" xfId="0" applyNumberFormat="1" applyFont="1"/>
    <xf numFmtId="0" fontId="42" fillId="0" borderId="4" xfId="0" applyFont="1" applyFill="1" applyBorder="1" applyAlignment="1">
      <alignment vertical="top"/>
    </xf>
    <xf numFmtId="10" fontId="37" fillId="0" borderId="10" xfId="0" applyNumberFormat="1" applyFont="1" applyFill="1" applyBorder="1" applyAlignment="1">
      <alignment vertical="top"/>
    </xf>
    <xf numFmtId="3" fontId="45" fillId="0" borderId="0" xfId="0" applyNumberFormat="1" applyFont="1" applyFill="1" applyAlignment="1">
      <alignment vertical="top"/>
    </xf>
    <xf numFmtId="42" fontId="29" fillId="0" borderId="27" xfId="0" applyNumberFormat="1" applyFont="1" applyFill="1" applyBorder="1" applyAlignment="1">
      <alignment horizontal="left"/>
    </xf>
    <xf numFmtId="0" fontId="19" fillId="0" borderId="9" xfId="0" applyFont="1" applyFill="1" applyBorder="1" applyAlignment="1">
      <alignment vertical="top"/>
    </xf>
    <xf numFmtId="3" fontId="14" fillId="0" borderId="9" xfId="0" applyNumberFormat="1" applyFont="1" applyFill="1" applyBorder="1" applyAlignment="1">
      <alignment vertical="top"/>
    </xf>
    <xf numFmtId="0" fontId="46" fillId="0" borderId="0" xfId="0" applyFont="1" applyFill="1"/>
    <xf numFmtId="0" fontId="47" fillId="0" borderId="0" xfId="0" applyFont="1" applyFill="1"/>
    <xf numFmtId="0" fontId="48" fillId="0" borderId="19" xfId="0" applyFont="1" applyFill="1" applyBorder="1" applyAlignment="1">
      <alignment horizontal="centerContinuous"/>
    </xf>
    <xf numFmtId="0" fontId="48" fillId="0" borderId="29" xfId="0" applyFont="1" applyFill="1" applyBorder="1" applyAlignment="1">
      <alignment horizontal="centerContinuous"/>
    </xf>
    <xf numFmtId="0" fontId="48" fillId="0" borderId="0" xfId="0" applyFont="1" applyFill="1" applyAlignment="1">
      <alignment horizontal="centerContinuous"/>
    </xf>
    <xf numFmtId="0" fontId="47" fillId="0" borderId="0" xfId="0" applyFont="1" applyFill="1" applyAlignment="1">
      <alignment horizontal="centerContinuous"/>
    </xf>
    <xf numFmtId="0" fontId="49" fillId="0" borderId="0" xfId="0" applyNumberFormat="1" applyFont="1" applyFill="1" applyAlignment="1">
      <alignment horizontal="center"/>
    </xf>
    <xf numFmtId="0" fontId="49" fillId="0" borderId="0" xfId="0" applyFont="1" applyFill="1" applyAlignment="1">
      <alignment horizontal="center"/>
    </xf>
    <xf numFmtId="0" fontId="50" fillId="0" borderId="0" xfId="0" applyFont="1" applyFill="1"/>
    <xf numFmtId="0" fontId="49" fillId="0" borderId="1" xfId="0" applyNumberFormat="1" applyFont="1" applyFill="1" applyBorder="1" applyAlignment="1">
      <alignment horizontal="center"/>
    </xf>
    <xf numFmtId="0" fontId="49" fillId="0" borderId="1" xfId="0" applyFont="1" applyFill="1" applyBorder="1" applyAlignment="1">
      <alignment horizontal="center"/>
    </xf>
    <xf numFmtId="0" fontId="50" fillId="0" borderId="1" xfId="0" applyFont="1" applyFill="1" applyBorder="1"/>
    <xf numFmtId="0" fontId="47" fillId="0" borderId="0" xfId="0" applyNumberFormat="1" applyFont="1" applyFill="1" applyAlignment="1">
      <alignment horizontal="center"/>
    </xf>
    <xf numFmtId="0" fontId="47" fillId="0" borderId="0" xfId="0" applyNumberFormat="1" applyFont="1" applyFill="1" applyAlignment="1"/>
    <xf numFmtId="10" fontId="47" fillId="0" borderId="0" xfId="0" applyNumberFormat="1" applyFont="1" applyFill="1"/>
    <xf numFmtId="0" fontId="47" fillId="0" borderId="0" xfId="0" applyNumberFormat="1" applyFont="1" applyFill="1" applyAlignment="1">
      <alignment horizontal="left"/>
    </xf>
    <xf numFmtId="166" fontId="47" fillId="0" borderId="0" xfId="0" applyNumberFormat="1" applyFont="1" applyFill="1" applyAlignment="1"/>
    <xf numFmtId="10" fontId="47" fillId="0" borderId="15" xfId="0" applyNumberFormat="1" applyFont="1" applyFill="1" applyBorder="1"/>
    <xf numFmtId="0" fontId="47" fillId="0" borderId="15" xfId="0" applyFont="1" applyFill="1" applyBorder="1"/>
    <xf numFmtId="10" fontId="47" fillId="5" borderId="15" xfId="0" applyNumberFormat="1" applyFont="1" applyFill="1" applyBorder="1"/>
    <xf numFmtId="164" fontId="47" fillId="0" borderId="0" xfId="0" applyNumberFormat="1" applyFont="1" applyFill="1" applyAlignment="1"/>
    <xf numFmtId="166" fontId="47" fillId="0" borderId="1" xfId="0" applyNumberFormat="1" applyFont="1" applyFill="1" applyBorder="1" applyAlignment="1"/>
    <xf numFmtId="166" fontId="47" fillId="0" borderId="0" xfId="0" applyNumberFormat="1" applyFont="1" applyFill="1" applyBorder="1" applyAlignment="1"/>
    <xf numFmtId="9" fontId="47" fillId="0" borderId="0" xfId="0" applyNumberFormat="1" applyFont="1" applyFill="1" applyAlignment="1"/>
    <xf numFmtId="166" fontId="48" fillId="0" borderId="28" xfId="0" applyNumberFormat="1" applyFont="1" applyFill="1" applyBorder="1" applyAlignment="1" applyProtection="1">
      <protection locked="0"/>
    </xf>
    <xf numFmtId="173" fontId="47" fillId="0" borderId="0" xfId="0" applyNumberFormat="1" applyFont="1" applyFill="1"/>
    <xf numFmtId="179" fontId="14" fillId="0" borderId="0" xfId="0" applyNumberFormat="1" applyFont="1" applyFill="1"/>
    <xf numFmtId="0" fontId="51" fillId="0" borderId="0" xfId="0" applyFont="1" applyAlignment="1">
      <alignment horizontal="right"/>
    </xf>
    <xf numFmtId="176" fontId="51" fillId="0" borderId="0" xfId="0" applyNumberFormat="1" applyFont="1"/>
    <xf numFmtId="3" fontId="15" fillId="0" borderId="30" xfId="0" applyNumberFormat="1" applyFont="1" applyFill="1" applyBorder="1" applyAlignment="1">
      <alignment vertical="top"/>
    </xf>
    <xf numFmtId="0" fontId="38" fillId="3" borderId="0" xfId="0" applyFont="1" applyFill="1" applyBorder="1" applyAlignment="1">
      <alignment horizontal="left" vertical="top"/>
    </xf>
    <xf numFmtId="3" fontId="38" fillId="3" borderId="25" xfId="0" applyNumberFormat="1" applyFont="1" applyFill="1" applyBorder="1" applyAlignment="1">
      <alignment horizontal="centerContinuous" vertical="top"/>
    </xf>
    <xf numFmtId="0" fontId="19" fillId="0" borderId="25" xfId="0" applyFont="1" applyFill="1" applyBorder="1" applyAlignment="1">
      <alignment horizontal="center" vertical="top"/>
    </xf>
    <xf numFmtId="0" fontId="19" fillId="0" borderId="31" xfId="0" applyFont="1" applyFill="1" applyBorder="1" applyAlignment="1">
      <alignment horizontal="center" vertical="top"/>
    </xf>
    <xf numFmtId="0" fontId="15" fillId="0" borderId="25" xfId="0" applyFont="1" applyFill="1" applyBorder="1" applyAlignment="1">
      <alignment vertical="top"/>
    </xf>
    <xf numFmtId="10" fontId="20" fillId="0" borderId="25" xfId="0" applyNumberFormat="1" applyFont="1" applyFill="1" applyBorder="1" applyAlignment="1">
      <alignment vertical="top"/>
    </xf>
    <xf numFmtId="10" fontId="20" fillId="0" borderId="31" xfId="0" applyNumberFormat="1" applyFont="1" applyFill="1" applyBorder="1" applyAlignment="1">
      <alignment vertical="top"/>
    </xf>
    <xf numFmtId="44" fontId="15" fillId="0" borderId="0" xfId="0" applyNumberFormat="1" applyFont="1" applyFill="1" applyAlignment="1">
      <alignment vertical="top"/>
    </xf>
    <xf numFmtId="10" fontId="37" fillId="0" borderId="32" xfId="0" applyNumberFormat="1" applyFont="1" applyFill="1" applyBorder="1" applyAlignment="1">
      <alignment vertical="top"/>
    </xf>
    <xf numFmtId="10" fontId="20" fillId="0" borderId="33" xfId="0" applyNumberFormat="1" applyFont="1" applyFill="1" applyBorder="1" applyAlignment="1">
      <alignment vertical="top"/>
    </xf>
    <xf numFmtId="3" fontId="20" fillId="0" borderId="0" xfId="0" applyNumberFormat="1" applyFont="1" applyFill="1" applyBorder="1" applyAlignment="1">
      <alignment vertical="top"/>
    </xf>
    <xf numFmtId="42" fontId="20" fillId="0" borderId="0" xfId="0" applyNumberFormat="1" applyFont="1" applyFill="1" applyBorder="1" applyAlignment="1">
      <alignment vertical="top"/>
    </xf>
    <xf numFmtId="0" fontId="0" fillId="0" borderId="0" xfId="0" applyFill="1"/>
    <xf numFmtId="0" fontId="28" fillId="0" borderId="3" xfId="0" applyFont="1" applyFill="1" applyBorder="1" applyAlignment="1">
      <alignment horizontal="centerContinuous"/>
    </xf>
    <xf numFmtId="0" fontId="18" fillId="0" borderId="4" xfId="0" applyFont="1" applyFill="1" applyBorder="1" applyAlignment="1">
      <alignment horizontal="centerContinuous"/>
    </xf>
    <xf numFmtId="0" fontId="18" fillId="0" borderId="5" xfId="0" applyFont="1" applyFill="1" applyBorder="1" applyAlignment="1">
      <alignment horizontal="centerContinuous"/>
    </xf>
    <xf numFmtId="0" fontId="35" fillId="0" borderId="6" xfId="0" applyFont="1" applyFill="1" applyBorder="1" applyAlignment="1">
      <alignment horizontal="center"/>
    </xf>
    <xf numFmtId="0" fontId="35" fillId="0" borderId="0" xfId="0" applyFont="1" applyFill="1" applyBorder="1" applyAlignment="1">
      <alignment horizontal="center"/>
    </xf>
    <xf numFmtId="43" fontId="35" fillId="0" borderId="0" xfId="0" applyNumberFormat="1" applyFont="1" applyFill="1" applyBorder="1" applyAlignment="1">
      <alignment horizontal="center" wrapText="1"/>
    </xf>
    <xf numFmtId="0" fontId="35" fillId="0" borderId="7" xfId="0" applyFont="1" applyFill="1" applyBorder="1" applyAlignment="1">
      <alignment horizontal="center" wrapText="1"/>
    </xf>
    <xf numFmtId="43" fontId="35" fillId="0" borderId="0" xfId="0" applyNumberFormat="1" applyFont="1" applyFill="1" applyBorder="1" applyAlignment="1">
      <alignment horizontal="center"/>
    </xf>
    <xf numFmtId="0" fontId="35" fillId="0" borderId="7" xfId="0" applyFont="1" applyFill="1" applyBorder="1" applyAlignment="1">
      <alignment horizontal="center"/>
    </xf>
    <xf numFmtId="0" fontId="36" fillId="0" borderId="6" xfId="0" applyFont="1" applyFill="1" applyBorder="1"/>
    <xf numFmtId="0" fontId="36" fillId="0" borderId="0" xfId="0" applyFont="1" applyFill="1" applyBorder="1"/>
    <xf numFmtId="0" fontId="36" fillId="0" borderId="7" xfId="0" applyFont="1" applyFill="1" applyBorder="1"/>
    <xf numFmtId="0" fontId="36" fillId="0" borderId="6" xfId="0" applyFont="1" applyFill="1" applyBorder="1" applyAlignment="1">
      <alignment horizontal="left"/>
    </xf>
    <xf numFmtId="10" fontId="36" fillId="0" borderId="0" xfId="0" applyNumberFormat="1" applyFont="1" applyFill="1" applyBorder="1"/>
    <xf numFmtId="10" fontId="36" fillId="0" borderId="7" xfId="0" applyNumberFormat="1" applyFont="1" applyFill="1" applyBorder="1"/>
    <xf numFmtId="0" fontId="36" fillId="0" borderId="11" xfId="0" applyFont="1" applyFill="1" applyBorder="1" applyAlignment="1">
      <alignment horizontal="left"/>
    </xf>
    <xf numFmtId="0" fontId="36" fillId="0" borderId="2" xfId="0" applyFont="1" applyFill="1" applyBorder="1"/>
    <xf numFmtId="10" fontId="36" fillId="0" borderId="2" xfId="0" applyNumberFormat="1" applyFont="1" applyFill="1" applyBorder="1"/>
    <xf numFmtId="10" fontId="36" fillId="0" borderId="12" xfId="0" applyNumberFormat="1" applyFont="1" applyFill="1" applyBorder="1"/>
    <xf numFmtId="0" fontId="24" fillId="0" borderId="13" xfId="0" applyFont="1" applyFill="1" applyBorder="1" applyAlignment="1">
      <alignment horizontal="centerContinuous"/>
    </xf>
    <xf numFmtId="0" fontId="24" fillId="0" borderId="0" xfId="0" applyFont="1" applyFill="1" applyBorder="1" applyAlignment="1">
      <alignment horizontal="center" vertical="center" wrapText="1"/>
    </xf>
    <xf numFmtId="165" fontId="14" fillId="0" borderId="0" xfId="0" applyNumberFormat="1" applyFont="1" applyFill="1" applyBorder="1"/>
    <xf numFmtId="168" fontId="14" fillId="0" borderId="0" xfId="0" applyNumberFormat="1" applyFont="1" applyFill="1" applyBorder="1"/>
    <xf numFmtId="0" fontId="0" fillId="0" borderId="0" xfId="0" applyFont="1" applyFill="1" applyAlignment="1">
      <alignment horizontal="centerContinuous"/>
    </xf>
    <xf numFmtId="0" fontId="8" fillId="0" borderId="0" xfId="0" applyFont="1" applyFill="1" applyAlignment="1"/>
    <xf numFmtId="0" fontId="8" fillId="0" borderId="0" xfId="0" applyFont="1" applyFill="1" applyAlignment="1">
      <alignment horizontal="centerContinuous"/>
    </xf>
    <xf numFmtId="0" fontId="14" fillId="0" borderId="0" xfId="0" applyFont="1" applyFill="1" applyAlignment="1">
      <alignment horizontal="centerContinuous"/>
    </xf>
    <xf numFmtId="0" fontId="10" fillId="0" borderId="0" xfId="0" applyFont="1" applyAlignment="1">
      <alignment horizontal="centerContinuous"/>
    </xf>
    <xf numFmtId="0" fontId="12" fillId="0" borderId="0" xfId="0" applyFont="1" applyAlignment="1">
      <alignment horizontal="centerContinuous"/>
    </xf>
    <xf numFmtId="0" fontId="7" fillId="0" borderId="0" xfId="0" applyFont="1" applyAlignment="1">
      <alignment horizontal="centerContinuous"/>
    </xf>
    <xf numFmtId="0" fontId="7" fillId="0" borderId="0" xfId="0" applyFont="1" applyFill="1" applyAlignment="1">
      <alignment horizontal="centerContinuous"/>
    </xf>
    <xf numFmtId="0" fontId="7" fillId="0" borderId="0" xfId="0" applyFont="1" applyAlignment="1">
      <alignment horizontal="left"/>
    </xf>
    <xf numFmtId="0" fontId="7" fillId="0" borderId="0" xfId="0" applyFont="1"/>
    <xf numFmtId="42" fontId="7" fillId="0" borderId="0" xfId="0" applyNumberFormat="1" applyFont="1"/>
    <xf numFmtId="167" fontId="7" fillId="0" borderId="0" xfId="0" applyNumberFormat="1" applyFont="1"/>
    <xf numFmtId="0" fontId="41" fillId="0" borderId="0" xfId="0" applyFont="1" applyAlignment="1">
      <alignment horizontal="center"/>
    </xf>
    <xf numFmtId="0" fontId="26" fillId="0" borderId="0" xfId="0" applyFont="1" applyFill="1" applyAlignment="1">
      <alignment horizontal="centerContinuous"/>
    </xf>
    <xf numFmtId="43" fontId="11" fillId="0" borderId="0" xfId="0" applyNumberFormat="1" applyFont="1"/>
    <xf numFmtId="0" fontId="24" fillId="0" borderId="0" xfId="0" applyFont="1"/>
    <xf numFmtId="0" fontId="54" fillId="0" borderId="0" xfId="0" applyFont="1" applyFill="1"/>
    <xf numFmtId="42" fontId="23" fillId="0" borderId="22" xfId="0" applyNumberFormat="1" applyFont="1" applyFill="1" applyBorder="1"/>
    <xf numFmtId="0" fontId="26" fillId="0" borderId="24" xfId="0" applyFont="1" applyFill="1" applyBorder="1"/>
    <xf numFmtId="0" fontId="14" fillId="0" borderId="14" xfId="0" applyFont="1" applyFill="1" applyBorder="1"/>
    <xf numFmtId="3" fontId="56" fillId="0" borderId="1" xfId="0" applyNumberFormat="1" applyFont="1" applyFill="1" applyBorder="1" applyAlignment="1">
      <alignment horizontal="center" vertical="top"/>
    </xf>
    <xf numFmtId="0" fontId="19" fillId="0" borderId="0" xfId="0" applyFont="1" applyBorder="1" applyAlignment="1">
      <alignment vertical="top"/>
    </xf>
    <xf numFmtId="3" fontId="19" fillId="0" borderId="0" xfId="0" applyNumberFormat="1" applyFont="1" applyFill="1" applyBorder="1" applyAlignment="1">
      <alignment horizontal="center" vertical="top"/>
    </xf>
    <xf numFmtId="0" fontId="19" fillId="0" borderId="16" xfId="0" applyFont="1" applyFill="1" applyBorder="1" applyAlignment="1">
      <alignment vertical="top"/>
    </xf>
    <xf numFmtId="0" fontId="19" fillId="0" borderId="13" xfId="0" applyFont="1" applyFill="1" applyBorder="1" applyAlignment="1">
      <alignment vertical="top"/>
    </xf>
    <xf numFmtId="44" fontId="14" fillId="0" borderId="0" xfId="0" applyNumberFormat="1" applyFont="1" applyFill="1"/>
    <xf numFmtId="0" fontId="24" fillId="0" borderId="0" xfId="0" applyFont="1" applyFill="1" applyBorder="1"/>
    <xf numFmtId="42" fontId="6" fillId="0" borderId="15" xfId="0" applyNumberFormat="1" applyFont="1" applyFill="1" applyBorder="1"/>
    <xf numFmtId="42" fontId="6" fillId="0" borderId="0" xfId="0" applyNumberFormat="1" applyFont="1" applyFill="1" applyBorder="1"/>
    <xf numFmtId="17" fontId="32" fillId="0" borderId="1" xfId="0" applyNumberFormat="1" applyFont="1" applyFill="1" applyBorder="1" applyAlignment="1">
      <alignment horizontal="center"/>
    </xf>
    <xf numFmtId="17" fontId="6" fillId="0" borderId="1" xfId="0" applyNumberFormat="1" applyFont="1" applyFill="1" applyBorder="1" applyAlignment="1">
      <alignment horizontal="center"/>
    </xf>
    <xf numFmtId="0" fontId="6" fillId="0" borderId="0" xfId="0" applyFont="1" applyAlignment="1">
      <alignment horizontal="centerContinuous"/>
    </xf>
    <xf numFmtId="0" fontId="6" fillId="0" borderId="0" xfId="0" applyFont="1"/>
    <xf numFmtId="42" fontId="57" fillId="2" borderId="49" xfId="0" applyNumberFormat="1" applyFont="1" applyFill="1" applyBorder="1" applyAlignment="1">
      <alignment vertical="top"/>
    </xf>
    <xf numFmtId="10" fontId="43" fillId="0" borderId="14" xfId="4" applyNumberFormat="1" applyFont="1" applyFill="1" applyBorder="1"/>
    <xf numFmtId="0" fontId="43" fillId="0" borderId="14" xfId="4" applyFont="1" applyFill="1" applyBorder="1"/>
    <xf numFmtId="0" fontId="63" fillId="0" borderId="43" xfId="0" applyNumberFormat="1" applyFont="1" applyFill="1" applyBorder="1" applyAlignment="1"/>
    <xf numFmtId="0" fontId="63" fillId="0" borderId="0" xfId="0" applyNumberFormat="1" applyFont="1" applyFill="1" applyBorder="1" applyAlignment="1"/>
    <xf numFmtId="0" fontId="65" fillId="4" borderId="0" xfId="0" applyFont="1" applyFill="1" applyAlignment="1">
      <alignment horizontal="centerContinuous"/>
    </xf>
    <xf numFmtId="10" fontId="61" fillId="0" borderId="14" xfId="0" applyNumberFormat="1" applyFont="1" applyFill="1" applyBorder="1"/>
    <xf numFmtId="0" fontId="64" fillId="0" borderId="14" xfId="0" applyFont="1" applyFill="1" applyBorder="1"/>
    <xf numFmtId="165" fontId="44" fillId="0" borderId="53" xfId="2" applyNumberFormat="1" applyFont="1" applyFill="1" applyBorder="1"/>
    <xf numFmtId="0" fontId="61" fillId="0" borderId="0" xfId="0" applyFont="1"/>
    <xf numFmtId="0" fontId="58" fillId="4" borderId="0" xfId="0" applyFont="1" applyFill="1" applyAlignment="1">
      <alignment horizontal="centerContinuous"/>
    </xf>
    <xf numFmtId="0" fontId="64" fillId="0" borderId="3" xfId="0" applyFont="1" applyFill="1" applyBorder="1" applyAlignment="1">
      <alignment horizontal="centerContinuous"/>
    </xf>
    <xf numFmtId="0" fontId="63" fillId="0" borderId="4" xfId="0" applyFont="1" applyFill="1" applyBorder="1" applyAlignment="1">
      <alignment horizontal="centerContinuous"/>
    </xf>
    <xf numFmtId="0" fontId="63" fillId="0" borderId="5" xfId="0" applyFont="1" applyFill="1" applyBorder="1" applyAlignment="1">
      <alignment horizontal="centerContinuous"/>
    </xf>
    <xf numFmtId="0" fontId="63" fillId="0" borderId="44" xfId="0" applyFont="1" applyFill="1" applyBorder="1" applyAlignment="1">
      <alignment horizontal="center"/>
    </xf>
    <xf numFmtId="0" fontId="63" fillId="0" borderId="15" xfId="0" applyFont="1" applyFill="1" applyBorder="1" applyAlignment="1">
      <alignment horizontal="center"/>
    </xf>
    <xf numFmtId="43" fontId="63" fillId="0" borderId="15" xfId="0" applyNumberFormat="1" applyFont="1" applyFill="1" applyBorder="1" applyAlignment="1">
      <alignment horizontal="center" wrapText="1"/>
    </xf>
    <xf numFmtId="0" fontId="63" fillId="0" borderId="45" xfId="0" applyFont="1" applyFill="1" applyBorder="1" applyAlignment="1">
      <alignment horizontal="center" wrapText="1"/>
    </xf>
    <xf numFmtId="0" fontId="63" fillId="0" borderId="46" xfId="0" applyFont="1" applyFill="1" applyBorder="1" applyAlignment="1">
      <alignment horizontal="center"/>
    </xf>
    <xf numFmtId="0" fontId="63" fillId="0" borderId="1" xfId="0" applyFont="1" applyFill="1" applyBorder="1" applyAlignment="1">
      <alignment horizontal="center"/>
    </xf>
    <xf numFmtId="43" fontId="63" fillId="0" borderId="1" xfId="0" applyNumberFormat="1" applyFont="1" applyFill="1" applyBorder="1" applyAlignment="1">
      <alignment horizontal="center"/>
    </xf>
    <xf numFmtId="0" fontId="63" fillId="0" borderId="8" xfId="0" applyFont="1" applyFill="1" applyBorder="1" applyAlignment="1">
      <alignment horizontal="center"/>
    </xf>
    <xf numFmtId="0" fontId="61" fillId="0" borderId="6" xfId="0" applyFont="1" applyFill="1" applyBorder="1"/>
    <xf numFmtId="0" fontId="61" fillId="0" borderId="0" xfId="0" applyFont="1" applyFill="1" applyBorder="1"/>
    <xf numFmtId="43" fontId="63" fillId="0" borderId="0" xfId="0" applyNumberFormat="1" applyFont="1" applyFill="1" applyBorder="1" applyAlignment="1">
      <alignment horizontal="center"/>
    </xf>
    <xf numFmtId="0" fontId="61" fillId="0" borderId="7" xfId="0" applyFont="1" applyFill="1" applyBorder="1"/>
    <xf numFmtId="0" fontId="61" fillId="0" borderId="6" xfId="0" applyFont="1" applyFill="1" applyBorder="1" applyAlignment="1">
      <alignment horizontal="left"/>
    </xf>
    <xf numFmtId="10" fontId="61" fillId="0" borderId="0" xfId="0" applyNumberFormat="1" applyFont="1" applyFill="1" applyBorder="1"/>
    <xf numFmtId="10" fontId="61" fillId="0" borderId="7" xfId="0" applyNumberFormat="1" applyFont="1" applyFill="1" applyBorder="1"/>
    <xf numFmtId="0" fontId="61" fillId="0" borderId="11" xfId="0" applyFont="1" applyFill="1" applyBorder="1" applyAlignment="1">
      <alignment horizontal="left"/>
    </xf>
    <xf numFmtId="0" fontId="61" fillId="0" borderId="2" xfId="0" applyFont="1" applyFill="1" applyBorder="1"/>
    <xf numFmtId="10" fontId="61" fillId="0" borderId="2" xfId="0" applyNumberFormat="1" applyFont="1" applyFill="1" applyBorder="1"/>
    <xf numFmtId="10" fontId="61" fillId="0" borderId="12" xfId="0" applyNumberFormat="1" applyFont="1" applyFill="1" applyBorder="1"/>
    <xf numFmtId="0" fontId="29" fillId="0" borderId="0" xfId="7" applyFont="1"/>
    <xf numFmtId="0" fontId="5" fillId="0" borderId="0" xfId="7"/>
    <xf numFmtId="0" fontId="5" fillId="0" borderId="0" xfId="7" applyFill="1"/>
    <xf numFmtId="0" fontId="52" fillId="0" borderId="16" xfId="7" applyFont="1" applyBorder="1"/>
    <xf numFmtId="0" fontId="5" fillId="0" borderId="13" xfId="7" applyBorder="1"/>
    <xf numFmtId="0" fontId="53" fillId="0" borderId="13" xfId="7" applyFont="1" applyFill="1" applyBorder="1" applyAlignment="1">
      <alignment horizontal="centerContinuous"/>
    </xf>
    <xf numFmtId="0" fontId="32" fillId="0" borderId="17" xfId="7" applyFont="1" applyFill="1" applyBorder="1" applyAlignment="1">
      <alignment horizontal="centerContinuous"/>
    </xf>
    <xf numFmtId="0" fontId="5" fillId="0" borderId="0" xfId="7" applyFill="1" applyAlignment="1">
      <alignment horizontal="centerContinuous"/>
    </xf>
    <xf numFmtId="0" fontId="38" fillId="4" borderId="16" xfId="7" applyFont="1" applyFill="1" applyBorder="1" applyAlignment="1">
      <alignment horizontal="centerContinuous" vertical="center"/>
    </xf>
    <xf numFmtId="0" fontId="55" fillId="4" borderId="13" xfId="7" applyFont="1" applyFill="1" applyBorder="1" applyAlignment="1">
      <alignment horizontal="centerContinuous"/>
    </xf>
    <xf numFmtId="0" fontId="55" fillId="4" borderId="17" xfId="7" applyFont="1" applyFill="1" applyBorder="1" applyAlignment="1">
      <alignment horizontal="centerContinuous"/>
    </xf>
    <xf numFmtId="0" fontId="55" fillId="0" borderId="0" xfId="7" applyFont="1" applyFill="1" applyBorder="1" applyAlignment="1">
      <alignment horizontal="centerContinuous"/>
    </xf>
    <xf numFmtId="0" fontId="55" fillId="4" borderId="6" xfId="7" applyFont="1" applyFill="1" applyBorder="1" applyAlignment="1">
      <alignment horizontal="centerContinuous"/>
    </xf>
    <xf numFmtId="0" fontId="55" fillId="4" borderId="0" xfId="7" applyFont="1" applyFill="1" applyBorder="1" applyAlignment="1">
      <alignment horizontal="centerContinuous"/>
    </xf>
    <xf numFmtId="0" fontId="55" fillId="4" borderId="7" xfId="7" applyFont="1" applyFill="1" applyBorder="1" applyAlignment="1">
      <alignment horizontal="centerContinuous"/>
    </xf>
    <xf numFmtId="0" fontId="40" fillId="0" borderId="34" xfId="7" applyFont="1" applyFill="1" applyBorder="1" applyAlignment="1">
      <alignment horizontal="center" vertical="center"/>
    </xf>
    <xf numFmtId="0" fontId="40" fillId="0" borderId="14" xfId="7" applyFont="1" applyFill="1" applyBorder="1" applyAlignment="1">
      <alignment horizontal="center" vertical="center"/>
    </xf>
    <xf numFmtId="0" fontId="24" fillId="0" borderId="14" xfId="7" applyFont="1" applyFill="1" applyBorder="1" applyAlignment="1">
      <alignment horizontal="center" wrapText="1"/>
    </xf>
    <xf numFmtId="0" fontId="24" fillId="0" borderId="35" xfId="7" applyFont="1" applyFill="1" applyBorder="1" applyAlignment="1">
      <alignment wrapText="1"/>
    </xf>
    <xf numFmtId="0" fontId="24" fillId="0" borderId="47" xfId="7" applyFont="1" applyFill="1" applyBorder="1" applyAlignment="1">
      <alignment wrapText="1"/>
    </xf>
    <xf numFmtId="0" fontId="24" fillId="6" borderId="34" xfId="7" applyFont="1" applyFill="1" applyBorder="1" applyAlignment="1">
      <alignment horizontal="center" wrapText="1"/>
    </xf>
    <xf numFmtId="0" fontId="24" fillId="0" borderId="19" xfId="7" applyFont="1" applyFill="1" applyBorder="1" applyAlignment="1">
      <alignment horizontal="center" wrapText="1"/>
    </xf>
    <xf numFmtId="0" fontId="5" fillId="0" borderId="54" xfId="8" applyFill="1" applyBorder="1" applyAlignment="1">
      <alignment wrapText="1"/>
    </xf>
    <xf numFmtId="0" fontId="5" fillId="0" borderId="22" xfId="8" applyFill="1" applyBorder="1" applyAlignment="1">
      <alignment wrapText="1"/>
    </xf>
    <xf numFmtId="0" fontId="39" fillId="0" borderId="34" xfId="7" applyFont="1" applyFill="1" applyBorder="1" applyAlignment="1">
      <alignment vertical="center"/>
    </xf>
    <xf numFmtId="0" fontId="39" fillId="0" borderId="14" xfId="7" applyFont="1" applyFill="1" applyBorder="1" applyAlignment="1">
      <alignment vertical="center"/>
    </xf>
    <xf numFmtId="173" fontId="0" fillId="0" borderId="14" xfId="9" applyNumberFormat="1" applyFont="1" applyFill="1" applyBorder="1"/>
    <xf numFmtId="173" fontId="5" fillId="0" borderId="14" xfId="7" applyNumberFormat="1" applyFill="1" applyBorder="1"/>
    <xf numFmtId="173" fontId="0" fillId="0" borderId="36" xfId="9" applyNumberFormat="1" applyFont="1" applyFill="1" applyBorder="1"/>
    <xf numFmtId="173" fontId="0" fillId="0" borderId="1" xfId="9" applyNumberFormat="1" applyFont="1" applyFill="1" applyBorder="1"/>
    <xf numFmtId="173" fontId="5" fillId="0" borderId="34" xfId="7" applyNumberFormat="1" applyFill="1" applyBorder="1"/>
    <xf numFmtId="173" fontId="0" fillId="0" borderId="42" xfId="9" applyNumberFormat="1" applyFont="1" applyFill="1" applyBorder="1"/>
    <xf numFmtId="0" fontId="14" fillId="0" borderId="0" xfId="7" applyFont="1" applyFill="1"/>
    <xf numFmtId="0" fontId="5" fillId="0" borderId="14" xfId="0" applyFont="1" applyFill="1" applyBorder="1"/>
    <xf numFmtId="9" fontId="5" fillId="0" borderId="55" xfId="3" applyFont="1" applyFill="1" applyBorder="1"/>
    <xf numFmtId="9" fontId="5" fillId="0" borderId="18" xfId="3" applyFont="1" applyFill="1" applyBorder="1"/>
    <xf numFmtId="0" fontId="39" fillId="0" borderId="34" xfId="4" applyFont="1" applyBorder="1" applyAlignment="1">
      <alignment vertical="center"/>
    </xf>
    <xf numFmtId="0" fontId="39" fillId="0" borderId="19" xfId="4" applyFont="1" applyFill="1" applyBorder="1" applyAlignment="1">
      <alignment vertical="center"/>
    </xf>
    <xf numFmtId="173" fontId="0" fillId="0" borderId="26" xfId="9" applyNumberFormat="1" applyFont="1" applyFill="1" applyBorder="1"/>
    <xf numFmtId="173" fontId="0" fillId="0" borderId="37" xfId="9" applyNumberFormat="1" applyFont="1" applyFill="1" applyBorder="1"/>
    <xf numFmtId="173" fontId="0" fillId="0" borderId="15" xfId="9" applyNumberFormat="1" applyFont="1" applyFill="1" applyBorder="1"/>
    <xf numFmtId="173" fontId="0" fillId="0" borderId="41" xfId="9" applyNumberFormat="1" applyFont="1" applyFill="1" applyBorder="1"/>
    <xf numFmtId="173" fontId="0" fillId="0" borderId="48" xfId="9" applyNumberFormat="1" applyFont="1" applyFill="1" applyBorder="1"/>
    <xf numFmtId="0" fontId="5" fillId="0" borderId="42" xfId="7" applyFill="1" applyBorder="1"/>
    <xf numFmtId="9" fontId="5" fillId="0" borderId="56" xfId="8" applyNumberFormat="1" applyFill="1" applyBorder="1"/>
    <xf numFmtId="0" fontId="40" fillId="0" borderId="38" xfId="7" applyFont="1" applyFill="1" applyBorder="1" applyAlignment="1">
      <alignment vertical="center"/>
    </xf>
    <xf numFmtId="0" fontId="40" fillId="0" borderId="18" xfId="7" applyFont="1" applyFill="1" applyBorder="1" applyAlignment="1">
      <alignment vertical="center"/>
    </xf>
    <xf numFmtId="173" fontId="24" fillId="0" borderId="18" xfId="9" applyNumberFormat="1" applyFont="1" applyFill="1" applyBorder="1"/>
    <xf numFmtId="43" fontId="24" fillId="0" borderId="18" xfId="7" applyNumberFormat="1" applyFont="1" applyFill="1" applyBorder="1"/>
    <xf numFmtId="173" fontId="24" fillId="0" borderId="36" xfId="9" applyNumberFormat="1" applyFont="1" applyFill="1" applyBorder="1"/>
    <xf numFmtId="173" fontId="24" fillId="0" borderId="1" xfId="9" applyNumberFormat="1" applyFont="1" applyFill="1" applyBorder="1"/>
    <xf numFmtId="43" fontId="24" fillId="0" borderId="38" xfId="7" applyNumberFormat="1" applyFont="1" applyFill="1" applyBorder="1"/>
    <xf numFmtId="173" fontId="24" fillId="0" borderId="42" xfId="9" applyNumberFormat="1" applyFont="1" applyFill="1" applyBorder="1"/>
    <xf numFmtId="0" fontId="40" fillId="0" borderId="34" xfId="7" applyFont="1" applyFill="1" applyBorder="1" applyAlignment="1">
      <alignment vertical="center"/>
    </xf>
    <xf numFmtId="10" fontId="40" fillId="0" borderId="14" xfId="7" applyNumberFormat="1" applyFont="1" applyFill="1" applyBorder="1" applyAlignment="1">
      <alignment vertical="center"/>
    </xf>
    <xf numFmtId="173" fontId="26" fillId="0" borderId="14" xfId="9" applyNumberFormat="1" applyFont="1" applyFill="1" applyBorder="1"/>
    <xf numFmtId="173" fontId="24" fillId="0" borderId="14" xfId="7" applyNumberFormat="1" applyFont="1" applyFill="1" applyBorder="1"/>
    <xf numFmtId="173" fontId="26" fillId="0" borderId="36" xfId="9" applyNumberFormat="1" applyFont="1" applyFill="1" applyBorder="1"/>
    <xf numFmtId="173" fontId="26" fillId="0" borderId="1" xfId="9" applyNumberFormat="1" applyFont="1" applyFill="1" applyBorder="1"/>
    <xf numFmtId="173" fontId="24" fillId="0" borderId="34" xfId="7" applyNumberFormat="1" applyFont="1" applyFill="1" applyBorder="1"/>
    <xf numFmtId="173" fontId="26" fillId="0" borderId="42" xfId="9" applyNumberFormat="1" applyFont="1" applyFill="1" applyBorder="1"/>
    <xf numFmtId="0" fontId="40" fillId="0" borderId="6" xfId="7" applyFont="1" applyFill="1" applyBorder="1" applyAlignment="1">
      <alignment vertical="center"/>
    </xf>
    <xf numFmtId="0" fontId="40" fillId="0" borderId="0" xfId="7" applyFont="1" applyFill="1" applyBorder="1" applyAlignment="1">
      <alignment vertical="center"/>
    </xf>
    <xf numFmtId="173" fontId="24" fillId="0" borderId="0" xfId="9" applyNumberFormat="1" applyFont="1" applyFill="1" applyBorder="1"/>
    <xf numFmtId="43" fontId="24" fillId="0" borderId="0" xfId="7" applyNumberFormat="1" applyFont="1" applyFill="1" applyBorder="1"/>
    <xf numFmtId="173" fontId="24" fillId="0" borderId="7" xfId="9" applyNumberFormat="1" applyFont="1" applyFill="1" applyBorder="1"/>
    <xf numFmtId="43" fontId="24" fillId="0" borderId="6" xfId="7" applyNumberFormat="1" applyFont="1" applyFill="1" applyBorder="1"/>
    <xf numFmtId="0" fontId="5" fillId="0" borderId="6" xfId="7" applyFill="1" applyBorder="1"/>
    <xf numFmtId="0" fontId="5" fillId="0" borderId="0" xfId="7" applyFill="1" applyBorder="1"/>
    <xf numFmtId="0" fontId="5" fillId="0" borderId="7" xfId="7" applyFill="1" applyBorder="1"/>
    <xf numFmtId="0" fontId="5" fillId="4" borderId="17" xfId="7" applyFill="1" applyBorder="1" applyAlignment="1">
      <alignment horizontal="centerContinuous"/>
    </xf>
    <xf numFmtId="0" fontId="40" fillId="0" borderId="39" xfId="7" applyFont="1" applyFill="1" applyBorder="1" applyAlignment="1">
      <alignment horizontal="center" vertical="center"/>
    </xf>
    <xf numFmtId="0" fontId="40" fillId="0" borderId="40" xfId="7" applyFont="1" applyFill="1" applyBorder="1" applyAlignment="1">
      <alignment horizontal="center" vertical="center"/>
    </xf>
    <xf numFmtId="0" fontId="24" fillId="0" borderId="14" xfId="7" applyFont="1" applyFill="1" applyBorder="1" applyAlignment="1">
      <alignment wrapText="1"/>
    </xf>
    <xf numFmtId="0" fontId="5" fillId="0" borderId="38" xfId="7" applyFill="1" applyBorder="1"/>
    <xf numFmtId="0" fontId="39" fillId="0" borderId="19" xfId="10" applyFont="1" applyBorder="1" applyAlignment="1">
      <alignment vertical="center"/>
    </xf>
    <xf numFmtId="173" fontId="0" fillId="0" borderId="18" xfId="9" applyNumberFormat="1" applyFont="1" applyFill="1" applyBorder="1"/>
    <xf numFmtId="173" fontId="0" fillId="0" borderId="38" xfId="9" applyNumberFormat="1" applyFont="1" applyFill="1" applyBorder="1"/>
    <xf numFmtId="0" fontId="39" fillId="0" borderId="41" xfId="7" applyFont="1" applyFill="1" applyBorder="1" applyAlignment="1">
      <alignment vertical="center"/>
    </xf>
    <xf numFmtId="0" fontId="39" fillId="0" borderId="26" xfId="7" applyFont="1" applyBorder="1" applyAlignment="1">
      <alignment vertical="center"/>
    </xf>
    <xf numFmtId="173" fontId="5" fillId="0" borderId="26" xfId="7" applyNumberFormat="1" applyFill="1" applyBorder="1"/>
    <xf numFmtId="173" fontId="5" fillId="0" borderId="37" xfId="7" applyNumberFormat="1" applyFill="1" applyBorder="1"/>
    <xf numFmtId="173" fontId="0" fillId="0" borderId="0" xfId="9" applyNumberFormat="1" applyFont="1" applyFill="1" applyBorder="1"/>
    <xf numFmtId="0" fontId="40" fillId="0" borderId="42" xfId="7" applyFont="1" applyBorder="1" applyAlignment="1">
      <alignment vertical="center"/>
    </xf>
    <xf numFmtId="173" fontId="24" fillId="0" borderId="36" xfId="9" applyNumberFormat="1" applyFont="1" applyBorder="1"/>
    <xf numFmtId="173" fontId="24" fillId="0" borderId="38" xfId="9" applyNumberFormat="1" applyFont="1" applyFill="1" applyBorder="1"/>
    <xf numFmtId="0" fontId="5" fillId="0" borderId="0" xfId="7" applyBorder="1"/>
    <xf numFmtId="0" fontId="40" fillId="0" borderId="41" xfId="7" applyFont="1" applyFill="1" applyBorder="1" applyAlignment="1">
      <alignment vertical="center"/>
    </xf>
    <xf numFmtId="0" fontId="40" fillId="0" borderId="26" xfId="7" applyFont="1" applyFill="1" applyBorder="1" applyAlignment="1">
      <alignment vertical="center"/>
    </xf>
    <xf numFmtId="173" fontId="24" fillId="0" borderId="26" xfId="9" applyNumberFormat="1" applyFont="1" applyFill="1" applyBorder="1"/>
    <xf numFmtId="173" fontId="24" fillId="0" borderId="37" xfId="9" applyNumberFormat="1" applyFont="1" applyFill="1" applyBorder="1"/>
    <xf numFmtId="173" fontId="24" fillId="0" borderId="27" xfId="9" applyNumberFormat="1" applyFont="1" applyFill="1" applyBorder="1"/>
    <xf numFmtId="173" fontId="24" fillId="0" borderId="41" xfId="9" applyNumberFormat="1" applyFont="1" applyFill="1" applyBorder="1"/>
    <xf numFmtId="173" fontId="24" fillId="0" borderId="48" xfId="9" applyNumberFormat="1" applyFont="1" applyFill="1" applyBorder="1"/>
    <xf numFmtId="0" fontId="24" fillId="0" borderId="14" xfId="4" applyFont="1" applyFill="1" applyBorder="1" applyAlignment="1">
      <alignment wrapText="1"/>
    </xf>
    <xf numFmtId="0" fontId="24" fillId="0" borderId="14" xfId="4" applyFont="1" applyFill="1" applyBorder="1"/>
    <xf numFmtId="44" fontId="43" fillId="0" borderId="14" xfId="4" applyNumberFormat="1" applyFont="1" applyFill="1" applyBorder="1"/>
    <xf numFmtId="43" fontId="43" fillId="0" borderId="14" xfId="4" applyNumberFormat="1" applyFont="1" applyFill="1" applyBorder="1"/>
    <xf numFmtId="165" fontId="44" fillId="0" borderId="43" xfId="5" applyNumberFormat="1" applyFont="1" applyFill="1" applyBorder="1"/>
    <xf numFmtId="0" fontId="43" fillId="0" borderId="43" xfId="4" applyFont="1" applyFill="1" applyBorder="1"/>
    <xf numFmtId="10" fontId="43" fillId="0" borderId="19" xfId="4" applyNumberFormat="1" applyFont="1" applyFill="1" applyBorder="1"/>
    <xf numFmtId="10" fontId="43" fillId="0" borderId="14" xfId="3" applyNumberFormat="1" applyFont="1" applyFill="1" applyBorder="1"/>
    <xf numFmtId="0" fontId="5" fillId="0" borderId="14" xfId="7" applyFill="1" applyBorder="1"/>
    <xf numFmtId="0" fontId="32" fillId="0" borderId="0" xfId="7" applyFont="1"/>
    <xf numFmtId="44" fontId="19" fillId="0" borderId="13" xfId="2" applyFont="1" applyFill="1" applyBorder="1" applyAlignment="1">
      <alignment horizontal="center" vertical="top"/>
    </xf>
    <xf numFmtId="0" fontId="23" fillId="0" borderId="0" xfId="0" applyNumberFormat="1" applyFont="1" applyAlignment="1"/>
    <xf numFmtId="0" fontId="68" fillId="0" borderId="0" xfId="0" applyNumberFormat="1" applyFont="1" applyFill="1" applyAlignment="1"/>
    <xf numFmtId="0" fontId="68" fillId="0" borderId="49" xfId="0" applyNumberFormat="1" applyFont="1" applyFill="1" applyBorder="1" applyAlignment="1">
      <alignment horizontal="right"/>
    </xf>
    <xf numFmtId="0" fontId="68" fillId="0" borderId="0" xfId="0" applyNumberFormat="1" applyFont="1" applyFill="1" applyAlignment="1">
      <alignment horizontal="centerContinuous"/>
    </xf>
    <xf numFmtId="0" fontId="68" fillId="0" borderId="0" xfId="0" applyNumberFormat="1" applyFont="1" applyFill="1" applyAlignment="1" applyProtection="1">
      <alignment horizontal="centerContinuous"/>
      <protection locked="0"/>
    </xf>
    <xf numFmtId="0" fontId="68" fillId="0" borderId="1" xfId="0" applyNumberFormat="1" applyFont="1" applyFill="1" applyBorder="1" applyAlignment="1">
      <alignment horizontal="center"/>
    </xf>
    <xf numFmtId="0" fontId="68" fillId="0" borderId="1" xfId="0" applyNumberFormat="1" applyFont="1" applyFill="1" applyBorder="1" applyAlignment="1" applyProtection="1">
      <protection locked="0"/>
    </xf>
    <xf numFmtId="0" fontId="68" fillId="0" borderId="1" xfId="0" applyNumberFormat="1" applyFont="1" applyFill="1" applyBorder="1" applyAlignment="1"/>
    <xf numFmtId="0" fontId="68" fillId="0" borderId="1" xfId="0" applyNumberFormat="1" applyFont="1" applyFill="1" applyBorder="1" applyAlignment="1">
      <alignment horizontal="right"/>
    </xf>
    <xf numFmtId="0" fontId="69" fillId="0" borderId="0" xfId="0" applyNumberFormat="1" applyFont="1" applyFill="1" applyAlignment="1"/>
    <xf numFmtId="0" fontId="69" fillId="0" borderId="0" xfId="0" applyNumberFormat="1" applyFont="1" applyFill="1" applyAlignment="1">
      <alignment horizontal="center"/>
    </xf>
    <xf numFmtId="0" fontId="69" fillId="0" borderId="0" xfId="0" applyNumberFormat="1" applyFont="1" applyFill="1" applyAlignment="1">
      <alignment horizontal="left"/>
    </xf>
    <xf numFmtId="166" fontId="69" fillId="0" borderId="0" xfId="0" applyNumberFormat="1" applyFont="1" applyFill="1" applyAlignment="1"/>
    <xf numFmtId="169" fontId="69" fillId="0" borderId="0" xfId="0" applyNumberFormat="1" applyFont="1" applyFill="1" applyAlignment="1"/>
    <xf numFmtId="166" fontId="69" fillId="0" borderId="1" xfId="0" applyNumberFormat="1" applyFont="1" applyFill="1" applyBorder="1" applyAlignment="1"/>
    <xf numFmtId="166" fontId="69" fillId="0" borderId="0" xfId="0" applyNumberFormat="1" applyFont="1" applyFill="1" applyBorder="1" applyAlignment="1"/>
    <xf numFmtId="166" fontId="23" fillId="0" borderId="0" xfId="0" applyNumberFormat="1" applyFont="1" applyAlignment="1"/>
    <xf numFmtId="9" fontId="69" fillId="0" borderId="0" xfId="0" applyNumberFormat="1" applyFont="1" applyFill="1" applyAlignment="1"/>
    <xf numFmtId="166" fontId="69" fillId="0" borderId="14" xfId="0" applyNumberFormat="1" applyFont="1" applyFill="1" applyBorder="1" applyAlignment="1" applyProtection="1">
      <protection locked="0"/>
    </xf>
    <xf numFmtId="0" fontId="19" fillId="0" borderId="0" xfId="0" applyFont="1" applyFill="1" applyAlignment="1">
      <alignment horizontal="center" vertical="top"/>
    </xf>
    <xf numFmtId="0" fontId="68" fillId="0" borderId="0" xfId="0" applyNumberFormat="1" applyFont="1" applyFill="1" applyAlignment="1">
      <alignment horizontal="center"/>
    </xf>
    <xf numFmtId="3" fontId="33" fillId="0" borderId="0" xfId="0" applyNumberFormat="1" applyFont="1" applyFill="1"/>
    <xf numFmtId="42" fontId="4" fillId="0" borderId="15" xfId="0" applyNumberFormat="1" applyFont="1" applyBorder="1"/>
    <xf numFmtId="167" fontId="4" fillId="0" borderId="0" xfId="0" applyNumberFormat="1" applyFont="1"/>
    <xf numFmtId="0" fontId="4" fillId="0" borderId="0" xfId="0" applyFont="1"/>
    <xf numFmtId="43" fontId="4" fillId="0" borderId="0" xfId="0" applyNumberFormat="1" applyFont="1"/>
    <xf numFmtId="0" fontId="4" fillId="0" borderId="0" xfId="0" applyFont="1" applyFill="1" applyAlignment="1">
      <alignment horizontal="centerContinuous"/>
    </xf>
    <xf numFmtId="0" fontId="4" fillId="0" borderId="0" xfId="0" applyFont="1" applyAlignment="1">
      <alignment horizontal="centerContinuous"/>
    </xf>
    <xf numFmtId="0" fontId="23" fillId="0" borderId="14" xfId="0" applyFont="1" applyFill="1" applyBorder="1" applyAlignment="1">
      <alignment horizontal="center"/>
    </xf>
    <xf numFmtId="0" fontId="23" fillId="0" borderId="14" xfId="0" applyFont="1" applyFill="1" applyBorder="1" applyAlignment="1">
      <alignment horizontal="center" wrapText="1"/>
    </xf>
    <xf numFmtId="0" fontId="23" fillId="0" borderId="0" xfId="0" applyFont="1" applyAlignment="1">
      <alignment horizontal="center"/>
    </xf>
    <xf numFmtId="43" fontId="41" fillId="0" borderId="0" xfId="1" applyFont="1" applyFill="1"/>
    <xf numFmtId="0" fontId="3" fillId="0" borderId="0" xfId="0" applyFont="1" applyFill="1" applyAlignment="1">
      <alignment vertical="top"/>
    </xf>
    <xf numFmtId="0" fontId="43" fillId="0" borderId="0" xfId="11" applyFont="1" applyFill="1"/>
    <xf numFmtId="42" fontId="3" fillId="0" borderId="0" xfId="0" applyNumberFormat="1" applyFont="1" applyFill="1" applyAlignment="1">
      <alignment vertical="top"/>
    </xf>
    <xf numFmtId="42" fontId="3" fillId="2" borderId="0" xfId="0" applyNumberFormat="1" applyFont="1" applyFill="1" applyAlignment="1">
      <alignment vertical="top"/>
    </xf>
    <xf numFmtId="0" fontId="3" fillId="0" borderId="0" xfId="0" applyFont="1" applyFill="1"/>
    <xf numFmtId="164" fontId="3" fillId="2"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applyFill="1" applyAlignment="1">
      <alignment vertical="top"/>
    </xf>
    <xf numFmtId="0" fontId="43" fillId="0" borderId="0" xfId="11" applyFont="1"/>
    <xf numFmtId="0" fontId="58" fillId="4" borderId="23" xfId="11" applyFont="1" applyFill="1" applyBorder="1" applyAlignment="1">
      <alignment horizontal="center" vertical="center"/>
    </xf>
    <xf numFmtId="0" fontId="58" fillId="4" borderId="16" xfId="11" applyFont="1" applyFill="1" applyBorder="1" applyAlignment="1">
      <alignment horizontal="centerContinuous"/>
    </xf>
    <xf numFmtId="0" fontId="59" fillId="4" borderId="13" xfId="11" applyFont="1" applyFill="1" applyBorder="1" applyAlignment="1">
      <alignment horizontal="centerContinuous"/>
    </xf>
    <xf numFmtId="0" fontId="59" fillId="4" borderId="17" xfId="11" applyFont="1" applyFill="1" applyBorder="1" applyAlignment="1">
      <alignment horizontal="centerContinuous"/>
    </xf>
    <xf numFmtId="0" fontId="44" fillId="0" borderId="14" xfId="11" applyFont="1" applyBorder="1"/>
    <xf numFmtId="0" fontId="44" fillId="0" borderId="19" xfId="11" applyFont="1" applyBorder="1" applyAlignment="1">
      <alignment horizontal="center"/>
    </xf>
    <xf numFmtId="0" fontId="24" fillId="0" borderId="14" xfId="12" applyFont="1" applyFill="1" applyBorder="1" applyAlignment="1">
      <alignment horizontal="center" wrapText="1"/>
    </xf>
    <xf numFmtId="0" fontId="44" fillId="0" borderId="14" xfId="11" applyFont="1" applyFill="1" applyBorder="1"/>
    <xf numFmtId="0" fontId="44" fillId="0" borderId="14" xfId="11" applyFont="1" applyFill="1" applyBorder="1" applyAlignment="1">
      <alignment wrapText="1"/>
    </xf>
    <xf numFmtId="0" fontId="44" fillId="0" borderId="0" xfId="11" applyFont="1" applyFill="1" applyBorder="1"/>
    <xf numFmtId="0" fontId="44" fillId="0" borderId="50" xfId="11" applyFont="1" applyFill="1" applyBorder="1" applyAlignment="1">
      <alignment horizontal="right"/>
    </xf>
    <xf numFmtId="0" fontId="44" fillId="0" borderId="51" xfId="11" applyFont="1" applyFill="1" applyBorder="1"/>
    <xf numFmtId="0" fontId="44" fillId="0" borderId="52" xfId="11" applyFont="1" applyFill="1" applyBorder="1"/>
    <xf numFmtId="0" fontId="60" fillId="0" borderId="14" xfId="11" applyFont="1" applyFill="1" applyBorder="1" applyAlignment="1">
      <alignment vertical="center"/>
    </xf>
    <xf numFmtId="0" fontId="60" fillId="0" borderId="19" xfId="11" applyFont="1" applyFill="1" applyBorder="1" applyAlignment="1">
      <alignment vertical="center"/>
    </xf>
    <xf numFmtId="165" fontId="61" fillId="0" borderId="14" xfId="13" applyNumberFormat="1" applyFont="1" applyFill="1" applyBorder="1"/>
    <xf numFmtId="10" fontId="43" fillId="0" borderId="14" xfId="11" applyNumberFormat="1" applyFont="1" applyFill="1" applyBorder="1"/>
    <xf numFmtId="165" fontId="61" fillId="0" borderId="0" xfId="13" applyNumberFormat="1" applyFont="1" applyFill="1" applyBorder="1"/>
    <xf numFmtId="0" fontId="43" fillId="0" borderId="6" xfId="11" applyFont="1" applyFill="1" applyBorder="1"/>
    <xf numFmtId="0" fontId="43" fillId="0" borderId="0" xfId="11" applyFont="1" applyFill="1" applyBorder="1"/>
    <xf numFmtId="10" fontId="43" fillId="0" borderId="0" xfId="3" applyNumberFormat="1" applyFont="1" applyFill="1" applyBorder="1"/>
    <xf numFmtId="10" fontId="43" fillId="0" borderId="7" xfId="3" applyNumberFormat="1" applyFont="1" applyFill="1" applyBorder="1"/>
    <xf numFmtId="41" fontId="61" fillId="0" borderId="14" xfId="13" applyNumberFormat="1" applyFont="1" applyFill="1" applyBorder="1"/>
    <xf numFmtId="10" fontId="43" fillId="0" borderId="1" xfId="3" applyNumberFormat="1" applyFont="1" applyFill="1" applyBorder="1"/>
    <xf numFmtId="10" fontId="43" fillId="0" borderId="8" xfId="3" applyNumberFormat="1" applyFont="1" applyFill="1" applyBorder="1"/>
    <xf numFmtId="0" fontId="62" fillId="0" borderId="24" xfId="11" applyFont="1" applyFill="1" applyBorder="1" applyAlignment="1">
      <alignment vertical="center"/>
    </xf>
    <xf numFmtId="0" fontId="62" fillId="0" borderId="20" xfId="11" applyFont="1" applyFill="1" applyBorder="1" applyAlignment="1">
      <alignment vertical="center"/>
    </xf>
    <xf numFmtId="165" fontId="44" fillId="0" borderId="24" xfId="13" applyNumberFormat="1" applyFont="1" applyFill="1" applyBorder="1"/>
    <xf numFmtId="0" fontId="43" fillId="0" borderId="14" xfId="11" applyFont="1" applyFill="1" applyBorder="1"/>
    <xf numFmtId="165" fontId="44" fillId="0" borderId="0" xfId="13" applyNumberFormat="1" applyFont="1" applyFill="1" applyBorder="1"/>
    <xf numFmtId="0" fontId="43" fillId="0" borderId="11" xfId="11" applyFont="1" applyFill="1" applyBorder="1"/>
    <xf numFmtId="0" fontId="43" fillId="0" borderId="2" xfId="11" applyFont="1" applyFill="1" applyBorder="1"/>
    <xf numFmtId="10" fontId="43" fillId="0" borderId="2" xfId="11" applyNumberFormat="1" applyFont="1" applyFill="1" applyBorder="1"/>
    <xf numFmtId="10" fontId="43" fillId="0" borderId="12" xfId="11" applyNumberFormat="1" applyFont="1" applyFill="1" applyBorder="1"/>
    <xf numFmtId="10" fontId="63" fillId="0" borderId="14" xfId="11" applyNumberFormat="1" applyFont="1" applyFill="1" applyBorder="1"/>
    <xf numFmtId="10" fontId="43" fillId="0" borderId="0" xfId="11" applyNumberFormat="1" applyFont="1" applyFill="1" applyBorder="1"/>
    <xf numFmtId="0" fontId="59" fillId="4" borderId="0" xfId="11" applyFont="1" applyFill="1" applyAlignment="1">
      <alignment horizontal="centerContinuous"/>
    </xf>
    <xf numFmtId="0" fontId="58" fillId="4" borderId="14" xfId="11" applyFont="1" applyFill="1" applyBorder="1" applyAlignment="1">
      <alignment horizontal="center" vertical="center"/>
    </xf>
    <xf numFmtId="0" fontId="44" fillId="0" borderId="14" xfId="11" applyFont="1" applyFill="1" applyBorder="1" applyAlignment="1">
      <alignment horizontal="right"/>
    </xf>
    <xf numFmtId="44" fontId="61" fillId="0" borderId="14" xfId="13" applyFont="1" applyFill="1" applyBorder="1"/>
    <xf numFmtId="0" fontId="43" fillId="0" borderId="14" xfId="11" applyFont="1" applyFill="1" applyBorder="1" applyAlignment="1">
      <alignment horizontal="center"/>
    </xf>
    <xf numFmtId="10" fontId="61" fillId="0" borderId="14" xfId="11" applyNumberFormat="1" applyFont="1" applyFill="1" applyBorder="1"/>
    <xf numFmtId="0" fontId="44" fillId="0" borderId="0" xfId="11" applyFont="1"/>
    <xf numFmtId="41" fontId="61" fillId="0" borderId="43" xfId="13" applyNumberFormat="1" applyFont="1" applyFill="1" applyBorder="1"/>
    <xf numFmtId="41" fontId="43" fillId="0" borderId="14" xfId="11" applyNumberFormat="1" applyFont="1" applyFill="1" applyBorder="1"/>
    <xf numFmtId="3" fontId="43" fillId="0" borderId="14" xfId="11" applyNumberFormat="1" applyFont="1" applyFill="1" applyBorder="1"/>
    <xf numFmtId="0" fontId="60" fillId="0" borderId="34" xfId="11" applyFont="1" applyBorder="1" applyAlignment="1">
      <alignment vertical="center"/>
    </xf>
    <xf numFmtId="41" fontId="43" fillId="0" borderId="43" xfId="11" applyNumberFormat="1" applyFont="1" applyFill="1" applyBorder="1"/>
    <xf numFmtId="0" fontId="62" fillId="0" borderId="14" xfId="11" applyFont="1" applyFill="1" applyBorder="1" applyAlignment="1">
      <alignment vertical="center"/>
    </xf>
    <xf numFmtId="0" fontId="44" fillId="0" borderId="19" xfId="11" applyFont="1" applyFill="1" applyBorder="1"/>
    <xf numFmtId="165" fontId="44" fillId="0" borderId="14" xfId="13" applyNumberFormat="1" applyFont="1" applyFill="1" applyBorder="1"/>
    <xf numFmtId="0" fontId="43" fillId="0" borderId="14" xfId="11" applyFont="1" applyBorder="1"/>
    <xf numFmtId="44" fontId="43" fillId="0" borderId="0" xfId="11" applyNumberFormat="1" applyFont="1" applyFill="1"/>
    <xf numFmtId="0" fontId="44" fillId="0" borderId="26" xfId="11" applyFont="1" applyFill="1" applyBorder="1" applyAlignment="1">
      <alignment wrapText="1"/>
    </xf>
    <xf numFmtId="0" fontId="43" fillId="0" borderId="26" xfId="11" applyFont="1" applyFill="1" applyBorder="1"/>
    <xf numFmtId="0" fontId="66" fillId="0" borderId="0" xfId="11" applyFont="1"/>
    <xf numFmtId="0" fontId="64" fillId="0" borderId="0" xfId="11" applyFont="1"/>
    <xf numFmtId="0" fontId="67" fillId="0" borderId="0" xfId="11" applyFont="1" applyAlignment="1"/>
    <xf numFmtId="0" fontId="67" fillId="0" borderId="0" xfId="11" applyFont="1" applyAlignment="1">
      <alignment wrapText="1"/>
    </xf>
    <xf numFmtId="0" fontId="67" fillId="0" borderId="0" xfId="11" applyFont="1"/>
    <xf numFmtId="0" fontId="29" fillId="0" borderId="0" xfId="12" applyFont="1"/>
    <xf numFmtId="0" fontId="3" fillId="0" borderId="0" xfId="12"/>
    <xf numFmtId="0" fontId="3" fillId="0" borderId="0" xfId="12" applyFill="1"/>
    <xf numFmtId="0" fontId="52" fillId="0" borderId="16" xfId="12" applyFont="1" applyBorder="1"/>
    <xf numFmtId="0" fontId="3" fillId="0" borderId="13" xfId="12" applyBorder="1"/>
    <xf numFmtId="0" fontId="53" fillId="0" borderId="13" xfId="12" applyFont="1" applyFill="1" applyBorder="1" applyAlignment="1">
      <alignment horizontal="centerContinuous"/>
    </xf>
    <xf numFmtId="0" fontId="32" fillId="0" borderId="17" xfId="12" applyFont="1" applyFill="1" applyBorder="1" applyAlignment="1">
      <alignment horizontal="centerContinuous"/>
    </xf>
    <xf numFmtId="0" fontId="3" fillId="0" borderId="0" xfId="12" applyFill="1" applyAlignment="1">
      <alignment horizontal="centerContinuous"/>
    </xf>
    <xf numFmtId="0" fontId="38" fillId="4" borderId="16" xfId="12" applyFont="1" applyFill="1" applyBorder="1" applyAlignment="1">
      <alignment horizontal="centerContinuous" vertical="center"/>
    </xf>
    <xf numFmtId="0" fontId="55" fillId="4" borderId="13" xfId="12" applyFont="1" applyFill="1" applyBorder="1" applyAlignment="1">
      <alignment horizontal="centerContinuous"/>
    </xf>
    <xf numFmtId="0" fontId="55" fillId="4" borderId="17" xfId="12" applyFont="1" applyFill="1" applyBorder="1" applyAlignment="1">
      <alignment horizontal="centerContinuous"/>
    </xf>
    <xf numFmtId="0" fontId="55" fillId="0" borderId="0" xfId="12" applyFont="1" applyFill="1" applyBorder="1" applyAlignment="1">
      <alignment horizontal="centerContinuous"/>
    </xf>
    <xf numFmtId="0" fontId="55" fillId="4" borderId="6" xfId="12" applyFont="1" applyFill="1" applyBorder="1" applyAlignment="1">
      <alignment horizontal="centerContinuous"/>
    </xf>
    <xf numFmtId="0" fontId="55" fillId="4" borderId="0" xfId="12" applyFont="1" applyFill="1" applyBorder="1" applyAlignment="1">
      <alignment horizontal="centerContinuous"/>
    </xf>
    <xf numFmtId="0" fontId="55" fillId="4" borderId="7" xfId="12" applyFont="1" applyFill="1" applyBorder="1" applyAlignment="1">
      <alignment horizontal="centerContinuous"/>
    </xf>
    <xf numFmtId="0" fontId="40" fillId="0" borderId="34" xfId="12" applyFont="1" applyFill="1" applyBorder="1" applyAlignment="1">
      <alignment horizontal="center" vertical="center"/>
    </xf>
    <xf numFmtId="0" fontId="40" fillId="0" borderId="14" xfId="12" applyFont="1" applyFill="1" applyBorder="1" applyAlignment="1">
      <alignment horizontal="center" vertical="center"/>
    </xf>
    <xf numFmtId="0" fontId="28" fillId="0" borderId="1" xfId="12" applyFont="1" applyFill="1" applyBorder="1" applyAlignment="1">
      <alignment horizontal="center" wrapText="1"/>
    </xf>
    <xf numFmtId="0" fontId="28" fillId="0" borderId="8" xfId="12" applyFont="1" applyFill="1" applyBorder="1" applyAlignment="1">
      <alignment wrapText="1"/>
    </xf>
    <xf numFmtId="0" fontId="24" fillId="0" borderId="47" xfId="12" applyFont="1" applyFill="1" applyBorder="1" applyAlignment="1">
      <alignment wrapText="1"/>
    </xf>
    <xf numFmtId="0" fontId="24" fillId="0" borderId="35" xfId="12" applyFont="1" applyFill="1" applyBorder="1" applyAlignment="1">
      <alignment wrapText="1"/>
    </xf>
    <xf numFmtId="0" fontId="39" fillId="0" borderId="34" xfId="12" applyFont="1" applyFill="1" applyBorder="1" applyAlignment="1">
      <alignment vertical="center"/>
    </xf>
    <xf numFmtId="0" fontId="39" fillId="0" borderId="14" xfId="12" applyFont="1" applyFill="1" applyBorder="1" applyAlignment="1">
      <alignment vertical="center"/>
    </xf>
    <xf numFmtId="173" fontId="3" fillId="0" borderId="14" xfId="12" applyNumberFormat="1" applyFill="1" applyBorder="1"/>
    <xf numFmtId="173" fontId="0" fillId="0" borderId="36" xfId="15" applyNumberFormat="1" applyFont="1" applyFill="1" applyBorder="1"/>
    <xf numFmtId="173" fontId="0" fillId="0" borderId="1" xfId="15" applyNumberFormat="1" applyFont="1" applyFill="1" applyBorder="1"/>
    <xf numFmtId="173" fontId="3" fillId="0" borderId="34" xfId="12" applyNumberFormat="1" applyFill="1" applyBorder="1"/>
    <xf numFmtId="173" fontId="0" fillId="0" borderId="42" xfId="15" applyNumberFormat="1" applyFont="1" applyFill="1" applyBorder="1"/>
    <xf numFmtId="0" fontId="0" fillId="0" borderId="43" xfId="0" applyBorder="1"/>
    <xf numFmtId="0" fontId="0" fillId="0" borderId="15" xfId="0" applyBorder="1"/>
    <xf numFmtId="9" fontId="3" fillId="0" borderId="43" xfId="3" applyFont="1" applyBorder="1"/>
    <xf numFmtId="10" fontId="0" fillId="0" borderId="0" xfId="0" applyNumberFormat="1"/>
    <xf numFmtId="173" fontId="14" fillId="0" borderId="0" xfId="15" applyNumberFormat="1" applyFont="1" applyFill="1" applyBorder="1"/>
    <xf numFmtId="10" fontId="0" fillId="0" borderId="14" xfId="0" applyNumberFormat="1" applyBorder="1"/>
    <xf numFmtId="0" fontId="0" fillId="0" borderId="47" xfId="0" applyBorder="1"/>
    <xf numFmtId="0" fontId="0" fillId="0" borderId="14" xfId="0" applyBorder="1"/>
    <xf numFmtId="10" fontId="0" fillId="0" borderId="47" xfId="0" applyNumberFormat="1" applyBorder="1"/>
    <xf numFmtId="0" fontId="3" fillId="0" borderId="14" xfId="12" applyBorder="1"/>
    <xf numFmtId="0" fontId="21" fillId="0" borderId="46" xfId="12" applyFont="1" applyFill="1" applyBorder="1" applyAlignment="1">
      <alignment vertical="center"/>
    </xf>
    <xf numFmtId="0" fontId="21" fillId="0" borderId="1" xfId="16" applyFont="1" applyFill="1" applyBorder="1" applyAlignment="1">
      <alignment vertical="center"/>
    </xf>
    <xf numFmtId="173" fontId="0" fillId="0" borderId="26" xfId="15" applyNumberFormat="1" applyFont="1" applyFill="1" applyBorder="1"/>
    <xf numFmtId="173" fontId="0" fillId="0" borderId="37" xfId="15" applyNumberFormat="1" applyFont="1" applyFill="1" applyBorder="1"/>
    <xf numFmtId="173" fontId="0" fillId="0" borderId="15" xfId="15" applyNumberFormat="1" applyFont="1" applyFill="1" applyBorder="1"/>
    <xf numFmtId="173" fontId="0" fillId="0" borderId="41" xfId="15" applyNumberFormat="1" applyFont="1" applyFill="1" applyBorder="1"/>
    <xf numFmtId="173" fontId="0" fillId="0" borderId="48" xfId="15" applyNumberFormat="1" applyFont="1" applyFill="1" applyBorder="1"/>
    <xf numFmtId="0" fontId="0" fillId="0" borderId="19" xfId="0" applyBorder="1"/>
    <xf numFmtId="0" fontId="40" fillId="0" borderId="38" xfId="12" applyFont="1" applyFill="1" applyBorder="1" applyAlignment="1">
      <alignment vertical="center"/>
    </xf>
    <xf numFmtId="0" fontId="40" fillId="0" borderId="18" xfId="12" applyFont="1" applyFill="1" applyBorder="1" applyAlignment="1">
      <alignment vertical="center"/>
    </xf>
    <xf numFmtId="173" fontId="24" fillId="0" borderId="18" xfId="15" applyNumberFormat="1" applyFont="1" applyFill="1" applyBorder="1"/>
    <xf numFmtId="43" fontId="24" fillId="0" borderId="18" xfId="12" applyNumberFormat="1" applyFont="1" applyFill="1" applyBorder="1"/>
    <xf numFmtId="173" fontId="24" fillId="0" borderId="36" xfId="15" applyNumberFormat="1" applyFont="1" applyFill="1" applyBorder="1"/>
    <xf numFmtId="173" fontId="24" fillId="0" borderId="1" xfId="15" applyNumberFormat="1" applyFont="1" applyFill="1" applyBorder="1"/>
    <xf numFmtId="173" fontId="24" fillId="0" borderId="38" xfId="12" applyNumberFormat="1" applyFont="1" applyFill="1" applyBorder="1"/>
    <xf numFmtId="173" fontId="24" fillId="0" borderId="42" xfId="15" applyNumberFormat="1" applyFont="1" applyFill="1" applyBorder="1"/>
    <xf numFmtId="0" fontId="40" fillId="0" borderId="34" xfId="12" applyFont="1" applyFill="1" applyBorder="1" applyAlignment="1">
      <alignment vertical="center"/>
    </xf>
    <xf numFmtId="10" fontId="40" fillId="0" borderId="14" xfId="12" applyNumberFormat="1" applyFont="1" applyFill="1" applyBorder="1" applyAlignment="1">
      <alignment vertical="center"/>
    </xf>
    <xf numFmtId="173" fontId="26" fillId="0" borderId="14" xfId="15" applyNumberFormat="1" applyFont="1" applyFill="1" applyBorder="1"/>
    <xf numFmtId="173" fontId="24" fillId="0" borderId="14" xfId="12" applyNumberFormat="1" applyFont="1" applyFill="1" applyBorder="1"/>
    <xf numFmtId="173" fontId="26" fillId="0" borderId="36" xfId="15" applyNumberFormat="1" applyFont="1" applyFill="1" applyBorder="1"/>
    <xf numFmtId="173" fontId="26" fillId="0" borderId="1" xfId="15" applyNumberFormat="1" applyFont="1" applyFill="1" applyBorder="1"/>
    <xf numFmtId="173" fontId="24" fillId="0" borderId="34" xfId="12" applyNumberFormat="1" applyFont="1" applyFill="1" applyBorder="1"/>
    <xf numFmtId="173" fontId="26" fillId="0" borderId="42" xfId="15" applyNumberFormat="1" applyFont="1" applyFill="1" applyBorder="1"/>
    <xf numFmtId="0" fontId="40" fillId="0" borderId="6" xfId="12" applyFont="1" applyFill="1" applyBorder="1" applyAlignment="1">
      <alignment vertical="center"/>
    </xf>
    <xf numFmtId="0" fontId="40" fillId="0" borderId="0" xfId="12" applyFont="1" applyFill="1" applyBorder="1" applyAlignment="1">
      <alignment vertical="center"/>
    </xf>
    <xf numFmtId="173" fontId="24" fillId="0" borderId="0" xfId="15" applyNumberFormat="1" applyFont="1" applyFill="1" applyBorder="1"/>
    <xf numFmtId="43" fontId="24" fillId="0" borderId="0" xfId="12" applyNumberFormat="1" applyFont="1" applyFill="1" applyBorder="1"/>
    <xf numFmtId="173" fontId="24" fillId="0" borderId="7" xfId="15" applyNumberFormat="1" applyFont="1" applyFill="1" applyBorder="1"/>
    <xf numFmtId="43" fontId="24" fillId="0" borderId="6" xfId="12" applyNumberFormat="1" applyFont="1" applyFill="1" applyBorder="1"/>
    <xf numFmtId="0" fontId="13" fillId="0" borderId="0" xfId="12" quotePrefix="1" applyFont="1" applyFill="1"/>
    <xf numFmtId="0" fontId="3" fillId="0" borderId="6" xfId="12" applyFill="1" applyBorder="1"/>
    <xf numFmtId="0" fontId="3" fillId="0" borderId="0" xfId="12" applyFill="1" applyBorder="1"/>
    <xf numFmtId="0" fontId="3" fillId="0" borderId="7" xfId="12" applyFill="1" applyBorder="1"/>
    <xf numFmtId="0" fontId="3" fillId="4" borderId="17" xfId="12" applyFill="1" applyBorder="1" applyAlignment="1">
      <alignment horizontal="centerContinuous"/>
    </xf>
    <xf numFmtId="0" fontId="40" fillId="0" borderId="39" xfId="12" applyFont="1" applyFill="1" applyBorder="1" applyAlignment="1">
      <alignment horizontal="center" vertical="center"/>
    </xf>
    <xf numFmtId="0" fontId="40" fillId="0" borderId="40" xfId="12" applyFont="1" applyFill="1" applyBorder="1" applyAlignment="1">
      <alignment horizontal="center" vertical="center"/>
    </xf>
    <xf numFmtId="0" fontId="3" fillId="0" borderId="38" xfId="12" applyFill="1" applyBorder="1"/>
    <xf numFmtId="0" fontId="39" fillId="0" borderId="19" xfId="17" applyFont="1" applyFill="1" applyBorder="1" applyAlignment="1">
      <alignment vertical="center"/>
    </xf>
    <xf numFmtId="173" fontId="0" fillId="0" borderId="14" xfId="15" applyNumberFormat="1" applyFont="1" applyFill="1" applyBorder="1"/>
    <xf numFmtId="173" fontId="0" fillId="0" borderId="18" xfId="15" applyNumberFormat="1" applyFont="1" applyFill="1" applyBorder="1"/>
    <xf numFmtId="173" fontId="0" fillId="0" borderId="38" xfId="15" applyNumberFormat="1" applyFont="1" applyFill="1" applyBorder="1"/>
    <xf numFmtId="0" fontId="39" fillId="0" borderId="41" xfId="12" applyFont="1" applyFill="1" applyBorder="1" applyAlignment="1">
      <alignment vertical="center"/>
    </xf>
    <xf numFmtId="0" fontId="39" fillId="0" borderId="26" xfId="12" applyFont="1" applyFill="1" applyBorder="1" applyAlignment="1">
      <alignment vertical="center"/>
    </xf>
    <xf numFmtId="173" fontId="3" fillId="0" borderId="26" xfId="12" applyNumberFormat="1" applyFill="1" applyBorder="1"/>
    <xf numFmtId="173" fontId="3" fillId="0" borderId="37" xfId="12" applyNumberFormat="1" applyFill="1" applyBorder="1"/>
    <xf numFmtId="173" fontId="0" fillId="0" borderId="0" xfId="15" applyNumberFormat="1" applyFont="1" applyFill="1" applyBorder="1"/>
    <xf numFmtId="0" fontId="40" fillId="0" borderId="42" xfId="12" applyFont="1" applyFill="1" applyBorder="1" applyAlignment="1">
      <alignment vertical="center"/>
    </xf>
    <xf numFmtId="173" fontId="24" fillId="0" borderId="38" xfId="15" applyNumberFormat="1" applyFont="1" applyFill="1" applyBorder="1"/>
    <xf numFmtId="0" fontId="40" fillId="0" borderId="41" xfId="12" applyFont="1" applyFill="1" applyBorder="1" applyAlignment="1">
      <alignment vertical="center"/>
    </xf>
    <xf numFmtId="0" fontId="40" fillId="0" borderId="26" xfId="12" applyFont="1" applyFill="1" applyBorder="1" applyAlignment="1">
      <alignment vertical="center"/>
    </xf>
    <xf numFmtId="173" fontId="24" fillId="0" borderId="26" xfId="15" applyNumberFormat="1" applyFont="1" applyFill="1" applyBorder="1"/>
    <xf numFmtId="173" fontId="24" fillId="0" borderId="37" xfId="15" applyNumberFormat="1" applyFont="1" applyFill="1" applyBorder="1"/>
    <xf numFmtId="173" fontId="24" fillId="0" borderId="27" xfId="15" applyNumberFormat="1" applyFont="1" applyFill="1" applyBorder="1"/>
    <xf numFmtId="173" fontId="24" fillId="0" borderId="41" xfId="15" applyNumberFormat="1" applyFont="1" applyFill="1" applyBorder="1"/>
    <xf numFmtId="173" fontId="24" fillId="0" borderId="48" xfId="15" applyNumberFormat="1" applyFont="1" applyFill="1" applyBorder="1"/>
    <xf numFmtId="0" fontId="24" fillId="0" borderId="14" xfId="11" applyFont="1" applyFill="1" applyBorder="1" applyAlignment="1">
      <alignment wrapText="1"/>
    </xf>
    <xf numFmtId="0" fontId="24" fillId="0" borderId="14" xfId="11" applyFont="1" applyFill="1" applyBorder="1"/>
    <xf numFmtId="44" fontId="43" fillId="0" borderId="14" xfId="11" applyNumberFormat="1" applyFont="1" applyFill="1" applyBorder="1"/>
    <xf numFmtId="173" fontId="3" fillId="0" borderId="0" xfId="12" applyNumberFormat="1"/>
    <xf numFmtId="0" fontId="3" fillId="0" borderId="14" xfId="0" applyFont="1" applyFill="1" applyBorder="1"/>
    <xf numFmtId="43" fontId="43" fillId="0" borderId="14" xfId="11" applyNumberFormat="1" applyFont="1" applyFill="1" applyBorder="1"/>
    <xf numFmtId="165" fontId="44" fillId="0" borderId="43" xfId="13" applyNumberFormat="1" applyFont="1" applyFill="1" applyBorder="1"/>
    <xf numFmtId="0" fontId="43" fillId="0" borderId="43" xfId="11" applyFont="1" applyFill="1" applyBorder="1"/>
    <xf numFmtId="10" fontId="43" fillId="0" borderId="19" xfId="11" applyNumberFormat="1" applyFont="1" applyFill="1" applyBorder="1"/>
    <xf numFmtId="0" fontId="3" fillId="0" borderId="14" xfId="12" applyFill="1" applyBorder="1"/>
    <xf numFmtId="0" fontId="32" fillId="0" borderId="0" xfId="12" applyFont="1"/>
    <xf numFmtId="42" fontId="14" fillId="7" borderId="1" xfId="0" applyNumberFormat="1" applyFont="1" applyFill="1" applyBorder="1" applyAlignment="1">
      <alignment vertical="top"/>
    </xf>
    <xf numFmtId="0" fontId="3" fillId="0" borderId="0" xfId="0" applyFont="1"/>
    <xf numFmtId="3" fontId="42" fillId="0" borderId="1" xfId="0" applyNumberFormat="1" applyFont="1" applyFill="1" applyBorder="1" applyAlignment="1">
      <alignment horizontal="center" vertical="top"/>
    </xf>
    <xf numFmtId="42" fontId="3" fillId="0" borderId="0" xfId="0" applyNumberFormat="1" applyFont="1" applyFill="1"/>
    <xf numFmtId="10" fontId="3" fillId="0" borderId="0" xfId="0" applyNumberFormat="1" applyFont="1"/>
    <xf numFmtId="0" fontId="29" fillId="0" borderId="27" xfId="0" applyFont="1" applyFill="1" applyBorder="1" applyAlignment="1">
      <alignment horizontal="left"/>
    </xf>
    <xf numFmtId="0" fontId="29" fillId="0" borderId="27" xfId="0" applyFont="1" applyFill="1" applyBorder="1" applyAlignment="1">
      <alignment horizontal="centerContinuous"/>
    </xf>
    <xf numFmtId="44" fontId="3" fillId="0" borderId="0" xfId="0" applyNumberFormat="1" applyFont="1"/>
    <xf numFmtId="10" fontId="3" fillId="0" borderId="0" xfId="3" applyNumberFormat="1" applyFont="1" applyFill="1"/>
    <xf numFmtId="10" fontId="3" fillId="0" borderId="0" xfId="3" applyNumberFormat="1" applyFont="1"/>
    <xf numFmtId="42" fontId="3" fillId="0" borderId="0" xfId="0" applyNumberFormat="1" applyFont="1" applyFill="1" applyBorder="1"/>
    <xf numFmtId="42" fontId="3" fillId="0" borderId="1" xfId="0" applyNumberFormat="1" applyFont="1" applyFill="1" applyBorder="1"/>
    <xf numFmtId="42" fontId="3" fillId="0" borderId="9" xfId="0" applyNumberFormat="1" applyFont="1" applyFill="1" applyBorder="1"/>
    <xf numFmtId="10" fontId="3" fillId="0" borderId="0" xfId="0" applyNumberFormat="1" applyFont="1" applyFill="1"/>
    <xf numFmtId="169" fontId="3" fillId="0" borderId="0" xfId="0" applyNumberFormat="1" applyFont="1" applyFill="1"/>
    <xf numFmtId="0" fontId="3" fillId="0" borderId="0" xfId="0" applyFont="1" applyFill="1" applyAlignment="1">
      <alignment horizontal="centerContinuous"/>
    </xf>
    <xf numFmtId="0" fontId="3" fillId="0" borderId="16" xfId="0" applyFont="1" applyFill="1" applyBorder="1"/>
    <xf numFmtId="0" fontId="3" fillId="0" borderId="13" xfId="0" applyFont="1" applyFill="1" applyBorder="1" applyAlignment="1">
      <alignment horizontal="centerContinuous"/>
    </xf>
    <xf numFmtId="0" fontId="3" fillId="0" borderId="17" xfId="0" applyFont="1" applyFill="1" applyBorder="1" applyAlignment="1">
      <alignment horizontal="centerContinuous"/>
    </xf>
    <xf numFmtId="43" fontId="3" fillId="0" borderId="0" xfId="0" applyNumberFormat="1" applyFont="1" applyFill="1"/>
    <xf numFmtId="43" fontId="3" fillId="0" borderId="0" xfId="0" applyNumberFormat="1" applyFont="1"/>
    <xf numFmtId="168" fontId="3" fillId="0" borderId="14" xfId="0" applyNumberFormat="1" applyFont="1" applyFill="1" applyBorder="1"/>
    <xf numFmtId="0" fontId="3" fillId="0" borderId="14" xfId="0" applyFont="1" applyFill="1" applyBorder="1" applyAlignment="1">
      <alignment horizontal="center"/>
    </xf>
    <xf numFmtId="175" fontId="3" fillId="0" borderId="0" xfId="0" applyNumberFormat="1" applyFont="1" applyFill="1"/>
    <xf numFmtId="43" fontId="3" fillId="0" borderId="0" xfId="0" applyNumberFormat="1" applyFont="1" applyFill="1" applyAlignment="1">
      <alignment wrapText="1"/>
    </xf>
    <xf numFmtId="177" fontId="3" fillId="0" borderId="0" xfId="0" applyNumberFormat="1" applyFont="1" applyFill="1"/>
    <xf numFmtId="178" fontId="3" fillId="0" borderId="0" xfId="0" applyNumberFormat="1" applyFont="1" applyFill="1"/>
    <xf numFmtId="173" fontId="3" fillId="0" borderId="0" xfId="1" applyNumberFormat="1" applyFont="1" applyFill="1"/>
    <xf numFmtId="0" fontId="3" fillId="0" borderId="0" xfId="0" applyFont="1" applyFill="1" applyBorder="1"/>
    <xf numFmtId="44" fontId="3" fillId="0" borderId="0" xfId="0" applyNumberFormat="1" applyFont="1" applyFill="1" applyBorder="1"/>
    <xf numFmtId="43" fontId="3" fillId="0" borderId="0" xfId="0" applyNumberFormat="1" applyFont="1" applyFill="1" applyBorder="1"/>
    <xf numFmtId="0" fontId="3" fillId="0" borderId="0" xfId="0" applyFont="1" applyBorder="1"/>
    <xf numFmtId="44" fontId="3" fillId="0" borderId="0" xfId="0" applyNumberFormat="1" applyFont="1" applyFill="1"/>
    <xf numFmtId="0" fontId="47" fillId="0" borderId="0" xfId="0" applyFont="1"/>
    <xf numFmtId="0" fontId="48" fillId="0" borderId="19" xfId="0" applyFont="1" applyBorder="1" applyAlignment="1">
      <alignment horizontal="centerContinuous"/>
    </xf>
    <xf numFmtId="0" fontId="48" fillId="0" borderId="29" xfId="0" applyFont="1" applyBorder="1" applyAlignment="1">
      <alignment horizontal="centerContinuous"/>
    </xf>
    <xf numFmtId="0" fontId="48" fillId="0" borderId="0" xfId="0" applyFont="1" applyAlignment="1">
      <alignment horizontal="centerContinuous"/>
    </xf>
    <xf numFmtId="0" fontId="47" fillId="0" borderId="0" xfId="0" applyFont="1" applyAlignment="1">
      <alignment horizontal="centerContinuous"/>
    </xf>
    <xf numFmtId="0" fontId="70" fillId="0" borderId="0" xfId="0" applyFont="1" applyAlignment="1">
      <alignment horizontal="centerContinuous"/>
    </xf>
    <xf numFmtId="0" fontId="50" fillId="0" borderId="0" xfId="0" applyFont="1"/>
    <xf numFmtId="0" fontId="50" fillId="0" borderId="1" xfId="0" applyFont="1" applyBorder="1"/>
    <xf numFmtId="0" fontId="71" fillId="0" borderId="0" xfId="0" applyNumberFormat="1" applyFont="1" applyFill="1" applyAlignment="1">
      <alignment horizontal="center"/>
    </xf>
    <xf numFmtId="0" fontId="71" fillId="0" borderId="0" xfId="0" applyNumberFormat="1" applyFont="1" applyFill="1" applyAlignment="1">
      <alignment horizontal="left"/>
    </xf>
    <xf numFmtId="0" fontId="71" fillId="0" borderId="0" xfId="0" applyNumberFormat="1" applyFont="1" applyFill="1" applyAlignment="1"/>
    <xf numFmtId="166" fontId="71" fillId="0" borderId="0" xfId="0" applyNumberFormat="1" applyFont="1" applyFill="1" applyAlignment="1"/>
    <xf numFmtId="0" fontId="72" fillId="0" borderId="0" xfId="0" applyNumberFormat="1" applyFont="1" applyFill="1" applyAlignment="1">
      <alignment horizontal="left"/>
    </xf>
    <xf numFmtId="0" fontId="72" fillId="0" borderId="0" xfId="0" applyNumberFormat="1" applyFont="1" applyFill="1" applyAlignment="1"/>
    <xf numFmtId="166" fontId="72" fillId="0" borderId="0" xfId="0" applyNumberFormat="1" applyFont="1" applyFill="1" applyAlignment="1"/>
    <xf numFmtId="164" fontId="71" fillId="0" borderId="0" xfId="0" applyNumberFormat="1" applyFont="1" applyFill="1" applyAlignment="1"/>
    <xf numFmtId="166" fontId="71" fillId="0" borderId="1" xfId="0" applyNumberFormat="1" applyFont="1" applyFill="1" applyBorder="1" applyAlignment="1"/>
    <xf numFmtId="166" fontId="71" fillId="0" borderId="0" xfId="0" applyNumberFormat="1" applyFont="1" applyFill="1" applyBorder="1" applyAlignment="1"/>
    <xf numFmtId="9" fontId="71" fillId="0" borderId="0" xfId="0" applyNumberFormat="1" applyFont="1" applyFill="1" applyAlignment="1"/>
    <xf numFmtId="166" fontId="72" fillId="0" borderId="28" xfId="0" applyNumberFormat="1" applyFont="1" applyFill="1" applyBorder="1" applyAlignment="1" applyProtection="1">
      <protection locked="0"/>
    </xf>
    <xf numFmtId="0" fontId="48" fillId="0" borderId="0" xfId="0" applyNumberFormat="1" applyFont="1" applyFill="1" applyAlignment="1">
      <alignment horizontal="left"/>
    </xf>
    <xf numFmtId="0" fontId="48" fillId="0" borderId="0" xfId="0" applyNumberFormat="1" applyFont="1" applyFill="1" applyAlignment="1"/>
    <xf numFmtId="166" fontId="48" fillId="0" borderId="0" xfId="0" applyNumberFormat="1" applyFont="1" applyFill="1" applyAlignment="1"/>
    <xf numFmtId="10" fontId="44" fillId="0" borderId="0" xfId="11" applyNumberFormat="1" applyFont="1" applyFill="1"/>
    <xf numFmtId="0" fontId="3" fillId="0" borderId="0" xfId="0" applyFont="1" applyAlignment="1">
      <alignment horizontal="centerContinuous"/>
    </xf>
    <xf numFmtId="0" fontId="3" fillId="0" borderId="0" xfId="0" applyFont="1" applyFill="1" applyAlignment="1">
      <alignment horizontal="center"/>
    </xf>
    <xf numFmtId="42" fontId="3" fillId="0" borderId="15" xfId="0" applyNumberFormat="1" applyFont="1" applyFill="1" applyBorder="1"/>
    <xf numFmtId="42" fontId="3" fillId="0" borderId="0" xfId="0" applyNumberFormat="1" applyFont="1"/>
    <xf numFmtId="10" fontId="67" fillId="0" borderId="14" xfId="4" applyNumberFormat="1" applyFont="1" applyFill="1" applyBorder="1"/>
    <xf numFmtId="42" fontId="0" fillId="0" borderId="0" xfId="0" applyNumberFormat="1"/>
    <xf numFmtId="0" fontId="14" fillId="0" borderId="0" xfId="18" applyFont="1" applyAlignment="1">
      <alignment horizontal="centerContinuous"/>
    </xf>
    <xf numFmtId="0" fontId="2" fillId="0" borderId="0" xfId="18"/>
    <xf numFmtId="0" fontId="2" fillId="0" borderId="0" xfId="18" applyAlignment="1">
      <alignment horizontal="centerContinuous"/>
    </xf>
    <xf numFmtId="0" fontId="2" fillId="0" borderId="0" xfId="18" applyAlignment="1">
      <alignment horizontal="center"/>
    </xf>
    <xf numFmtId="0" fontId="2" fillId="0" borderId="0" xfId="18" applyBorder="1" applyAlignment="1">
      <alignment horizontal="center"/>
    </xf>
    <xf numFmtId="0" fontId="32" fillId="0" borderId="0" xfId="18" applyFont="1" applyBorder="1" applyAlignment="1">
      <alignment horizontal="center"/>
    </xf>
    <xf numFmtId="0" fontId="2" fillId="0" borderId="1" xfId="18" applyBorder="1" applyAlignment="1">
      <alignment horizontal="center"/>
    </xf>
    <xf numFmtId="0" fontId="32" fillId="0" borderId="1" xfId="18" quotePrefix="1" applyFont="1" applyFill="1" applyBorder="1" applyAlignment="1">
      <alignment horizontal="center"/>
    </xf>
    <xf numFmtId="0" fontId="2" fillId="0" borderId="1" xfId="18" applyFont="1" applyBorder="1" applyAlignment="1">
      <alignment horizontal="center"/>
    </xf>
    <xf numFmtId="3" fontId="2" fillId="0" borderId="0" xfId="18" applyNumberFormat="1" applyBorder="1" applyAlignment="1">
      <alignment horizontal="center"/>
    </xf>
    <xf numFmtId="42" fontId="2" fillId="0" borderId="0" xfId="18" applyNumberFormat="1" applyBorder="1" applyAlignment="1">
      <alignment horizontal="center"/>
    </xf>
    <xf numFmtId="42" fontId="2" fillId="0" borderId="0" xfId="18" applyNumberFormat="1" applyFont="1" applyBorder="1" applyAlignment="1">
      <alignment horizontal="center"/>
    </xf>
    <xf numFmtId="42" fontId="33" fillId="0" borderId="0" xfId="18" applyNumberFormat="1" applyFont="1"/>
    <xf numFmtId="180" fontId="2" fillId="0" borderId="0" xfId="18" applyNumberFormat="1"/>
    <xf numFmtId="42" fontId="2" fillId="0" borderId="0" xfId="18" applyNumberFormat="1"/>
    <xf numFmtId="42" fontId="14" fillId="0" borderId="0" xfId="18" applyNumberFormat="1" applyFont="1"/>
    <xf numFmtId="10" fontId="2" fillId="0" borderId="0" xfId="18" applyNumberFormat="1" applyFont="1"/>
    <xf numFmtId="43" fontId="0" fillId="0" borderId="0" xfId="19" applyFont="1"/>
    <xf numFmtId="42" fontId="32" fillId="0" borderId="0" xfId="18" applyNumberFormat="1" applyFont="1"/>
    <xf numFmtId="180" fontId="2" fillId="0" borderId="1" xfId="18" applyNumberFormat="1" applyBorder="1"/>
    <xf numFmtId="3" fontId="2" fillId="0" borderId="15" xfId="18" applyNumberFormat="1" applyBorder="1"/>
    <xf numFmtId="42" fontId="2" fillId="0" borderId="15" xfId="18" applyNumberFormat="1" applyBorder="1"/>
    <xf numFmtId="42" fontId="14" fillId="0" borderId="15" xfId="18" applyNumberFormat="1" applyFont="1" applyBorder="1"/>
    <xf numFmtId="10" fontId="2" fillId="0" borderId="15" xfId="18" applyNumberFormat="1" applyFont="1" applyBorder="1"/>
    <xf numFmtId="3" fontId="2" fillId="0" borderId="0" xfId="18" applyNumberFormat="1"/>
    <xf numFmtId="10" fontId="2" fillId="0" borderId="0" xfId="18" applyNumberFormat="1"/>
    <xf numFmtId="0" fontId="75" fillId="0" borderId="0" xfId="18" applyFont="1" applyBorder="1" applyAlignment="1">
      <alignment horizontal="left"/>
    </xf>
    <xf numFmtId="0" fontId="19" fillId="0" borderId="0" xfId="18" applyFont="1" applyAlignment="1">
      <alignment horizontal="left"/>
    </xf>
    <xf numFmtId="3" fontId="21" fillId="0" borderId="0" xfId="18" applyNumberFormat="1" applyFont="1" applyBorder="1"/>
    <xf numFmtId="42" fontId="21" fillId="0" borderId="0" xfId="18" applyNumberFormat="1" applyFont="1" applyBorder="1"/>
    <xf numFmtId="0" fontId="21" fillId="0" borderId="0" xfId="18" applyFont="1"/>
    <xf numFmtId="42" fontId="21" fillId="0" borderId="0" xfId="18" applyNumberFormat="1" applyFont="1"/>
    <xf numFmtId="10" fontId="21" fillId="0" borderId="0" xfId="18" applyNumberFormat="1" applyFont="1"/>
    <xf numFmtId="0" fontId="21" fillId="0" borderId="0" xfId="18" applyFont="1" applyAlignment="1">
      <alignment horizontal="left"/>
    </xf>
    <xf numFmtId="0" fontId="21" fillId="0" borderId="0" xfId="18" applyFont="1" applyAlignment="1">
      <alignment horizontal="center"/>
    </xf>
    <xf numFmtId="173" fontId="21" fillId="0" borderId="0" xfId="18" applyNumberFormat="1" applyFont="1" applyFill="1"/>
    <xf numFmtId="165" fontId="21" fillId="0" borderId="0" xfId="18" applyNumberFormat="1" applyFont="1" applyFill="1"/>
    <xf numFmtId="173" fontId="21" fillId="0" borderId="0" xfId="19" applyNumberFormat="1" applyFont="1" applyFill="1"/>
    <xf numFmtId="0" fontId="21" fillId="0" borderId="0" xfId="18" applyFont="1" applyFill="1" applyBorder="1" applyAlignment="1">
      <alignment horizontal="left" vertical="center" textRotation="180"/>
    </xf>
    <xf numFmtId="0" fontId="21" fillId="0" borderId="0" xfId="18" applyFont="1" applyFill="1" applyBorder="1" applyAlignment="1">
      <alignment horizontal="left"/>
    </xf>
    <xf numFmtId="0" fontId="21" fillId="0" borderId="0" xfId="18" applyFont="1" applyBorder="1" applyAlignment="1">
      <alignment horizontal="left"/>
    </xf>
    <xf numFmtId="173" fontId="21" fillId="0" borderId="15" xfId="18" applyNumberFormat="1" applyFont="1" applyFill="1" applyBorder="1"/>
    <xf numFmtId="165" fontId="21" fillId="0" borderId="15" xfId="18" applyNumberFormat="1" applyFont="1" applyFill="1" applyBorder="1"/>
    <xf numFmtId="180" fontId="2" fillId="0" borderId="15" xfId="18" applyNumberFormat="1" applyBorder="1"/>
    <xf numFmtId="173" fontId="21" fillId="0" borderId="15" xfId="19" applyNumberFormat="1" applyFont="1" applyFill="1" applyBorder="1"/>
    <xf numFmtId="0" fontId="21" fillId="0" borderId="0" xfId="18" applyFont="1" applyFill="1"/>
    <xf numFmtId="0" fontId="21" fillId="0" borderId="0" xfId="18" applyFont="1" applyBorder="1"/>
    <xf numFmtId="44" fontId="21" fillId="0" borderId="0" xfId="18" applyNumberFormat="1" applyFont="1"/>
    <xf numFmtId="165" fontId="2" fillId="0" borderId="0" xfId="18" applyNumberFormat="1"/>
    <xf numFmtId="0" fontId="14" fillId="0" borderId="0" xfId="18" applyFont="1" applyFill="1" applyAlignment="1">
      <alignment horizontal="centerContinuous"/>
    </xf>
    <xf numFmtId="0" fontId="14" fillId="0" borderId="0" xfId="18" applyFont="1"/>
    <xf numFmtId="0" fontId="14" fillId="0" borderId="0" xfId="18" applyFont="1" applyBorder="1"/>
    <xf numFmtId="0" fontId="14" fillId="0" borderId="0" xfId="18" applyFont="1" applyBorder="1" applyAlignment="1">
      <alignment horizontal="centerContinuous"/>
    </xf>
    <xf numFmtId="0" fontId="14" fillId="0" borderId="1" xfId="18" applyFont="1" applyBorder="1" applyAlignment="1">
      <alignment horizontal="centerContinuous"/>
    </xf>
    <xf numFmtId="0" fontId="14" fillId="0" borderId="0" xfId="18" applyFont="1" applyBorder="1" applyAlignment="1">
      <alignment horizontal="left"/>
    </xf>
    <xf numFmtId="0" fontId="14" fillId="0" borderId="1" xfId="18" applyFont="1" applyBorder="1" applyAlignment="1">
      <alignment horizontal="center"/>
    </xf>
    <xf numFmtId="0" fontId="14" fillId="0" borderId="0" xfId="18" applyFont="1" applyBorder="1" applyAlignment="1">
      <alignment horizontal="center"/>
    </xf>
    <xf numFmtId="0" fontId="77" fillId="0" borderId="0" xfId="18" applyFont="1"/>
    <xf numFmtId="170" fontId="14" fillId="0" borderId="0" xfId="18" applyNumberFormat="1" applyFont="1"/>
    <xf numFmtId="0" fontId="77" fillId="0" borderId="0" xfId="18" applyFont="1" applyBorder="1"/>
    <xf numFmtId="44" fontId="77" fillId="0" borderId="0" xfId="18" applyNumberFormat="1" applyFont="1" applyBorder="1"/>
    <xf numFmtId="44" fontId="14" fillId="0" borderId="0" xfId="18" applyNumberFormat="1" applyFont="1"/>
    <xf numFmtId="44" fontId="14" fillId="0" borderId="15" xfId="18" applyNumberFormat="1" applyFont="1" applyBorder="1"/>
    <xf numFmtId="44" fontId="77" fillId="0" borderId="0" xfId="18" applyNumberFormat="1" applyFont="1"/>
    <xf numFmtId="171" fontId="33" fillId="0" borderId="0" xfId="18" applyNumberFormat="1" applyFont="1"/>
    <xf numFmtId="171" fontId="77" fillId="0" borderId="0" xfId="18" applyNumberFormat="1" applyFont="1" applyBorder="1"/>
    <xf numFmtId="171" fontId="14" fillId="0" borderId="0" xfId="18" applyNumberFormat="1" applyFont="1"/>
    <xf numFmtId="171" fontId="2" fillId="0" borderId="0" xfId="18" applyNumberFormat="1" applyFont="1"/>
    <xf numFmtId="171" fontId="14" fillId="0" borderId="15" xfId="18" applyNumberFormat="1" applyFont="1" applyBorder="1"/>
    <xf numFmtId="171" fontId="2" fillId="0" borderId="0" xfId="18" applyNumberFormat="1" applyFont="1" applyFill="1"/>
    <xf numFmtId="170" fontId="14" fillId="0" borderId="15" xfId="18" applyNumberFormat="1" applyFont="1" applyBorder="1"/>
    <xf numFmtId="171" fontId="14" fillId="0" borderId="0" xfId="18" applyNumberFormat="1" applyFont="1" applyBorder="1"/>
    <xf numFmtId="44" fontId="14" fillId="0" borderId="0" xfId="18" applyNumberFormat="1" applyFont="1" applyBorder="1"/>
    <xf numFmtId="167" fontId="14" fillId="0" borderId="0" xfId="18" applyNumberFormat="1" applyFont="1"/>
    <xf numFmtId="167" fontId="14" fillId="0" borderId="0" xfId="18" applyNumberFormat="1" applyFont="1" applyBorder="1"/>
    <xf numFmtId="10" fontId="14" fillId="0" borderId="0" xfId="18" applyNumberFormat="1" applyFont="1"/>
    <xf numFmtId="0" fontId="14" fillId="0" borderId="0" xfId="18" applyFont="1" applyFill="1" applyAlignment="1"/>
    <xf numFmtId="0" fontId="14" fillId="0" borderId="0" xfId="18" applyFont="1" applyAlignment="1"/>
    <xf numFmtId="0" fontId="2" fillId="0" borderId="0" xfId="18" applyFont="1"/>
    <xf numFmtId="0" fontId="2" fillId="0" borderId="0" xfId="18" applyFont="1" applyAlignment="1">
      <alignment horizontal="center"/>
    </xf>
    <xf numFmtId="0" fontId="2" fillId="0" borderId="0" xfId="18" applyFont="1" applyBorder="1" applyAlignment="1">
      <alignment horizontal="center"/>
    </xf>
    <xf numFmtId="0" fontId="14" fillId="0" borderId="0" xfId="18" applyFont="1" applyAlignment="1">
      <alignment horizontal="center"/>
    </xf>
    <xf numFmtId="42" fontId="2" fillId="0" borderId="0" xfId="18" applyNumberFormat="1" applyFont="1"/>
    <xf numFmtId="167" fontId="2" fillId="0" borderId="0" xfId="18" applyNumberFormat="1" applyFont="1"/>
    <xf numFmtId="3" fontId="2" fillId="0" borderId="15" xfId="18" applyNumberFormat="1" applyFont="1" applyBorder="1"/>
    <xf numFmtId="180" fontId="2" fillId="0" borderId="0" xfId="18" applyNumberFormat="1" applyFont="1"/>
    <xf numFmtId="42" fontId="2" fillId="0" borderId="15" xfId="18" applyNumberFormat="1" applyFont="1" applyBorder="1"/>
    <xf numFmtId="167" fontId="2" fillId="0" borderId="15" xfId="18" applyNumberFormat="1" applyFont="1" applyBorder="1"/>
    <xf numFmtId="3" fontId="14" fillId="0" borderId="0" xfId="18" applyNumberFormat="1" applyFont="1" applyFill="1" applyBorder="1"/>
    <xf numFmtId="171" fontId="14" fillId="0" borderId="0" xfId="18" applyNumberFormat="1" applyFont="1" applyFill="1"/>
    <xf numFmtId="171" fontId="14" fillId="0" borderId="0" xfId="18" applyNumberFormat="1" applyFont="1" applyFill="1" applyBorder="1"/>
    <xf numFmtId="3" fontId="2" fillId="0" borderId="0" xfId="18" applyNumberFormat="1" applyFont="1"/>
    <xf numFmtId="165" fontId="0" fillId="0" borderId="0" xfId="20" applyNumberFormat="1" applyFont="1"/>
    <xf numFmtId="0" fontId="2" fillId="0" borderId="0" xfId="18" quotePrefix="1" applyFont="1"/>
    <xf numFmtId="42" fontId="41" fillId="0" borderId="0" xfId="0" applyNumberFormat="1" applyFont="1" applyFill="1"/>
    <xf numFmtId="173" fontId="41" fillId="0" borderId="0" xfId="0" applyNumberFormat="1" applyFont="1" applyFill="1"/>
    <xf numFmtId="0" fontId="27" fillId="0" borderId="0" xfId="0" applyFont="1" applyFill="1" applyBorder="1"/>
    <xf numFmtId="0" fontId="0" fillId="0" borderId="0" xfId="0" applyFont="1" applyFill="1" applyBorder="1"/>
    <xf numFmtId="10" fontId="27" fillId="0" borderId="0" xfId="0" applyNumberFormat="1" applyFont="1" applyFill="1"/>
    <xf numFmtId="3" fontId="27" fillId="0" borderId="0" xfId="0" applyNumberFormat="1" applyFont="1" applyFill="1"/>
    <xf numFmtId="3" fontId="34" fillId="0" borderId="0" xfId="0" applyNumberFormat="1" applyFont="1" applyFill="1"/>
    <xf numFmtId="43" fontId="41" fillId="0" borderId="0" xfId="0" applyNumberFormat="1" applyFont="1" applyFill="1"/>
    <xf numFmtId="0" fontId="26" fillId="0" borderId="0" xfId="0" applyFont="1" applyFill="1" applyBorder="1"/>
    <xf numFmtId="3" fontId="32" fillId="0" borderId="0" xfId="18" applyNumberFormat="1" applyFont="1"/>
    <xf numFmtId="171" fontId="32" fillId="0" borderId="0" xfId="18" applyNumberFormat="1" applyFont="1"/>
    <xf numFmtId="171" fontId="32" fillId="0" borderId="0" xfId="18" applyNumberFormat="1" applyFont="1" applyFill="1"/>
    <xf numFmtId="44" fontId="32" fillId="0" borderId="0" xfId="18" applyNumberFormat="1" applyFont="1"/>
    <xf numFmtId="0" fontId="33" fillId="0" borderId="1" xfId="18" applyFont="1" applyFill="1" applyBorder="1" applyAlignment="1">
      <alignment horizontal="center"/>
    </xf>
    <xf numFmtId="0" fontId="2" fillId="0" borderId="1" xfId="18" applyFont="1" applyFill="1" applyBorder="1" applyAlignment="1">
      <alignment horizontal="center"/>
    </xf>
    <xf numFmtId="3" fontId="33" fillId="0" borderId="0" xfId="18" applyNumberFormat="1" applyFont="1" applyFill="1"/>
    <xf numFmtId="180" fontId="32" fillId="0" borderId="0" xfId="18" applyNumberFormat="1" applyFont="1" applyFill="1"/>
    <xf numFmtId="180" fontId="33" fillId="0" borderId="0" xfId="18" applyNumberFormat="1" applyFont="1" applyFill="1"/>
    <xf numFmtId="180" fontId="32" fillId="0" borderId="1" xfId="18" applyNumberFormat="1" applyFont="1" applyFill="1" applyBorder="1"/>
    <xf numFmtId="180" fontId="33" fillId="0" borderId="1" xfId="18" applyNumberFormat="1" applyFont="1" applyFill="1" applyBorder="1"/>
    <xf numFmtId="0" fontId="12" fillId="0" borderId="0" xfId="0" quotePrefix="1" applyFont="1" applyFill="1"/>
    <xf numFmtId="0" fontId="12" fillId="0" borderId="0" xfId="0" applyFont="1" applyFill="1" applyBorder="1" applyAlignment="1">
      <alignment horizontal="center"/>
    </xf>
    <xf numFmtId="0" fontId="12" fillId="0" borderId="1" xfId="0" applyFont="1" applyFill="1" applyBorder="1" applyAlignment="1">
      <alignment horizontal="center"/>
    </xf>
    <xf numFmtId="165" fontId="13" fillId="0" borderId="0" xfId="0" applyNumberFormat="1" applyFont="1" applyFill="1"/>
    <xf numFmtId="165" fontId="33" fillId="0" borderId="0" xfId="0" applyNumberFormat="1" applyFont="1" applyFill="1" applyBorder="1"/>
    <xf numFmtId="165" fontId="12" fillId="0" borderId="0" xfId="0" applyNumberFormat="1" applyFont="1" applyFill="1" applyBorder="1"/>
    <xf numFmtId="42" fontId="6" fillId="0" borderId="0" xfId="0" applyNumberFormat="1" applyFont="1" applyFill="1"/>
    <xf numFmtId="42" fontId="33" fillId="0" borderId="0" xfId="0" applyNumberFormat="1" applyFont="1" applyFill="1"/>
    <xf numFmtId="42" fontId="13" fillId="0" borderId="0" xfId="0" applyNumberFormat="1" applyFont="1" applyFill="1"/>
    <xf numFmtId="0" fontId="33" fillId="0" borderId="0" xfId="0" applyFont="1" applyFill="1" applyAlignment="1">
      <alignment horizontal="center"/>
    </xf>
    <xf numFmtId="172" fontId="33" fillId="0" borderId="0" xfId="0" applyNumberFormat="1" applyFont="1" applyFill="1"/>
    <xf numFmtId="167" fontId="12" fillId="0" borderId="0" xfId="0" applyNumberFormat="1" applyFont="1" applyFill="1"/>
    <xf numFmtId="10" fontId="61" fillId="0" borderId="14" xfId="14" applyNumberFormat="1" applyFont="1" applyFill="1" applyBorder="1"/>
    <xf numFmtId="179" fontId="12" fillId="0" borderId="0" xfId="0" applyNumberFormat="1" applyFont="1" applyFill="1" applyBorder="1"/>
    <xf numFmtId="165" fontId="33" fillId="0" borderId="0" xfId="0" applyNumberFormat="1" applyFont="1" applyFill="1"/>
    <xf numFmtId="173" fontId="13" fillId="0" borderId="0" xfId="1" applyNumberFormat="1" applyFont="1" applyFill="1"/>
    <xf numFmtId="0" fontId="1" fillId="0" borderId="0" xfId="0" applyFont="1"/>
    <xf numFmtId="0" fontId="0" fillId="0" borderId="0" xfId="0" applyFont="1"/>
    <xf numFmtId="0" fontId="1" fillId="0" borderId="0" xfId="0" applyFont="1" applyFill="1"/>
    <xf numFmtId="0" fontId="1" fillId="0" borderId="0" xfId="0" applyFont="1" applyFill="1" applyAlignment="1">
      <alignment horizontal="centerContinuous"/>
    </xf>
    <xf numFmtId="0" fontId="3" fillId="0" borderId="14" xfId="8" applyFont="1" applyFill="1" applyBorder="1" applyAlignment="1">
      <alignment horizontal="center" vertical="center" wrapText="1"/>
    </xf>
    <xf numFmtId="0" fontId="43" fillId="0" borderId="14" xfId="8" applyFont="1" applyFill="1" applyBorder="1" applyAlignment="1">
      <alignment horizontal="center" wrapText="1"/>
    </xf>
    <xf numFmtId="9" fontId="5" fillId="0" borderId="14" xfId="3" applyFont="1" applyFill="1" applyBorder="1"/>
    <xf numFmtId="0" fontId="10" fillId="0" borderId="0" xfId="0" applyFont="1" applyFill="1" applyAlignment="1">
      <alignment horizontal="centerContinuous"/>
    </xf>
    <xf numFmtId="0" fontId="12" fillId="0" borderId="0" xfId="0" applyFont="1" applyFill="1" applyAlignment="1">
      <alignment horizontal="centerContinuous"/>
    </xf>
    <xf numFmtId="0" fontId="3" fillId="0" borderId="0" xfId="0" quotePrefix="1"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165" fontId="3" fillId="0" borderId="0" xfId="0" applyNumberFormat="1" applyFont="1" applyFill="1" applyBorder="1"/>
    <xf numFmtId="167" fontId="3" fillId="0" borderId="0" xfId="0" applyNumberFormat="1" applyFont="1" applyFill="1"/>
    <xf numFmtId="0" fontId="2" fillId="0" borderId="0" xfId="18" applyFont="1" applyAlignment="1">
      <alignment horizontal="center"/>
    </xf>
    <xf numFmtId="0" fontId="19" fillId="0" borderId="0" xfId="0" applyFont="1" applyFill="1" applyAlignment="1">
      <alignment horizontal="center" vertical="top"/>
    </xf>
    <xf numFmtId="0" fontId="67" fillId="0" borderId="0" xfId="11" applyFont="1" applyAlignment="1">
      <alignment horizontal="left" wrapText="1"/>
    </xf>
    <xf numFmtId="0" fontId="53" fillId="0" borderId="16" xfId="12" applyFont="1" applyFill="1" applyBorder="1" applyAlignment="1">
      <alignment horizontal="center"/>
    </xf>
    <xf numFmtId="0" fontId="53" fillId="0" borderId="13" xfId="12" applyFont="1" applyFill="1" applyBorder="1" applyAlignment="1">
      <alignment horizontal="center"/>
    </xf>
    <xf numFmtId="0" fontId="53" fillId="0" borderId="17" xfId="12" applyFont="1" applyFill="1" applyBorder="1" applyAlignment="1">
      <alignment horizontal="center"/>
    </xf>
    <xf numFmtId="0" fontId="53" fillId="0" borderId="16" xfId="7" applyFont="1" applyFill="1" applyBorder="1" applyAlignment="1">
      <alignment horizontal="center"/>
    </xf>
    <xf numFmtId="0" fontId="53" fillId="0" borderId="13" xfId="7" applyFont="1" applyFill="1" applyBorder="1" applyAlignment="1">
      <alignment horizontal="center"/>
    </xf>
    <xf numFmtId="0" fontId="53" fillId="0" borderId="17" xfId="7" applyFont="1" applyFill="1" applyBorder="1" applyAlignment="1">
      <alignment horizontal="center"/>
    </xf>
    <xf numFmtId="0" fontId="68" fillId="0" borderId="0" xfId="0" applyNumberFormat="1" applyFont="1" applyFill="1" applyAlignment="1" applyProtection="1">
      <alignment horizontal="center"/>
      <protection locked="0"/>
    </xf>
    <xf numFmtId="0" fontId="68" fillId="0" borderId="0" xfId="0" applyNumberFormat="1" applyFont="1" applyAlignment="1">
      <alignment horizontal="center"/>
    </xf>
    <xf numFmtId="0" fontId="68" fillId="0" borderId="0" xfId="0" applyNumberFormat="1" applyFont="1" applyFill="1" applyAlignment="1">
      <alignment horizontal="center"/>
    </xf>
  </cellXfs>
  <cellStyles count="21">
    <cellStyle name="Comma" xfId="1" builtinId="3"/>
    <cellStyle name="Comma 2" xfId="9"/>
    <cellStyle name="Comma 2 2" xfId="15"/>
    <cellStyle name="Comma 3" xfId="19"/>
    <cellStyle name="Currency" xfId="2" builtinId="4"/>
    <cellStyle name="Currency 2" xfId="20"/>
    <cellStyle name="Currency 3" xfId="5"/>
    <cellStyle name="Currency 3 2" xfId="13"/>
    <cellStyle name="Normal" xfId="0" builtinId="0"/>
    <cellStyle name="Normal 2" xfId="18"/>
    <cellStyle name="Normal 3" xfId="4"/>
    <cellStyle name="Normal 3 2" xfId="10"/>
    <cellStyle name="Normal 3 2 2" xfId="17"/>
    <cellStyle name="Normal 3 3" xfId="11"/>
    <cellStyle name="Normal 3 4" xfId="16"/>
    <cellStyle name="Normal 4" xfId="7"/>
    <cellStyle name="Normal 4 2" xfId="8"/>
    <cellStyle name="Normal 4 3" xfId="12"/>
    <cellStyle name="Percent" xfId="3" builtinId="5"/>
    <cellStyle name="Percent 2" xfId="6"/>
    <cellStyle name="Percent 2 2" xfId="14"/>
  </cellStyles>
  <dxfs count="0"/>
  <tableStyles count="0" defaultTableStyle="TableStyleMedium2" defaultPivotStyle="PivotStyleLight16"/>
  <colors>
    <mruColors>
      <color rgb="FF0000FF"/>
      <color rgb="FFFFCCFF"/>
      <color rgb="FF008080"/>
      <color rgb="FFE31D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52916</xdr:colOff>
      <xdr:row>34</xdr:row>
      <xdr:rowOff>31750</xdr:rowOff>
    </xdr:from>
    <xdr:to>
      <xdr:col>11</xdr:col>
      <xdr:colOff>955563</xdr:colOff>
      <xdr:row>50</xdr:row>
      <xdr:rowOff>117223</xdr:rowOff>
    </xdr:to>
    <xdr:pic>
      <xdr:nvPicPr>
        <xdr:cNvPr id="2" name="Picture 1"/>
        <xdr:cNvPicPr>
          <a:picLocks noChangeAspect="1"/>
        </xdr:cNvPicPr>
      </xdr:nvPicPr>
      <xdr:blipFill>
        <a:blip xmlns:r="http://schemas.openxmlformats.org/officeDocument/2006/relationships" r:embed="rId1"/>
        <a:stretch>
          <a:fillRect/>
        </a:stretch>
      </xdr:blipFill>
      <xdr:spPr>
        <a:xfrm>
          <a:off x="700616" y="6623050"/>
          <a:ext cx="13564547" cy="30318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pageSetUpPr fitToPage="1"/>
  </sheetPr>
  <dimension ref="A1:N24"/>
  <sheetViews>
    <sheetView tabSelected="1" zoomScale="90" zoomScaleNormal="90" workbookViewId="0">
      <selection activeCell="I27" sqref="I27"/>
    </sheetView>
  </sheetViews>
  <sheetFormatPr defaultColWidth="8.7109375" defaultRowHeight="12.75" outlineLevelCol="1" x14ac:dyDescent="0.2"/>
  <cols>
    <col min="1" max="1" width="4.5703125" style="16" customWidth="1"/>
    <col min="2" max="2" width="3" style="16" customWidth="1"/>
    <col min="3" max="3" width="42.85546875" style="16" bestFit="1" customWidth="1"/>
    <col min="4" max="4" width="13.7109375" style="16" customWidth="1"/>
    <col min="5" max="5" width="15.28515625" style="16" bestFit="1" customWidth="1"/>
    <col min="6" max="6" width="13.7109375" style="16" bestFit="1" customWidth="1"/>
    <col min="7" max="8" width="13" style="16" bestFit="1" customWidth="1"/>
    <col min="9" max="9" width="12.5703125" style="16" bestFit="1" customWidth="1"/>
    <col min="10" max="10" width="13.85546875" style="16" bestFit="1" customWidth="1"/>
    <col min="11" max="11" width="12" style="16" bestFit="1" customWidth="1"/>
    <col min="12" max="12" width="8.7109375" style="16"/>
    <col min="13" max="13" width="12.140625" style="16" bestFit="1" customWidth="1" outlineLevel="1"/>
    <col min="14" max="14" width="10.85546875" style="16" bestFit="1" customWidth="1"/>
    <col min="15" max="15" width="20.140625" style="16" customWidth="1"/>
    <col min="16" max="16384" width="8.7109375" style="16"/>
  </cols>
  <sheetData>
    <row r="1" spans="1:14" x14ac:dyDescent="0.2">
      <c r="A1" s="242" t="s">
        <v>0</v>
      </c>
      <c r="B1" s="242"/>
      <c r="C1" s="242"/>
      <c r="D1" s="242"/>
      <c r="E1" s="242"/>
      <c r="F1" s="242"/>
      <c r="G1" s="242"/>
      <c r="H1" s="242"/>
      <c r="I1" s="242"/>
      <c r="J1" s="242"/>
      <c r="K1" s="242"/>
    </row>
    <row r="2" spans="1:14" s="9" customFormat="1" x14ac:dyDescent="0.2">
      <c r="A2" s="242" t="s">
        <v>311</v>
      </c>
      <c r="B2" s="242"/>
      <c r="C2" s="242"/>
      <c r="D2" s="242"/>
      <c r="E2" s="242"/>
      <c r="F2" s="242"/>
      <c r="G2" s="242"/>
      <c r="H2" s="242"/>
      <c r="I2" s="242"/>
      <c r="J2" s="242"/>
      <c r="K2" s="242"/>
    </row>
    <row r="3" spans="1:14" x14ac:dyDescent="0.2">
      <c r="A3" s="242" t="s">
        <v>147</v>
      </c>
      <c r="B3" s="242"/>
      <c r="C3" s="242"/>
      <c r="D3" s="242"/>
      <c r="E3" s="242"/>
      <c r="F3" s="242"/>
      <c r="G3" s="242"/>
      <c r="H3" s="242"/>
      <c r="I3" s="242"/>
      <c r="J3" s="242"/>
      <c r="K3" s="242"/>
    </row>
    <row r="4" spans="1:14" x14ac:dyDescent="0.2">
      <c r="A4" s="242" t="s">
        <v>457</v>
      </c>
      <c r="B4" s="242"/>
      <c r="C4" s="242"/>
      <c r="D4" s="242"/>
      <c r="E4" s="242"/>
      <c r="F4" s="242"/>
      <c r="G4" s="242"/>
      <c r="H4" s="242"/>
      <c r="I4" s="242"/>
      <c r="J4" s="242"/>
      <c r="K4" s="242"/>
    </row>
    <row r="5" spans="1:14" x14ac:dyDescent="0.2">
      <c r="B5" s="15"/>
      <c r="C5" s="14"/>
      <c r="D5" s="14"/>
      <c r="E5" s="14"/>
      <c r="F5" s="14"/>
      <c r="G5" s="14"/>
      <c r="H5" s="14"/>
      <c r="I5" s="14"/>
      <c r="J5" s="14"/>
      <c r="K5" s="14"/>
    </row>
    <row r="6" spans="1:14" x14ac:dyDescent="0.2">
      <c r="B6" s="13"/>
      <c r="F6" s="12" t="s">
        <v>148</v>
      </c>
      <c r="G6" s="12" t="s">
        <v>148</v>
      </c>
      <c r="I6" s="12" t="s">
        <v>148</v>
      </c>
      <c r="J6" s="12" t="s">
        <v>148</v>
      </c>
    </row>
    <row r="7" spans="1:14" x14ac:dyDescent="0.2">
      <c r="E7" s="12" t="s">
        <v>148</v>
      </c>
      <c r="F7" s="12" t="s">
        <v>115</v>
      </c>
      <c r="G7" s="12" t="s">
        <v>116</v>
      </c>
      <c r="H7" s="12" t="s">
        <v>148</v>
      </c>
      <c r="I7" s="12" t="s">
        <v>117</v>
      </c>
      <c r="J7" s="12" t="s">
        <v>118</v>
      </c>
      <c r="K7" s="12"/>
    </row>
    <row r="8" spans="1:14" x14ac:dyDescent="0.2">
      <c r="A8" s="158" t="s">
        <v>150</v>
      </c>
      <c r="E8" s="12" t="s">
        <v>120</v>
      </c>
      <c r="F8" s="12" t="s">
        <v>121</v>
      </c>
      <c r="G8" s="12" t="s">
        <v>122</v>
      </c>
      <c r="H8" s="12" t="s">
        <v>123</v>
      </c>
      <c r="I8" s="12" t="s">
        <v>124</v>
      </c>
      <c r="J8" s="12" t="s">
        <v>125</v>
      </c>
      <c r="K8" s="12"/>
    </row>
    <row r="9" spans="1:14" x14ac:dyDescent="0.2">
      <c r="A9" s="11" t="s">
        <v>151</v>
      </c>
      <c r="B9" s="10"/>
      <c r="C9" s="10"/>
      <c r="D9" s="11" t="s">
        <v>90</v>
      </c>
      <c r="E9" s="11" t="s">
        <v>127</v>
      </c>
      <c r="F9" s="11" t="s">
        <v>128</v>
      </c>
      <c r="G9" s="11" t="s">
        <v>129</v>
      </c>
      <c r="H9" s="11" t="s">
        <v>130</v>
      </c>
      <c r="I9" s="11" t="s">
        <v>130</v>
      </c>
      <c r="J9" s="11" t="s">
        <v>130</v>
      </c>
      <c r="K9" s="11" t="s">
        <v>131</v>
      </c>
      <c r="M9" s="254" t="s">
        <v>253</v>
      </c>
      <c r="N9" s="254" t="s">
        <v>254</v>
      </c>
    </row>
    <row r="10" spans="1:14" x14ac:dyDescent="0.2">
      <c r="C10" s="19" t="s">
        <v>152</v>
      </c>
      <c r="D10" s="19" t="s">
        <v>153</v>
      </c>
      <c r="E10" s="18" t="s">
        <v>154</v>
      </c>
      <c r="F10" s="17" t="s">
        <v>155</v>
      </c>
      <c r="G10" s="18" t="s">
        <v>156</v>
      </c>
      <c r="H10" s="17" t="s">
        <v>157</v>
      </c>
      <c r="I10" s="17" t="s">
        <v>158</v>
      </c>
      <c r="J10" s="17" t="s">
        <v>159</v>
      </c>
      <c r="K10" s="17" t="s">
        <v>160</v>
      </c>
      <c r="L10" s="17"/>
      <c r="M10" s="166"/>
      <c r="N10" s="166"/>
    </row>
    <row r="11" spans="1:14" s="9" customFormat="1" x14ac:dyDescent="0.2">
      <c r="A11" s="159">
        <v>1</v>
      </c>
      <c r="B11" s="8" t="s">
        <v>202</v>
      </c>
      <c r="C11" s="7"/>
      <c r="D11" s="6"/>
      <c r="E11" s="5"/>
      <c r="F11" s="5"/>
      <c r="G11" s="5"/>
      <c r="H11" s="5"/>
      <c r="I11" s="5"/>
      <c r="J11" s="5"/>
      <c r="K11" s="5"/>
      <c r="M11" s="167"/>
      <c r="N11" s="167"/>
    </row>
    <row r="12" spans="1:14" s="9" customFormat="1" x14ac:dyDescent="0.2">
      <c r="A12" s="159">
        <f>A11+1</f>
        <v>2</v>
      </c>
      <c r="B12" s="8"/>
      <c r="C12" s="9" t="s">
        <v>314</v>
      </c>
      <c r="D12" s="6">
        <f t="shared" ref="D12" si="0">SUM(E12:K12)</f>
        <v>6423676.0933971079</v>
      </c>
      <c r="E12" s="5">
        <f>'CRM 2019 Rev Req Alloc (YEAR 4)'!F21</f>
        <v>4224945.709007442</v>
      </c>
      <c r="F12" s="5">
        <f>'CRM 2019 Rev Req Alloc (YEAR 4)'!G21</f>
        <v>1541002.3809881792</v>
      </c>
      <c r="G12" s="5">
        <f>'CRM 2019 Rev Req Alloc (YEAR 4)'!H21</f>
        <v>338016.72557797428</v>
      </c>
      <c r="H12" s="5">
        <f>'CRM 2019 Rev Req Alloc (YEAR 4)'!I21</f>
        <v>164685.4970016233</v>
      </c>
      <c r="I12" s="5">
        <f>'CRM 2019 Rev Req Alloc (YEAR 4)'!J21</f>
        <v>17739.016182300718</v>
      </c>
      <c r="J12" s="5">
        <f>'CRM 2019 Rev Req Alloc (YEAR 4)'!K21</f>
        <v>128770.71414928188</v>
      </c>
      <c r="K12" s="5">
        <f>'CRM 2019 Rev Req Alloc (YEAR 4)'!L21</f>
        <v>8516.0504903057899</v>
      </c>
      <c r="M12" s="776">
        <f>D12-'CRM 2019 Rev Req Alloc (YEAR 4)'!E21</f>
        <v>0</v>
      </c>
      <c r="N12" s="777">
        <f>D12-'Summary - Revenue Requirement'!B10</f>
        <v>0</v>
      </c>
    </row>
    <row r="13" spans="1:14" s="9" customFormat="1" x14ac:dyDescent="0.2">
      <c r="A13" s="159">
        <f>A12+1</f>
        <v>3</v>
      </c>
      <c r="C13" s="9" t="s">
        <v>315</v>
      </c>
      <c r="D13" s="6">
        <f t="shared" ref="D13:D14" si="1">SUM(E13:K13)</f>
        <v>5847991.7194588399</v>
      </c>
      <c r="E13" s="5">
        <f>'CRM 2020 Rev Req Alloc (YEAR 3)'!F21</f>
        <v>3811707.0480026416</v>
      </c>
      <c r="F13" s="5">
        <f>'CRM 2020 Rev Req Alloc (YEAR 3)'!G21</f>
        <v>1473084.1426310632</v>
      </c>
      <c r="G13" s="5">
        <f>'CRM 2020 Rev Req Alloc (YEAR 3)'!H21</f>
        <v>288622.27431902685</v>
      </c>
      <c r="H13" s="5">
        <f>'CRM 2020 Rev Req Alloc (YEAR 3)'!I21</f>
        <v>142190.69392838053</v>
      </c>
      <c r="I13" s="5">
        <f>'CRM 2020 Rev Req Alloc (YEAR 3)'!J21</f>
        <v>15468.300304616405</v>
      </c>
      <c r="J13" s="5">
        <f>'CRM 2020 Rev Req Alloc (YEAR 3)'!K21</f>
        <v>109188.00258600843</v>
      </c>
      <c r="K13" s="5">
        <f>'CRM 2020 Rev Req Alloc (YEAR 3)'!L21</f>
        <v>7731.2576871028632</v>
      </c>
      <c r="M13" s="776">
        <f>D13-'CRM 2020 Rev Req Alloc (YEAR 3)'!E21</f>
        <v>0</v>
      </c>
      <c r="N13" s="777">
        <f>D13-'Summary - Revenue Requirement'!B11</f>
        <v>0</v>
      </c>
    </row>
    <row r="14" spans="1:14" s="9" customFormat="1" x14ac:dyDescent="0.2">
      <c r="A14" s="159">
        <f t="shared" ref="A14:A23" si="2">A13+1</f>
        <v>4</v>
      </c>
      <c r="B14" s="778"/>
      <c r="C14" s="778" t="s">
        <v>316</v>
      </c>
      <c r="D14" s="6">
        <f t="shared" si="1"/>
        <v>4966809.2821760057</v>
      </c>
      <c r="E14" s="5">
        <f>'CRM 2021 Rev Req Alloc (YEAR 2)'!F21</f>
        <v>3233658.2297764649</v>
      </c>
      <c r="F14" s="5">
        <f>'CRM 2021 Rev Req Alloc (YEAR 2)'!G21</f>
        <v>1258615.1294422392</v>
      </c>
      <c r="G14" s="5">
        <f>'CRM 2021 Rev Req Alloc (YEAR 2)'!H21</f>
        <v>243091.90539263425</v>
      </c>
      <c r="H14" s="5">
        <f>'CRM 2021 Rev Req Alloc (YEAR 2)'!I21</f>
        <v>119938.8975460314</v>
      </c>
      <c r="I14" s="5">
        <f>'CRM 2021 Rev Req Alloc (YEAR 2)'!J21</f>
        <v>13064.778869512809</v>
      </c>
      <c r="J14" s="5">
        <f>'CRM 2021 Rev Req Alloc (YEAR 2)'!K21</f>
        <v>91876.345073114484</v>
      </c>
      <c r="K14" s="5">
        <f>'CRM 2021 Rev Req Alloc (YEAR 2)'!L21</f>
        <v>6563.9960760090398</v>
      </c>
      <c r="M14" s="776">
        <f>D14-'CRM 2021 Rev Req Alloc (YEAR 2)'!E21</f>
        <v>0</v>
      </c>
      <c r="N14" s="777">
        <f>D14-'Summary - Revenue Requirement'!B12</f>
        <v>0</v>
      </c>
    </row>
    <row r="15" spans="1:14" s="9" customFormat="1" x14ac:dyDescent="0.2">
      <c r="A15" s="159">
        <f t="shared" si="2"/>
        <v>5</v>
      </c>
      <c r="B15" s="778"/>
      <c r="C15" s="778" t="s">
        <v>317</v>
      </c>
      <c r="D15" s="6">
        <f t="shared" ref="D15" si="3">SUM(E15:K15)</f>
        <v>123138.08693615513</v>
      </c>
      <c r="E15" s="5">
        <f>'CRM 2021 Rev Req Alloc TrueUp'!F28</f>
        <v>76216.506805686702</v>
      </c>
      <c r="F15" s="5">
        <f>'CRM 2021 Rev Req Alloc TrueUp'!G28</f>
        <v>39285.770841016521</v>
      </c>
      <c r="G15" s="5">
        <f>'CRM 2021 Rev Req Alloc TrueUp'!H28</f>
        <v>3811.3664627841931</v>
      </c>
      <c r="H15" s="5">
        <f>'CRM 2021 Rev Req Alloc TrueUp'!I28</f>
        <v>2074.7340993891935</v>
      </c>
      <c r="I15" s="5">
        <f>'CRM 2021 Rev Req Alloc TrueUp'!J28</f>
        <v>244.65093514364511</v>
      </c>
      <c r="J15" s="5">
        <f>'CRM 2021 Rev Req Alloc TrueUp'!K28</f>
        <v>1345.168776557616</v>
      </c>
      <c r="K15" s="5">
        <f>'CRM 2021 Rev Req Alloc TrueUp'!L28</f>
        <v>159.88901557725003</v>
      </c>
      <c r="M15" s="776">
        <f>D15-'CRM 2021 Rev Req Alloc TrueUp'!E28</f>
        <v>0</v>
      </c>
      <c r="N15" s="777">
        <f>D15-'Summary - Revenue Requirement'!B13</f>
        <v>1.6007106751203537E-10</v>
      </c>
    </row>
    <row r="16" spans="1:14" s="9" customFormat="1" x14ac:dyDescent="0.2">
      <c r="A16" s="159">
        <f t="shared" si="2"/>
        <v>6</v>
      </c>
      <c r="B16" s="778"/>
      <c r="C16" s="778" t="s">
        <v>318</v>
      </c>
      <c r="D16" s="6">
        <f t="shared" ref="D16" si="4">SUM(E16:K16)</f>
        <v>9691730.7786414288</v>
      </c>
      <c r="E16" s="5">
        <f>'CRM 2022 Rev Req Alloc'!F28</f>
        <v>6157680.8000612101</v>
      </c>
      <c r="F16" s="5">
        <f>'CRM 2022 Rev Req Alloc'!G28</f>
        <v>2765057.1635751938</v>
      </c>
      <c r="G16" s="5">
        <f>'CRM 2022 Rev Req Alloc'!H28</f>
        <v>390088.71077233087</v>
      </c>
      <c r="H16" s="5">
        <f>'CRM 2022 Rev Req Alloc'!I28</f>
        <v>199901.66897654725</v>
      </c>
      <c r="I16" s="5">
        <f>'CRM 2022 Rev Req Alloc'!J28</f>
        <v>22487.438855374123</v>
      </c>
      <c r="J16" s="5">
        <f>'CRM 2022 Rev Req Alloc'!K28</f>
        <v>143804.62409409555</v>
      </c>
      <c r="K16" s="5">
        <f>'CRM 2022 Rev Req Alloc'!L28</f>
        <v>12710.372306679134</v>
      </c>
      <c r="M16" s="776">
        <f>D16-'CRM 2022 Rev Req Alloc'!E28</f>
        <v>0</v>
      </c>
      <c r="N16" s="777">
        <f>D16-'Summary - Revenue Requirement'!B14</f>
        <v>0</v>
      </c>
    </row>
    <row r="17" spans="1:14" s="9" customFormat="1" x14ac:dyDescent="0.2">
      <c r="A17" s="159">
        <f t="shared" si="2"/>
        <v>7</v>
      </c>
      <c r="B17" s="779" t="s">
        <v>149</v>
      </c>
      <c r="C17" s="3"/>
      <c r="D17" s="160">
        <f>SUM(D12:D16)</f>
        <v>27053345.960609537</v>
      </c>
      <c r="E17" s="160">
        <f>SUM(E12:E16)</f>
        <v>17504208.293653443</v>
      </c>
      <c r="F17" s="160">
        <f t="shared" ref="F17:J17" si="5">SUM(F12:F16)</f>
        <v>7077044.5874776915</v>
      </c>
      <c r="G17" s="160">
        <f t="shared" si="5"/>
        <v>1263630.9825247503</v>
      </c>
      <c r="H17" s="160">
        <f t="shared" si="5"/>
        <v>628791.49155197165</v>
      </c>
      <c r="I17" s="160">
        <f t="shared" si="5"/>
        <v>69004.185146947711</v>
      </c>
      <c r="J17" s="160">
        <f t="shared" si="5"/>
        <v>474984.85467905796</v>
      </c>
      <c r="K17" s="160">
        <f>SUM(K12:K16)</f>
        <v>35681.565575674074</v>
      </c>
      <c r="M17" s="776"/>
      <c r="N17" s="777">
        <f>D17-'Summary - Revenue Requirement'!B15</f>
        <v>0</v>
      </c>
    </row>
    <row r="18" spans="1:14" s="9" customFormat="1" x14ac:dyDescent="0.2">
      <c r="A18" s="159">
        <f t="shared" si="2"/>
        <v>8</v>
      </c>
      <c r="E18" s="780"/>
      <c r="F18" s="780"/>
      <c r="G18" s="780"/>
      <c r="H18" s="780"/>
      <c r="I18" s="780"/>
      <c r="J18" s="780"/>
      <c r="K18" s="780"/>
    </row>
    <row r="19" spans="1:14" s="9" customFormat="1" x14ac:dyDescent="0.2">
      <c r="A19" s="159">
        <f t="shared" si="2"/>
        <v>9</v>
      </c>
      <c r="B19" s="9" t="s">
        <v>344</v>
      </c>
      <c r="D19" s="781">
        <f>SUM(E19:K19)</f>
        <v>1170264197</v>
      </c>
      <c r="E19" s="782">
        <f>SUM('Forecasted Volume'!N8:N10)</f>
        <v>592792077</v>
      </c>
      <c r="F19" s="782">
        <f>SUM('Forecasted Volume'!N11,'Forecasted Volume'!N16)</f>
        <v>239352531</v>
      </c>
      <c r="G19" s="782">
        <f>SUM('Forecasted Volume'!N12,'Forecasted Volume'!N17)</f>
        <v>88827838</v>
      </c>
      <c r="H19" s="782">
        <f>SUM('Forecasted Volume'!N13,'Forecasted Volume'!N18)</f>
        <v>86211930</v>
      </c>
      <c r="I19" s="782">
        <f>SUM('Forecasted Volume'!N14,'Forecasted Volume'!N19)</f>
        <v>6738707</v>
      </c>
      <c r="J19" s="782">
        <f>SUM('Forecasted Volume'!N15,'Forecasted Volume'!N20)</f>
        <v>119430070</v>
      </c>
      <c r="K19" s="782">
        <f>'Forecasted Volume'!N21</f>
        <v>36911044</v>
      </c>
      <c r="L19" s="4"/>
      <c r="M19" s="783">
        <f>D19-'Forecasted Volume'!N22</f>
        <v>0</v>
      </c>
      <c r="N19" s="783"/>
    </row>
    <row r="20" spans="1:14" s="9" customFormat="1" x14ac:dyDescent="0.2">
      <c r="A20" s="159">
        <f t="shared" si="2"/>
        <v>10</v>
      </c>
      <c r="B20" s="784"/>
      <c r="C20" s="3"/>
      <c r="D20" s="3"/>
      <c r="E20" s="3"/>
      <c r="F20" s="3"/>
      <c r="G20" s="3"/>
      <c r="H20" s="3"/>
      <c r="I20" s="3"/>
      <c r="J20" s="3"/>
      <c r="K20" s="3"/>
      <c r="L20" s="4"/>
    </row>
    <row r="21" spans="1:14" x14ac:dyDescent="0.2">
      <c r="A21" s="159">
        <f t="shared" si="2"/>
        <v>11</v>
      </c>
      <c r="B21" s="7" t="s">
        <v>230</v>
      </c>
      <c r="C21" s="4"/>
      <c r="D21" s="4"/>
      <c r="E21" s="4"/>
      <c r="F21" s="4"/>
      <c r="G21" s="4"/>
      <c r="H21" s="4"/>
      <c r="I21" s="4"/>
      <c r="J21" s="4"/>
      <c r="K21" s="4"/>
      <c r="L21" s="4"/>
    </row>
    <row r="22" spans="1:14" x14ac:dyDescent="0.2">
      <c r="A22" s="159">
        <f t="shared" si="2"/>
        <v>12</v>
      </c>
      <c r="C22" s="16" t="s">
        <v>132</v>
      </c>
      <c r="D22" s="2"/>
      <c r="E22" s="2">
        <f t="shared" ref="E22:K22" si="6">ROUND(E17/E19,5)</f>
        <v>2.9530000000000001E-2</v>
      </c>
      <c r="F22" s="2">
        <f t="shared" si="6"/>
        <v>2.9569999999999999E-2</v>
      </c>
      <c r="G22" s="2">
        <f t="shared" si="6"/>
        <v>1.423E-2</v>
      </c>
      <c r="H22" s="2">
        <f t="shared" si="6"/>
        <v>7.2899999999999996E-3</v>
      </c>
      <c r="I22" s="2">
        <f t="shared" si="6"/>
        <v>1.0240000000000001E-2</v>
      </c>
      <c r="J22" s="2">
        <f t="shared" si="6"/>
        <v>3.98E-3</v>
      </c>
      <c r="K22" s="2">
        <f t="shared" si="6"/>
        <v>9.7000000000000005E-4</v>
      </c>
    </row>
    <row r="23" spans="1:14" x14ac:dyDescent="0.2">
      <c r="A23" s="159">
        <f t="shared" si="2"/>
        <v>13</v>
      </c>
      <c r="C23" s="16" t="s">
        <v>133</v>
      </c>
      <c r="D23" s="4"/>
      <c r="E23" s="1">
        <f>ROUND(E22*19,2)</f>
        <v>0.56000000000000005</v>
      </c>
      <c r="F23" s="4"/>
      <c r="G23" s="4"/>
      <c r="H23" s="4"/>
      <c r="I23" s="4"/>
      <c r="J23" s="4"/>
      <c r="K23" s="4"/>
      <c r="L23" s="4"/>
    </row>
    <row r="24" spans="1:14" x14ac:dyDescent="0.2">
      <c r="A24" s="159"/>
      <c r="C24" s="4"/>
      <c r="D24" s="4"/>
      <c r="E24" s="1"/>
      <c r="F24" s="4"/>
      <c r="G24" s="4"/>
      <c r="H24" s="4"/>
      <c r="I24" s="4"/>
      <c r="J24" s="4"/>
      <c r="K24" s="4"/>
      <c r="L24" s="4"/>
    </row>
  </sheetData>
  <printOptions horizontalCentered="1"/>
  <pageMargins left="0.7" right="0.7" top="0.75" bottom="0.75" header="0.3" footer="0.3"/>
  <pageSetup scale="84" orientation="landscape" blackAndWhite="1" horizontalDpi="300" verticalDpi="300" r:id="rId1"/>
  <headerFooter>
    <oddFooter>&amp;L&amp;F
&amp;A&amp;C&amp;P&amp;R&amp;D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45"/>
  <sheetViews>
    <sheetView zoomScale="90" zoomScaleNormal="90" workbookViewId="0">
      <selection activeCell="K25" sqref="K25"/>
    </sheetView>
  </sheetViews>
  <sheetFormatPr defaultColWidth="8.7109375" defaultRowHeight="15" outlineLevelCol="1" x14ac:dyDescent="0.25"/>
  <cols>
    <col min="1" max="1" width="3.5703125" style="82" customWidth="1"/>
    <col min="2" max="2" width="2.5703125" style="82" customWidth="1"/>
    <col min="3" max="3" width="31.140625" style="82" customWidth="1"/>
    <col min="4" max="4" width="9.140625" style="82" bestFit="1" customWidth="1"/>
    <col min="5" max="5" width="13.7109375" style="82" customWidth="1"/>
    <col min="6" max="12" width="12.85546875" style="82" customWidth="1"/>
    <col min="13" max="13" width="8.7109375" style="82"/>
    <col min="14" max="14" width="9.140625" style="82" customWidth="1" outlineLevel="1"/>
    <col min="15" max="15" width="9.140625" customWidth="1"/>
    <col min="16" max="16384" width="8.7109375" style="82"/>
  </cols>
  <sheetData>
    <row r="1" spans="1:15" s="86" customFormat="1" x14ac:dyDescent="0.25">
      <c r="B1" s="819" t="s">
        <v>0</v>
      </c>
      <c r="C1" s="820"/>
      <c r="D1" s="820"/>
      <c r="E1" s="820"/>
      <c r="F1" s="820"/>
      <c r="G1" s="820"/>
      <c r="H1" s="820"/>
      <c r="I1" s="820"/>
      <c r="J1" s="820"/>
      <c r="K1" s="820"/>
      <c r="L1" s="820"/>
      <c r="O1" s="218"/>
    </row>
    <row r="2" spans="1:15" s="7" customFormat="1" x14ac:dyDescent="0.25">
      <c r="A2" s="814"/>
      <c r="B2" s="245" t="str">
        <f>'CRM Rates'!$A$2</f>
        <v>2022 Gas Schedule 149 Cost Recovery Mechanism For Pipeline Replacement (CRM) Filing (PRELIMINARY - August Filing)</v>
      </c>
      <c r="C2" s="245"/>
      <c r="D2" s="245"/>
      <c r="E2" s="245"/>
      <c r="F2" s="245"/>
      <c r="G2" s="245"/>
      <c r="H2" s="245"/>
      <c r="I2" s="245"/>
      <c r="J2" s="245"/>
      <c r="K2" s="245"/>
      <c r="L2" s="245"/>
      <c r="M2" s="814"/>
      <c r="N2" s="814"/>
    </row>
    <row r="3" spans="1:15" s="7" customFormat="1" x14ac:dyDescent="0.25">
      <c r="A3" s="814"/>
      <c r="B3" s="815" t="s">
        <v>347</v>
      </c>
      <c r="C3" s="815"/>
      <c r="D3" s="815"/>
      <c r="E3" s="815"/>
      <c r="F3" s="815"/>
      <c r="G3" s="815"/>
      <c r="H3" s="815"/>
      <c r="I3" s="815"/>
      <c r="J3" s="815"/>
      <c r="K3" s="815"/>
      <c r="L3" s="815"/>
      <c r="M3" s="814"/>
      <c r="N3" s="814"/>
    </row>
    <row r="4" spans="1:15" s="218" customFormat="1" x14ac:dyDescent="0.25">
      <c r="A4" s="86"/>
      <c r="B4" s="796"/>
      <c r="C4" s="86"/>
      <c r="D4" s="86"/>
      <c r="E4" s="86"/>
      <c r="F4" s="86"/>
      <c r="G4" s="86"/>
      <c r="H4" s="86"/>
      <c r="I4" s="86"/>
      <c r="J4" s="86"/>
      <c r="K4" s="86"/>
      <c r="L4" s="86"/>
      <c r="M4" s="86"/>
      <c r="N4" s="86"/>
    </row>
    <row r="5" spans="1:15" s="218" customFormat="1" x14ac:dyDescent="0.25">
      <c r="A5" s="86"/>
      <c r="B5" s="86"/>
      <c r="C5" s="86"/>
      <c r="D5" s="86"/>
      <c r="E5" s="86"/>
      <c r="F5" s="797"/>
      <c r="G5" s="797" t="s">
        <v>115</v>
      </c>
      <c r="H5" s="797" t="s">
        <v>116</v>
      </c>
      <c r="I5" s="797"/>
      <c r="J5" s="797" t="s">
        <v>117</v>
      </c>
      <c r="K5" s="797" t="s">
        <v>118</v>
      </c>
      <c r="L5" s="797"/>
      <c r="M5" s="86"/>
      <c r="N5" s="86"/>
    </row>
    <row r="6" spans="1:15" s="218" customFormat="1" x14ac:dyDescent="0.25">
      <c r="A6" s="86"/>
      <c r="B6" s="86"/>
      <c r="C6" s="86"/>
      <c r="D6" s="797" t="s">
        <v>119</v>
      </c>
      <c r="E6" s="86"/>
      <c r="F6" s="797" t="s">
        <v>134</v>
      </c>
      <c r="G6" s="797" t="s">
        <v>121</v>
      </c>
      <c r="H6" s="797" t="s">
        <v>122</v>
      </c>
      <c r="I6" s="797" t="s">
        <v>123</v>
      </c>
      <c r="J6" s="797" t="s">
        <v>124</v>
      </c>
      <c r="K6" s="797" t="s">
        <v>125</v>
      </c>
      <c r="L6" s="797"/>
      <c r="M6" s="86"/>
      <c r="N6" s="86"/>
    </row>
    <row r="7" spans="1:15" s="218" customFormat="1" x14ac:dyDescent="0.25">
      <c r="A7" s="86"/>
      <c r="B7" s="86"/>
      <c r="C7" s="86"/>
      <c r="D7" s="798" t="s">
        <v>126</v>
      </c>
      <c r="E7" s="798" t="s">
        <v>90</v>
      </c>
      <c r="F7" s="798" t="s">
        <v>127</v>
      </c>
      <c r="G7" s="798" t="s">
        <v>128</v>
      </c>
      <c r="H7" s="798" t="s">
        <v>129</v>
      </c>
      <c r="I7" s="798" t="s">
        <v>130</v>
      </c>
      <c r="J7" s="798" t="s">
        <v>130</v>
      </c>
      <c r="K7" s="798" t="s">
        <v>130</v>
      </c>
      <c r="L7" s="798" t="s">
        <v>131</v>
      </c>
      <c r="M7" s="86"/>
      <c r="N7" s="74" t="s">
        <v>104</v>
      </c>
      <c r="O7" s="74" t="s">
        <v>254</v>
      </c>
    </row>
    <row r="8" spans="1:15" s="218" customFormat="1" x14ac:dyDescent="0.25">
      <c r="A8" s="86"/>
      <c r="B8" s="86" t="s">
        <v>135</v>
      </c>
      <c r="C8" s="86"/>
      <c r="D8" s="86"/>
      <c r="E8" s="90"/>
      <c r="F8" s="90"/>
      <c r="G8" s="90"/>
      <c r="H8" s="90"/>
      <c r="I8" s="90"/>
      <c r="J8" s="90"/>
      <c r="K8" s="90"/>
      <c r="L8" s="90"/>
      <c r="M8" s="86"/>
      <c r="N8" s="799"/>
    </row>
    <row r="9" spans="1:15" s="218" customFormat="1" x14ac:dyDescent="0.25">
      <c r="A9" s="86"/>
      <c r="B9" s="86"/>
      <c r="C9" s="162" t="s">
        <v>227</v>
      </c>
      <c r="D9" s="165">
        <v>376</v>
      </c>
      <c r="E9" s="800">
        <f>('2021 + true up CAP'!$F$29+'2021 + true up CAP'!$F$35)*'Summary 2021'!O15</f>
        <v>3344799.70643837</v>
      </c>
      <c r="F9" s="801">
        <f>$E$9*'Allocation Factors'!E12</f>
        <v>2200450.1792821037</v>
      </c>
      <c r="G9" s="801">
        <f>$E$9*'Allocation Factors'!F12</f>
        <v>801330.01431120571</v>
      </c>
      <c r="H9" s="801">
        <f>$E$9*'Allocation Factors'!G12</f>
        <v>176295.50696354025</v>
      </c>
      <c r="I9" s="801">
        <f>$E$9*'Allocation Factors'!H12</f>
        <v>85869.226623070266</v>
      </c>
      <c r="J9" s="801">
        <f>$E$9*'Allocation Factors'!I12</f>
        <v>9247.0435917553568</v>
      </c>
      <c r="K9" s="801">
        <f>$E$9*'Allocation Factors'!J12</f>
        <v>67173.110831903468</v>
      </c>
      <c r="L9" s="801">
        <f>$E$9*'Allocation Factors'!K12</f>
        <v>4434.624834791076</v>
      </c>
      <c r="M9" s="86"/>
      <c r="N9" s="799">
        <f>SUM(F9:L9)-E9</f>
        <v>0</v>
      </c>
    </row>
    <row r="10" spans="1:15" s="218" customFormat="1" x14ac:dyDescent="0.25">
      <c r="A10" s="86"/>
      <c r="B10" s="86"/>
      <c r="C10" s="162" t="s">
        <v>228</v>
      </c>
      <c r="D10" s="165">
        <v>380</v>
      </c>
      <c r="E10" s="800">
        <f>('2021 + true up CAP'!$F$29+'2021 + true up CAP'!$F$35)*'Summary 2021'!O16</f>
        <v>281897.83992116293</v>
      </c>
      <c r="F10" s="801">
        <f>$E$10*'Allocation Factors'!E17</f>
        <v>162226.8559370226</v>
      </c>
      <c r="G10" s="801">
        <f>$E$10*'Allocation Factors'!F17</f>
        <v>114645.01384074712</v>
      </c>
      <c r="H10" s="801">
        <f>$E$10*'Allocation Factors'!G17</f>
        <v>2036.7269072923839</v>
      </c>
      <c r="I10" s="801">
        <f>$E$10*'Allocation Factors'!H17</f>
        <v>2044.5954676697609</v>
      </c>
      <c r="J10" s="801">
        <f>$E$10*'Allocation Factors'!I17</f>
        <v>322.26393486294688</v>
      </c>
      <c r="K10" s="801">
        <f>$E$10*'Allocation Factors'!J17</f>
        <v>263.12879149060183</v>
      </c>
      <c r="L10" s="801">
        <f>$E$10*'Allocation Factors'!K17</f>
        <v>359.25504207757064</v>
      </c>
      <c r="M10" s="86"/>
      <c r="N10" s="799">
        <f t="shared" ref="N10:N15" si="0">SUM(F10:L10)-E10</f>
        <v>0</v>
      </c>
    </row>
    <row r="11" spans="1:15" s="218" customFormat="1" x14ac:dyDescent="0.25">
      <c r="A11" s="86"/>
      <c r="B11" s="86"/>
      <c r="C11" s="86" t="s">
        <v>90</v>
      </c>
      <c r="D11" s="165"/>
      <c r="E11" s="89">
        <f>SUM(E9:E10)</f>
        <v>3626697.546359533</v>
      </c>
      <c r="F11" s="89">
        <f t="shared" ref="F11:L11" si="1">SUM(F9:F10)</f>
        <v>2362677.0352191264</v>
      </c>
      <c r="G11" s="89">
        <f t="shared" si="1"/>
        <v>915975.02815195289</v>
      </c>
      <c r="H11" s="89">
        <f t="shared" si="1"/>
        <v>178332.23387083263</v>
      </c>
      <c r="I11" s="89">
        <f t="shared" si="1"/>
        <v>87913.822090740025</v>
      </c>
      <c r="J11" s="89">
        <f t="shared" si="1"/>
        <v>9569.3075266183041</v>
      </c>
      <c r="K11" s="89">
        <f t="shared" si="1"/>
        <v>67436.239623394067</v>
      </c>
      <c r="L11" s="89">
        <f t="shared" si="1"/>
        <v>4793.8798768686465</v>
      </c>
      <c r="M11" s="86"/>
      <c r="N11" s="799">
        <f>SUM(F11:L11)-E11</f>
        <v>0</v>
      </c>
      <c r="O11" s="799">
        <f>E11-'2021 + true up CAP'!F35-'2021 + true up CAP'!F29</f>
        <v>0</v>
      </c>
    </row>
    <row r="12" spans="1:15" s="218" customFormat="1" x14ac:dyDescent="0.25">
      <c r="A12" s="86"/>
      <c r="B12" s="86"/>
      <c r="C12" s="86"/>
      <c r="D12" s="165"/>
      <c r="E12" s="90"/>
      <c r="F12" s="90"/>
      <c r="G12" s="90"/>
      <c r="H12" s="90"/>
      <c r="I12" s="90"/>
      <c r="J12" s="90"/>
      <c r="K12" s="90"/>
      <c r="L12" s="90"/>
      <c r="M12" s="86"/>
      <c r="N12" s="799"/>
    </row>
    <row r="13" spans="1:15" s="86" customFormat="1" x14ac:dyDescent="0.25">
      <c r="B13" s="86" t="s">
        <v>53</v>
      </c>
      <c r="D13" s="165"/>
      <c r="E13" s="88"/>
      <c r="F13" s="88"/>
      <c r="G13" s="88"/>
      <c r="H13" s="88"/>
      <c r="I13" s="88"/>
      <c r="J13" s="88"/>
      <c r="K13" s="88"/>
      <c r="L13" s="88"/>
      <c r="N13" s="799"/>
    </row>
    <row r="14" spans="1:15" s="86" customFormat="1" x14ac:dyDescent="0.25">
      <c r="C14" s="162" t="s">
        <v>227</v>
      </c>
      <c r="D14" s="165">
        <v>376</v>
      </c>
      <c r="E14" s="810">
        <f>'2021 + true up CAP'!$F$27*'Summary 2021'!I26</f>
        <v>994804.09867374541</v>
      </c>
      <c r="F14" s="92">
        <f>$E$14*'Allocation Factors'!E12</f>
        <v>654453.79376935458</v>
      </c>
      <c r="G14" s="92">
        <f>$E$14*'Allocation Factors'!F12</f>
        <v>238330.08030125729</v>
      </c>
      <c r="H14" s="92">
        <f>$E$14*'Allocation Factors'!G12</f>
        <v>52433.481313547571</v>
      </c>
      <c r="I14" s="92">
        <f>$E$14*'Allocation Factors'!H12</f>
        <v>25539.065442437419</v>
      </c>
      <c r="J14" s="92">
        <f>$E$14*'Allocation Factors'!I12</f>
        <v>2750.2384815407531</v>
      </c>
      <c r="K14" s="92">
        <f>$E$14*'Allocation Factors'!J12</f>
        <v>19978.501507164794</v>
      </c>
      <c r="L14" s="92">
        <f>$E$14*'Allocation Factors'!K12</f>
        <v>1318.9378584429835</v>
      </c>
      <c r="N14" s="799">
        <f t="shared" si="0"/>
        <v>0</v>
      </c>
    </row>
    <row r="15" spans="1:15" s="86" customFormat="1" x14ac:dyDescent="0.25">
      <c r="C15" s="162" t="s">
        <v>228</v>
      </c>
      <c r="D15" s="165">
        <v>380</v>
      </c>
      <c r="E15" s="803">
        <f>'2021 + true up CAP'!$F$27*'Summary 2021'!I27</f>
        <v>109647.43713132309</v>
      </c>
      <c r="F15" s="92">
        <f>$E$15*'Allocation Factors'!E17</f>
        <v>63100.018759780192</v>
      </c>
      <c r="G15" s="92">
        <f>$E$15*'Allocation Factors'!F17</f>
        <v>44592.508942383276</v>
      </c>
      <c r="H15" s="92">
        <f>$E$15*'Allocation Factors'!G17</f>
        <v>792.20857308970938</v>
      </c>
      <c r="I15" s="92">
        <f>$E$15*'Allocation Factors'!H17</f>
        <v>795.26914098740497</v>
      </c>
      <c r="J15" s="92">
        <f>$E$15*'Allocation Factors'!I17</f>
        <v>125.34829833197681</v>
      </c>
      <c r="K15" s="92">
        <f>$E$15*'Allocation Factors'!J17</f>
        <v>102.34699787155348</v>
      </c>
      <c r="L15" s="92">
        <f>$E$15*'Allocation Factors'!K17</f>
        <v>139.73641887900834</v>
      </c>
      <c r="N15" s="799">
        <f t="shared" si="0"/>
        <v>0</v>
      </c>
    </row>
    <row r="16" spans="1:15" s="86" customFormat="1" x14ac:dyDescent="0.25">
      <c r="C16" s="86" t="s">
        <v>90</v>
      </c>
      <c r="E16" s="89">
        <f>SUM(E14:E15)</f>
        <v>1104451.5358050684</v>
      </c>
      <c r="F16" s="89">
        <f t="shared" ref="F16:L16" si="2">SUM(F14:F15)</f>
        <v>717553.8125291348</v>
      </c>
      <c r="G16" s="89">
        <f t="shared" si="2"/>
        <v>282922.58924364054</v>
      </c>
      <c r="H16" s="89">
        <f t="shared" si="2"/>
        <v>53225.689886637279</v>
      </c>
      <c r="I16" s="89">
        <f t="shared" si="2"/>
        <v>26334.334583424825</v>
      </c>
      <c r="J16" s="89">
        <f t="shared" si="2"/>
        <v>2875.5867798727299</v>
      </c>
      <c r="K16" s="89">
        <f t="shared" si="2"/>
        <v>20080.848505036349</v>
      </c>
      <c r="L16" s="89">
        <f t="shared" si="2"/>
        <v>1458.6742773219919</v>
      </c>
      <c r="N16" s="799">
        <f>SUM(F16:L16)-E16</f>
        <v>0</v>
      </c>
      <c r="O16" s="799">
        <f>E16-'2021 + true up CAP'!F27</f>
        <v>0</v>
      </c>
    </row>
    <row r="17" spans="1:15" s="86" customFormat="1" x14ac:dyDescent="0.25">
      <c r="E17" s="90"/>
      <c r="F17" s="90"/>
      <c r="G17" s="90"/>
      <c r="H17" s="90"/>
      <c r="I17" s="90"/>
      <c r="J17" s="90"/>
      <c r="K17" s="90"/>
      <c r="L17" s="90"/>
      <c r="N17" s="74"/>
      <c r="O17" s="799"/>
    </row>
    <row r="18" spans="1:15" s="86" customFormat="1" x14ac:dyDescent="0.25">
      <c r="E18" s="88"/>
      <c r="F18" s="88"/>
      <c r="G18" s="88"/>
      <c r="H18" s="88"/>
      <c r="I18" s="88"/>
      <c r="J18" s="88"/>
      <c r="K18" s="88"/>
      <c r="L18" s="88"/>
      <c r="N18" s="74"/>
    </row>
    <row r="19" spans="1:15" s="86" customFormat="1" x14ac:dyDescent="0.25">
      <c r="B19" s="86" t="s">
        <v>136</v>
      </c>
      <c r="E19" s="88">
        <f>E11+E16</f>
        <v>4731149.0821646014</v>
      </c>
      <c r="F19" s="88">
        <f t="shared" ref="F19:L19" si="3">F11+F16</f>
        <v>3080230.8477482609</v>
      </c>
      <c r="G19" s="88">
        <f t="shared" si="3"/>
        <v>1198897.6173955933</v>
      </c>
      <c r="H19" s="88">
        <f t="shared" si="3"/>
        <v>231557.92375746992</v>
      </c>
      <c r="I19" s="88">
        <f t="shared" si="3"/>
        <v>114248.15667416484</v>
      </c>
      <c r="J19" s="88">
        <f t="shared" si="3"/>
        <v>12444.894306491035</v>
      </c>
      <c r="K19" s="88">
        <f t="shared" si="3"/>
        <v>87517.08812843042</v>
      </c>
      <c r="L19" s="88">
        <f t="shared" si="3"/>
        <v>6252.5541541906387</v>
      </c>
      <c r="N19" s="799">
        <f t="shared" ref="N19" si="4">SUM(F19:L19)-E19</f>
        <v>0</v>
      </c>
    </row>
    <row r="20" spans="1:15" s="86" customFormat="1" x14ac:dyDescent="0.25">
      <c r="B20" s="86" t="s">
        <v>137</v>
      </c>
      <c r="E20" s="806">
        <f>'2019 GRC'!J40</f>
        <v>0.95255299999999998</v>
      </c>
      <c r="F20" s="88"/>
      <c r="G20" s="88"/>
      <c r="H20" s="88"/>
      <c r="I20" s="88"/>
      <c r="J20" s="88"/>
      <c r="K20" s="88"/>
      <c r="L20" s="88"/>
      <c r="N20" s="74"/>
    </row>
    <row r="21" spans="1:15" s="86" customFormat="1" x14ac:dyDescent="0.25">
      <c r="B21" s="87" t="s">
        <v>138</v>
      </c>
      <c r="C21" s="87"/>
      <c r="D21" s="87"/>
      <c r="E21" s="93">
        <f>E19/$E$20</f>
        <v>4966809.2821760066</v>
      </c>
      <c r="F21" s="93">
        <f t="shared" ref="F21:L21" si="5">F19/$E$20</f>
        <v>3233658.2297764649</v>
      </c>
      <c r="G21" s="93">
        <f t="shared" si="5"/>
        <v>1258615.1294422392</v>
      </c>
      <c r="H21" s="93">
        <f t="shared" si="5"/>
        <v>243091.90539263425</v>
      </c>
      <c r="I21" s="93">
        <f t="shared" si="5"/>
        <v>119938.8975460314</v>
      </c>
      <c r="J21" s="93">
        <f t="shared" si="5"/>
        <v>13064.778869512809</v>
      </c>
      <c r="K21" s="93">
        <f t="shared" si="5"/>
        <v>91876.345073114484</v>
      </c>
      <c r="L21" s="93">
        <f t="shared" si="5"/>
        <v>6563.9960760090398</v>
      </c>
      <c r="N21" s="799">
        <f t="shared" ref="N21" si="6">SUM(F21:L21)-E21</f>
        <v>0</v>
      </c>
      <c r="O21" s="799">
        <f>E21-'Summary - Revenue Requirement'!B12</f>
        <v>0</v>
      </c>
    </row>
    <row r="22" spans="1:15" s="86" customFormat="1" x14ac:dyDescent="0.25">
      <c r="F22" s="88"/>
      <c r="G22" s="88"/>
      <c r="H22" s="88"/>
      <c r="I22" s="88"/>
      <c r="J22" s="88"/>
      <c r="K22" s="88"/>
      <c r="L22" s="88"/>
      <c r="N22" s="74"/>
    </row>
    <row r="23" spans="1:15" s="218" customFormat="1" x14ac:dyDescent="0.25">
      <c r="A23" s="86"/>
      <c r="B23" s="86" t="s">
        <v>139</v>
      </c>
      <c r="C23" s="86"/>
      <c r="D23" s="86"/>
      <c r="E23" s="807">
        <f>SUM(F23:L23)</f>
        <v>0.99999999999999989</v>
      </c>
      <c r="F23" s="807">
        <f>F21/$E21</f>
        <v>0.65105343210596733</v>
      </c>
      <c r="G23" s="807">
        <f t="shared" ref="G23:L23" si="7">G21/$E21</f>
        <v>0.25340516575881644</v>
      </c>
      <c r="H23" s="807">
        <f t="shared" si="7"/>
        <v>4.8943273554915595E-2</v>
      </c>
      <c r="I23" s="807">
        <f t="shared" si="7"/>
        <v>2.414807791723483E-2</v>
      </c>
      <c r="J23" s="807">
        <f t="shared" si="7"/>
        <v>2.6304168586455175E-3</v>
      </c>
      <c r="K23" s="807">
        <f t="shared" si="7"/>
        <v>1.8498061804552032E-2</v>
      </c>
      <c r="L23" s="807">
        <f t="shared" si="7"/>
        <v>1.3215719998681508E-3</v>
      </c>
      <c r="M23" s="86"/>
      <c r="N23" s="86"/>
      <c r="O23" s="86"/>
    </row>
    <row r="24" spans="1:15" customFormat="1" x14ac:dyDescent="0.25">
      <c r="A24" s="82"/>
      <c r="B24" s="82"/>
      <c r="C24" s="82"/>
      <c r="D24" s="82"/>
      <c r="E24" s="82"/>
      <c r="F24" s="85"/>
      <c r="G24" s="85"/>
      <c r="H24" s="85"/>
      <c r="I24" s="85"/>
      <c r="J24" s="85"/>
      <c r="K24" s="85"/>
      <c r="L24" s="85"/>
      <c r="M24" s="82"/>
      <c r="N24" s="82"/>
      <c r="O24" s="169"/>
    </row>
    <row r="25" spans="1:15" customFormat="1" x14ac:dyDescent="0.25">
      <c r="A25" s="82"/>
      <c r="B25" s="82"/>
      <c r="C25" s="82"/>
      <c r="D25" s="82"/>
      <c r="E25" s="82"/>
      <c r="F25" s="82"/>
      <c r="G25" s="82"/>
      <c r="H25" s="82"/>
      <c r="I25" s="82"/>
      <c r="J25" s="82"/>
      <c r="K25" s="82"/>
      <c r="L25" s="82"/>
      <c r="M25" s="82"/>
      <c r="N25" s="82"/>
      <c r="O25" s="86"/>
    </row>
    <row r="26" spans="1:15" customFormat="1" x14ac:dyDescent="0.25">
      <c r="A26" s="82"/>
      <c r="B26" s="82"/>
      <c r="C26" s="82"/>
      <c r="D26" s="82"/>
      <c r="E26" s="82"/>
      <c r="F26" s="82"/>
      <c r="G26" s="82"/>
      <c r="H26" s="82"/>
      <c r="I26" s="82"/>
      <c r="J26" s="82"/>
      <c r="K26" s="82"/>
      <c r="L26" s="82"/>
      <c r="M26" s="82"/>
      <c r="N26" s="82"/>
      <c r="O26" s="86"/>
    </row>
    <row r="27" spans="1:15" customFormat="1" x14ac:dyDescent="0.25">
      <c r="A27" s="82"/>
      <c r="B27" s="82"/>
      <c r="C27" s="82"/>
      <c r="D27" s="82"/>
      <c r="E27" s="82"/>
      <c r="F27" s="82"/>
      <c r="G27" s="82"/>
      <c r="H27" s="82"/>
      <c r="I27" s="82"/>
      <c r="J27" s="82"/>
      <c r="K27" s="82"/>
      <c r="L27" s="82"/>
      <c r="M27" s="82"/>
      <c r="N27" s="82"/>
      <c r="O27" s="86"/>
    </row>
    <row r="28" spans="1:15" customFormat="1" x14ac:dyDescent="0.25">
      <c r="A28" s="82"/>
      <c r="B28" s="82"/>
      <c r="C28" s="82"/>
      <c r="D28" s="82"/>
      <c r="E28" s="82"/>
      <c r="F28" s="82"/>
      <c r="G28" s="82"/>
      <c r="H28" s="82"/>
      <c r="I28" s="82"/>
      <c r="J28" s="82"/>
      <c r="K28" s="82"/>
      <c r="L28" s="82"/>
      <c r="M28" s="82"/>
      <c r="N28" s="82"/>
    </row>
    <row r="29" spans="1:15" customFormat="1" x14ac:dyDescent="0.25">
      <c r="A29" s="82"/>
      <c r="B29" s="82"/>
      <c r="C29" s="82"/>
      <c r="D29" s="82"/>
      <c r="E29" s="82"/>
      <c r="F29" s="82"/>
      <c r="G29" s="82"/>
      <c r="H29" s="82"/>
      <c r="I29" s="82"/>
      <c r="J29" s="82"/>
      <c r="K29" s="82"/>
      <c r="L29" s="82"/>
      <c r="M29" s="82"/>
      <c r="N29" s="82"/>
    </row>
    <row r="30" spans="1:15" customFormat="1" x14ac:dyDescent="0.25">
      <c r="A30" s="82"/>
      <c r="B30" s="82"/>
      <c r="C30" s="82"/>
      <c r="D30" s="82"/>
      <c r="E30" s="82"/>
      <c r="F30" s="82"/>
      <c r="G30" s="82"/>
      <c r="H30" s="82"/>
      <c r="I30" s="82"/>
      <c r="J30" s="82"/>
      <c r="K30" s="82"/>
      <c r="L30" s="82"/>
      <c r="M30" s="82"/>
      <c r="N30" s="82"/>
    </row>
    <row r="31" spans="1:15" customFormat="1" x14ac:dyDescent="0.25">
      <c r="A31" s="82"/>
      <c r="B31" s="82"/>
      <c r="C31" s="82"/>
      <c r="D31" s="82"/>
      <c r="E31" s="82"/>
      <c r="F31" s="82"/>
      <c r="G31" s="82"/>
      <c r="H31" s="82"/>
      <c r="I31" s="82"/>
      <c r="J31" s="82"/>
      <c r="K31" s="82"/>
      <c r="L31" s="82"/>
      <c r="M31" s="82"/>
      <c r="N31" s="82"/>
    </row>
    <row r="32" spans="1:15" customFormat="1" x14ac:dyDescent="0.25">
      <c r="A32" s="82"/>
      <c r="B32" s="82"/>
      <c r="C32" s="82"/>
      <c r="D32" s="82"/>
      <c r="E32" s="82"/>
      <c r="F32" s="82"/>
      <c r="G32" s="82"/>
      <c r="H32" s="82"/>
      <c r="I32" s="82"/>
      <c r="J32" s="82"/>
      <c r="K32" s="82"/>
      <c r="L32" s="82"/>
      <c r="M32" s="82"/>
      <c r="N32" s="82"/>
    </row>
    <row r="33" spans="1:14" customFormat="1" x14ac:dyDescent="0.25">
      <c r="A33" s="82"/>
      <c r="B33" s="82"/>
      <c r="C33" s="82"/>
      <c r="D33" s="82"/>
      <c r="E33" s="82"/>
      <c r="F33" s="82"/>
      <c r="G33" s="82"/>
      <c r="H33" s="82"/>
      <c r="I33" s="82"/>
      <c r="J33" s="82"/>
      <c r="K33" s="82"/>
      <c r="L33" s="82"/>
      <c r="M33" s="82"/>
      <c r="N33" s="82"/>
    </row>
    <row r="34" spans="1:14" customFormat="1" x14ac:dyDescent="0.25">
      <c r="A34" s="82"/>
      <c r="B34" s="82"/>
      <c r="C34" s="82"/>
      <c r="D34" s="82"/>
      <c r="E34" s="82"/>
      <c r="F34" s="82"/>
      <c r="G34" s="82"/>
      <c r="H34" s="82"/>
      <c r="I34" s="82"/>
      <c r="J34" s="82"/>
      <c r="K34" s="82"/>
      <c r="L34" s="82"/>
      <c r="M34" s="82"/>
      <c r="N34" s="82"/>
    </row>
    <row r="35" spans="1:14" customFormat="1" x14ac:dyDescent="0.25">
      <c r="A35" s="82"/>
      <c r="B35" s="82"/>
      <c r="C35" s="82"/>
      <c r="D35" s="82"/>
      <c r="E35" s="82"/>
      <c r="F35" s="82"/>
      <c r="G35" s="82"/>
      <c r="H35" s="82"/>
      <c r="I35" s="82"/>
      <c r="J35" s="82"/>
      <c r="K35" s="82"/>
      <c r="L35" s="82"/>
      <c r="M35" s="82"/>
      <c r="N35" s="82"/>
    </row>
    <row r="36" spans="1:14" customFormat="1" x14ac:dyDescent="0.25">
      <c r="A36" s="82"/>
      <c r="B36" s="82"/>
      <c r="C36" s="82"/>
      <c r="D36" s="82"/>
      <c r="E36" s="82"/>
      <c r="F36" s="82"/>
      <c r="G36" s="82"/>
      <c r="H36" s="82"/>
      <c r="I36" s="82"/>
      <c r="J36" s="82"/>
      <c r="K36" s="82"/>
      <c r="L36" s="82"/>
      <c r="M36" s="82"/>
      <c r="N36" s="82"/>
    </row>
    <row r="37" spans="1:14" customFormat="1" x14ac:dyDescent="0.25">
      <c r="A37" s="82"/>
      <c r="B37" s="82"/>
      <c r="C37" s="82"/>
      <c r="D37" s="82"/>
      <c r="E37" s="82"/>
      <c r="F37" s="82"/>
      <c r="G37" s="82"/>
      <c r="H37" s="82"/>
      <c r="I37" s="82"/>
      <c r="J37" s="82"/>
      <c r="K37" s="82"/>
      <c r="L37" s="82"/>
      <c r="M37" s="82"/>
      <c r="N37" s="82"/>
    </row>
    <row r="38" spans="1:14" customFormat="1" x14ac:dyDescent="0.25">
      <c r="A38" s="82"/>
      <c r="B38" s="82"/>
      <c r="C38" s="82"/>
      <c r="D38" s="82"/>
      <c r="E38" s="82"/>
      <c r="F38" s="82"/>
      <c r="G38" s="82"/>
      <c r="H38" s="82"/>
      <c r="I38" s="82"/>
      <c r="J38" s="82"/>
      <c r="K38" s="82"/>
      <c r="L38" s="82"/>
      <c r="M38" s="82"/>
      <c r="N38" s="82"/>
    </row>
    <row r="39" spans="1:14" customFormat="1" x14ac:dyDescent="0.25">
      <c r="A39" s="82"/>
      <c r="B39" s="82"/>
      <c r="C39" s="82"/>
      <c r="D39" s="82"/>
      <c r="E39" s="82"/>
      <c r="F39" s="82"/>
      <c r="G39" s="82"/>
      <c r="H39" s="82"/>
      <c r="I39" s="82"/>
      <c r="J39" s="82"/>
      <c r="K39" s="82"/>
      <c r="L39" s="82"/>
      <c r="M39" s="82"/>
      <c r="N39" s="82"/>
    </row>
    <row r="40" spans="1:14" customFormat="1" x14ac:dyDescent="0.25">
      <c r="A40" s="82"/>
      <c r="B40" s="82"/>
      <c r="C40" s="82"/>
      <c r="D40" s="82"/>
      <c r="E40" s="82"/>
      <c r="F40" s="82"/>
      <c r="G40" s="82"/>
      <c r="H40" s="82"/>
      <c r="I40" s="82"/>
      <c r="J40" s="82"/>
      <c r="K40" s="82"/>
      <c r="L40" s="82"/>
      <c r="M40" s="82"/>
      <c r="N40" s="82"/>
    </row>
    <row r="41" spans="1:14" customFormat="1" x14ac:dyDescent="0.25">
      <c r="A41" s="82"/>
      <c r="B41" s="82"/>
      <c r="C41" s="82"/>
      <c r="D41" s="82"/>
      <c r="E41" s="82"/>
      <c r="F41" s="82"/>
      <c r="G41" s="82"/>
      <c r="H41" s="82"/>
      <c r="I41" s="82"/>
      <c r="J41" s="82"/>
      <c r="K41" s="82"/>
      <c r="L41" s="82"/>
      <c r="M41" s="82"/>
      <c r="N41" s="82"/>
    </row>
    <row r="42" spans="1:14" customFormat="1" x14ac:dyDescent="0.25">
      <c r="A42" s="82"/>
      <c r="B42" s="82"/>
      <c r="C42" s="82"/>
      <c r="D42" s="82"/>
      <c r="E42" s="82"/>
      <c r="F42" s="82"/>
      <c r="G42" s="82"/>
      <c r="H42" s="82"/>
      <c r="I42" s="82"/>
      <c r="J42" s="82"/>
      <c r="K42" s="82"/>
      <c r="L42" s="82"/>
      <c r="M42" s="82"/>
      <c r="N42" s="82"/>
    </row>
    <row r="43" spans="1:14" customFormat="1" x14ac:dyDescent="0.25">
      <c r="A43" s="82"/>
      <c r="B43" s="82"/>
      <c r="C43" s="82"/>
      <c r="D43" s="82"/>
      <c r="E43" s="82"/>
      <c r="F43" s="82"/>
      <c r="G43" s="82"/>
      <c r="H43" s="82"/>
      <c r="I43" s="82"/>
      <c r="J43" s="82"/>
      <c r="K43" s="82"/>
      <c r="L43" s="82"/>
      <c r="M43" s="82"/>
      <c r="N43" s="82"/>
    </row>
    <row r="44" spans="1:14" customFormat="1" x14ac:dyDescent="0.25">
      <c r="A44" s="82"/>
      <c r="B44" s="82"/>
      <c r="C44" s="82"/>
      <c r="D44" s="82"/>
      <c r="E44" s="82"/>
      <c r="F44" s="82"/>
      <c r="G44" s="82"/>
      <c r="H44" s="82"/>
      <c r="I44" s="82"/>
      <c r="J44" s="82"/>
      <c r="K44" s="82"/>
      <c r="L44" s="82"/>
      <c r="M44" s="82"/>
      <c r="N44" s="82"/>
    </row>
    <row r="45" spans="1:14" customFormat="1" x14ac:dyDescent="0.25">
      <c r="A45" s="82"/>
      <c r="B45" s="82"/>
      <c r="C45" s="82"/>
      <c r="D45" s="82"/>
      <c r="E45" s="82"/>
      <c r="F45" s="82"/>
      <c r="G45" s="82"/>
      <c r="H45" s="82"/>
      <c r="I45" s="82"/>
      <c r="J45" s="82"/>
      <c r="K45" s="82"/>
      <c r="L45" s="82"/>
      <c r="M45" s="82"/>
      <c r="N45" s="82"/>
    </row>
    <row r="46" spans="1:14" customFormat="1" x14ac:dyDescent="0.25">
      <c r="A46" s="82"/>
      <c r="B46" s="82"/>
      <c r="C46" s="82"/>
      <c r="D46" s="82"/>
      <c r="E46" s="82"/>
      <c r="F46" s="82"/>
      <c r="G46" s="82"/>
      <c r="H46" s="82"/>
      <c r="I46" s="82"/>
      <c r="J46" s="82"/>
      <c r="K46" s="82"/>
      <c r="L46" s="82"/>
      <c r="M46" s="82"/>
      <c r="N46" s="82"/>
    </row>
    <row r="47" spans="1:14" customFormat="1" x14ac:dyDescent="0.25">
      <c r="A47" s="82"/>
      <c r="B47" s="82"/>
      <c r="C47" s="82"/>
      <c r="D47" s="82"/>
      <c r="E47" s="82"/>
      <c r="F47" s="82"/>
      <c r="G47" s="82"/>
      <c r="H47" s="82"/>
      <c r="I47" s="82"/>
      <c r="J47" s="82"/>
      <c r="K47" s="82"/>
      <c r="L47" s="82"/>
      <c r="M47" s="82"/>
      <c r="N47" s="82"/>
    </row>
    <row r="48" spans="1:14" customFormat="1" x14ac:dyDescent="0.25">
      <c r="A48" s="82"/>
      <c r="B48" s="82"/>
      <c r="C48" s="82"/>
      <c r="D48" s="82"/>
      <c r="E48" s="82"/>
      <c r="F48" s="82"/>
      <c r="G48" s="82"/>
      <c r="H48" s="82"/>
      <c r="I48" s="82"/>
      <c r="J48" s="82"/>
      <c r="K48" s="82"/>
      <c r="L48" s="82"/>
      <c r="M48" s="82"/>
      <c r="N48" s="82"/>
    </row>
    <row r="49" spans="1:14" customFormat="1" x14ac:dyDescent="0.25">
      <c r="A49" s="82"/>
      <c r="B49" s="82"/>
      <c r="C49" s="82"/>
      <c r="D49" s="82"/>
      <c r="E49" s="82"/>
      <c r="F49" s="82"/>
      <c r="G49" s="82"/>
      <c r="H49" s="82"/>
      <c r="I49" s="82"/>
      <c r="J49" s="82"/>
      <c r="K49" s="82"/>
      <c r="L49" s="82"/>
      <c r="M49" s="82"/>
      <c r="N49" s="82"/>
    </row>
    <row r="50" spans="1:14" customFormat="1" x14ac:dyDescent="0.25">
      <c r="A50" s="82"/>
      <c r="B50" s="82"/>
      <c r="C50" s="82"/>
      <c r="D50" s="82"/>
      <c r="E50" s="82"/>
      <c r="F50" s="82"/>
      <c r="G50" s="82"/>
      <c r="H50" s="82"/>
      <c r="I50" s="82"/>
      <c r="J50" s="82"/>
      <c r="K50" s="82"/>
      <c r="L50" s="82"/>
      <c r="M50" s="82"/>
      <c r="N50" s="82"/>
    </row>
    <row r="51" spans="1:14" customFormat="1" x14ac:dyDescent="0.25">
      <c r="A51" s="82"/>
      <c r="B51" s="82"/>
      <c r="C51" s="82"/>
      <c r="D51" s="82"/>
      <c r="E51" s="82"/>
      <c r="F51" s="82"/>
      <c r="G51" s="82"/>
      <c r="H51" s="82"/>
      <c r="I51" s="82"/>
      <c r="J51" s="82"/>
      <c r="K51" s="82"/>
      <c r="L51" s="82"/>
      <c r="M51" s="82"/>
      <c r="N51" s="82"/>
    </row>
    <row r="52" spans="1:14" customFormat="1" x14ac:dyDescent="0.25">
      <c r="A52" s="82"/>
      <c r="B52" s="82"/>
      <c r="C52" s="82"/>
      <c r="D52" s="82"/>
      <c r="E52" s="82"/>
      <c r="F52" s="82"/>
      <c r="G52" s="82"/>
      <c r="H52" s="82"/>
      <c r="I52" s="82"/>
      <c r="J52" s="82"/>
      <c r="K52" s="82"/>
      <c r="L52" s="82"/>
      <c r="M52" s="82"/>
      <c r="N52" s="82"/>
    </row>
    <row r="53" spans="1:14" customFormat="1" x14ac:dyDescent="0.25">
      <c r="A53" s="82"/>
      <c r="B53" s="82"/>
      <c r="C53" s="82"/>
      <c r="D53" s="82"/>
      <c r="E53" s="82"/>
      <c r="F53" s="82"/>
      <c r="G53" s="82"/>
      <c r="H53" s="82"/>
      <c r="I53" s="82"/>
      <c r="J53" s="82"/>
      <c r="K53" s="82"/>
      <c r="L53" s="82"/>
      <c r="M53" s="82"/>
      <c r="N53" s="82"/>
    </row>
    <row r="54" spans="1:14" customFormat="1" x14ac:dyDescent="0.25">
      <c r="A54" s="82"/>
      <c r="B54" s="82"/>
      <c r="C54" s="82"/>
      <c r="D54" s="82"/>
      <c r="E54" s="82"/>
      <c r="F54" s="82"/>
      <c r="G54" s="82"/>
      <c r="H54" s="82"/>
      <c r="I54" s="82"/>
      <c r="J54" s="82"/>
      <c r="K54" s="82"/>
      <c r="L54" s="82"/>
      <c r="M54" s="82"/>
      <c r="N54" s="82"/>
    </row>
    <row r="55" spans="1:14" customFormat="1" x14ac:dyDescent="0.25">
      <c r="A55" s="82"/>
      <c r="B55" s="82"/>
      <c r="C55" s="82"/>
      <c r="D55" s="82"/>
      <c r="E55" s="82"/>
      <c r="F55" s="82"/>
      <c r="G55" s="82"/>
      <c r="H55" s="82"/>
      <c r="I55" s="82"/>
      <c r="J55" s="82"/>
      <c r="K55" s="82"/>
      <c r="L55" s="82"/>
      <c r="M55" s="82"/>
      <c r="N55" s="82"/>
    </row>
    <row r="56" spans="1:14" customFormat="1" x14ac:dyDescent="0.25">
      <c r="A56" s="82"/>
      <c r="B56" s="82"/>
      <c r="C56" s="82"/>
      <c r="D56" s="82"/>
      <c r="E56" s="82"/>
      <c r="F56" s="82"/>
      <c r="G56" s="82"/>
      <c r="H56" s="82"/>
      <c r="I56" s="82"/>
      <c r="J56" s="82"/>
      <c r="K56" s="82"/>
      <c r="L56" s="82"/>
      <c r="M56" s="82"/>
      <c r="N56" s="82"/>
    </row>
    <row r="57" spans="1:14" customFormat="1" x14ac:dyDescent="0.25">
      <c r="A57" s="82"/>
      <c r="B57" s="82"/>
      <c r="C57" s="82"/>
      <c r="D57" s="82"/>
      <c r="E57" s="82"/>
      <c r="F57" s="82"/>
      <c r="G57" s="82"/>
      <c r="H57" s="82"/>
      <c r="I57" s="82"/>
      <c r="J57" s="82"/>
      <c r="K57" s="82"/>
      <c r="L57" s="82"/>
      <c r="M57" s="82"/>
      <c r="N57" s="82"/>
    </row>
    <row r="58" spans="1:14" customFormat="1" x14ac:dyDescent="0.25">
      <c r="A58" s="82"/>
      <c r="B58" s="82"/>
      <c r="C58" s="82"/>
      <c r="D58" s="82"/>
      <c r="E58" s="82"/>
      <c r="F58" s="82"/>
      <c r="G58" s="82"/>
      <c r="H58" s="82"/>
      <c r="I58" s="82"/>
      <c r="J58" s="82"/>
      <c r="K58" s="82"/>
      <c r="L58" s="82"/>
      <c r="M58" s="82"/>
      <c r="N58" s="82"/>
    </row>
    <row r="59" spans="1:14" customFormat="1" x14ac:dyDescent="0.25">
      <c r="A59" s="82"/>
      <c r="B59" s="82"/>
      <c r="C59" s="82"/>
      <c r="D59" s="82"/>
      <c r="E59" s="82"/>
      <c r="F59" s="82"/>
      <c r="G59" s="82"/>
      <c r="H59" s="82"/>
      <c r="I59" s="82"/>
      <c r="J59" s="82"/>
      <c r="K59" s="82"/>
      <c r="L59" s="82"/>
      <c r="M59" s="82"/>
      <c r="N59" s="82"/>
    </row>
    <row r="60" spans="1:14" customFormat="1" x14ac:dyDescent="0.25">
      <c r="A60" s="82"/>
      <c r="B60" s="82"/>
      <c r="C60" s="82"/>
      <c r="D60" s="82"/>
      <c r="E60" s="82"/>
      <c r="F60" s="82"/>
      <c r="G60" s="82"/>
      <c r="H60" s="82"/>
      <c r="I60" s="82"/>
      <c r="J60" s="82"/>
      <c r="K60" s="82"/>
      <c r="L60" s="82"/>
      <c r="M60" s="82"/>
      <c r="N60" s="82"/>
    </row>
    <row r="61" spans="1:14" customFormat="1" x14ac:dyDescent="0.25">
      <c r="A61" s="82"/>
      <c r="B61" s="82"/>
      <c r="C61" s="82"/>
      <c r="D61" s="82"/>
      <c r="E61" s="82"/>
      <c r="F61" s="82"/>
      <c r="G61" s="82"/>
      <c r="H61" s="82"/>
      <c r="I61" s="82"/>
      <c r="J61" s="82"/>
      <c r="K61" s="82"/>
      <c r="L61" s="82"/>
      <c r="M61" s="82"/>
      <c r="N61" s="82"/>
    </row>
    <row r="62" spans="1:14" customFormat="1" x14ac:dyDescent="0.25">
      <c r="A62" s="82"/>
      <c r="B62" s="82"/>
      <c r="C62" s="82"/>
      <c r="D62" s="82"/>
      <c r="E62" s="82"/>
      <c r="F62" s="82"/>
      <c r="G62" s="82"/>
      <c r="H62" s="82"/>
      <c r="I62" s="82"/>
      <c r="J62" s="82"/>
      <c r="K62" s="82"/>
      <c r="L62" s="82"/>
      <c r="M62" s="82"/>
      <c r="N62" s="82"/>
    </row>
    <row r="63" spans="1:14" customFormat="1" x14ac:dyDescent="0.25">
      <c r="A63" s="82"/>
      <c r="B63" s="82"/>
      <c r="C63" s="82"/>
      <c r="D63" s="82"/>
      <c r="E63" s="82"/>
      <c r="F63" s="82"/>
      <c r="G63" s="82"/>
      <c r="H63" s="82"/>
      <c r="I63" s="82"/>
      <c r="J63" s="82"/>
      <c r="K63" s="82"/>
      <c r="L63" s="82"/>
      <c r="M63" s="82"/>
      <c r="N63" s="82"/>
    </row>
    <row r="64" spans="1:14" customFormat="1" x14ac:dyDescent="0.25">
      <c r="A64" s="82"/>
      <c r="B64" s="82"/>
      <c r="C64" s="82"/>
      <c r="D64" s="82"/>
      <c r="E64" s="82"/>
      <c r="F64" s="82"/>
      <c r="G64" s="82"/>
      <c r="H64" s="82"/>
      <c r="I64" s="82"/>
      <c r="J64" s="82"/>
      <c r="K64" s="82"/>
      <c r="L64" s="82"/>
      <c r="M64" s="82"/>
      <c r="N64" s="82"/>
    </row>
    <row r="65" spans="1:14" customFormat="1" x14ac:dyDescent="0.25">
      <c r="A65" s="82"/>
      <c r="B65" s="82"/>
      <c r="C65" s="82"/>
      <c r="D65" s="82"/>
      <c r="E65" s="82"/>
      <c r="F65" s="82"/>
      <c r="G65" s="82"/>
      <c r="H65" s="82"/>
      <c r="I65" s="82"/>
      <c r="J65" s="82"/>
      <c r="K65" s="82"/>
      <c r="L65" s="82"/>
      <c r="M65" s="82"/>
      <c r="N65" s="82"/>
    </row>
    <row r="66" spans="1:14" customFormat="1" x14ac:dyDescent="0.25">
      <c r="A66" s="82"/>
      <c r="B66" s="82"/>
      <c r="C66" s="82"/>
      <c r="D66" s="82"/>
      <c r="E66" s="82"/>
      <c r="F66" s="82"/>
      <c r="G66" s="82"/>
      <c r="H66" s="82"/>
      <c r="I66" s="82"/>
      <c r="J66" s="82"/>
      <c r="K66" s="82"/>
      <c r="L66" s="82"/>
      <c r="M66" s="82"/>
      <c r="N66" s="82"/>
    </row>
    <row r="67" spans="1:14" customFormat="1" x14ac:dyDescent="0.25">
      <c r="A67" s="82"/>
      <c r="B67" s="82"/>
      <c r="C67" s="82"/>
      <c r="D67" s="82"/>
      <c r="E67" s="82"/>
      <c r="F67" s="82"/>
      <c r="G67" s="82"/>
      <c r="H67" s="82"/>
      <c r="I67" s="82"/>
      <c r="J67" s="82"/>
      <c r="K67" s="82"/>
      <c r="L67" s="82"/>
      <c r="M67" s="82"/>
      <c r="N67" s="82"/>
    </row>
    <row r="68" spans="1:14" customFormat="1" x14ac:dyDescent="0.25">
      <c r="A68" s="82"/>
      <c r="B68" s="82"/>
      <c r="C68" s="82"/>
      <c r="D68" s="82"/>
      <c r="E68" s="82"/>
      <c r="F68" s="82"/>
      <c r="G68" s="82"/>
      <c r="H68" s="82"/>
      <c r="I68" s="82"/>
      <c r="J68" s="82"/>
      <c r="K68" s="82"/>
      <c r="L68" s="82"/>
      <c r="M68" s="82"/>
      <c r="N68" s="82"/>
    </row>
    <row r="69" spans="1:14" customFormat="1" x14ac:dyDescent="0.25">
      <c r="A69" s="82"/>
      <c r="B69" s="82"/>
      <c r="C69" s="82"/>
      <c r="D69" s="82"/>
      <c r="E69" s="82"/>
      <c r="F69" s="82"/>
      <c r="G69" s="82"/>
      <c r="H69" s="82"/>
      <c r="I69" s="82"/>
      <c r="J69" s="82"/>
      <c r="K69" s="82"/>
      <c r="L69" s="82"/>
      <c r="M69" s="82"/>
      <c r="N69" s="82"/>
    </row>
    <row r="70" spans="1:14" customFormat="1" x14ac:dyDescent="0.25">
      <c r="A70" s="82"/>
      <c r="B70" s="82"/>
      <c r="C70" s="82"/>
      <c r="D70" s="82"/>
      <c r="E70" s="82"/>
      <c r="F70" s="82"/>
      <c r="G70" s="82"/>
      <c r="H70" s="82"/>
      <c r="I70" s="82"/>
      <c r="J70" s="82"/>
      <c r="K70" s="82"/>
      <c r="L70" s="82"/>
      <c r="M70" s="82"/>
      <c r="N70" s="82"/>
    </row>
    <row r="71" spans="1:14" customFormat="1" x14ac:dyDescent="0.25">
      <c r="A71" s="82"/>
      <c r="B71" s="82"/>
      <c r="C71" s="82"/>
      <c r="D71" s="82"/>
      <c r="E71" s="82"/>
      <c r="F71" s="82"/>
      <c r="G71" s="82"/>
      <c r="H71" s="82"/>
      <c r="I71" s="82"/>
      <c r="J71" s="82"/>
      <c r="K71" s="82"/>
      <c r="L71" s="82"/>
      <c r="M71" s="82"/>
      <c r="N71" s="82"/>
    </row>
    <row r="72" spans="1:14" customFormat="1" x14ac:dyDescent="0.25">
      <c r="A72" s="82"/>
      <c r="B72" s="82"/>
      <c r="C72" s="82"/>
      <c r="D72" s="82"/>
      <c r="E72" s="82"/>
      <c r="F72" s="82"/>
      <c r="G72" s="82"/>
      <c r="H72" s="82"/>
      <c r="I72" s="82"/>
      <c r="J72" s="82"/>
      <c r="K72" s="82"/>
      <c r="L72" s="82"/>
      <c r="M72" s="82"/>
      <c r="N72" s="82"/>
    </row>
    <row r="73" spans="1:14" customFormat="1" x14ac:dyDescent="0.25">
      <c r="A73" s="82"/>
      <c r="B73" s="82"/>
      <c r="C73" s="82"/>
      <c r="D73" s="82"/>
      <c r="E73" s="82"/>
      <c r="F73" s="82"/>
      <c r="G73" s="82"/>
      <c r="H73" s="82"/>
      <c r="I73" s="82"/>
      <c r="J73" s="82"/>
      <c r="K73" s="82"/>
      <c r="L73" s="82"/>
      <c r="M73" s="82"/>
      <c r="N73" s="82"/>
    </row>
    <row r="74" spans="1:14" customFormat="1" x14ac:dyDescent="0.25">
      <c r="A74" s="82"/>
      <c r="B74" s="82"/>
      <c r="C74" s="82"/>
      <c r="D74" s="82"/>
      <c r="E74" s="82"/>
      <c r="F74" s="82"/>
      <c r="G74" s="82"/>
      <c r="H74" s="82"/>
      <c r="I74" s="82"/>
      <c r="J74" s="82"/>
      <c r="K74" s="82"/>
      <c r="L74" s="82"/>
      <c r="M74" s="82"/>
      <c r="N74" s="82"/>
    </row>
    <row r="75" spans="1:14" customFormat="1" x14ac:dyDescent="0.25">
      <c r="A75" s="82"/>
      <c r="B75" s="82"/>
      <c r="C75" s="82"/>
      <c r="D75" s="82"/>
      <c r="E75" s="82"/>
      <c r="F75" s="82"/>
      <c r="G75" s="82"/>
      <c r="H75" s="82"/>
      <c r="I75" s="82"/>
      <c r="J75" s="82"/>
      <c r="K75" s="82"/>
      <c r="L75" s="82"/>
      <c r="M75" s="82"/>
      <c r="N75" s="82"/>
    </row>
    <row r="76" spans="1:14" customFormat="1" x14ac:dyDescent="0.25">
      <c r="A76" s="82"/>
      <c r="B76" s="82"/>
      <c r="C76" s="82"/>
      <c r="D76" s="82"/>
      <c r="E76" s="82"/>
      <c r="F76" s="82"/>
      <c r="G76" s="82"/>
      <c r="H76" s="82"/>
      <c r="I76" s="82"/>
      <c r="J76" s="82"/>
      <c r="K76" s="82"/>
      <c r="L76" s="82"/>
      <c r="M76" s="82"/>
      <c r="N76" s="82"/>
    </row>
    <row r="77" spans="1:14" customFormat="1" x14ac:dyDescent="0.25">
      <c r="A77" s="82"/>
      <c r="B77" s="82"/>
      <c r="C77" s="82"/>
      <c r="D77" s="82"/>
      <c r="E77" s="82"/>
      <c r="F77" s="82"/>
      <c r="G77" s="82"/>
      <c r="H77" s="82"/>
      <c r="I77" s="82"/>
      <c r="J77" s="82"/>
      <c r="K77" s="82"/>
      <c r="L77" s="82"/>
      <c r="M77" s="82"/>
      <c r="N77" s="82"/>
    </row>
    <row r="78" spans="1:14" customFormat="1" x14ac:dyDescent="0.25">
      <c r="A78" s="82"/>
      <c r="B78" s="82"/>
      <c r="C78" s="82"/>
      <c r="D78" s="82"/>
      <c r="E78" s="82"/>
      <c r="F78" s="82"/>
      <c r="G78" s="82"/>
      <c r="H78" s="82"/>
      <c r="I78" s="82"/>
      <c r="J78" s="82"/>
      <c r="K78" s="82"/>
      <c r="L78" s="82"/>
      <c r="M78" s="82"/>
      <c r="N78" s="82"/>
    </row>
    <row r="79" spans="1:14" customFormat="1" x14ac:dyDescent="0.25">
      <c r="A79" s="82"/>
      <c r="B79" s="82"/>
      <c r="C79" s="82"/>
      <c r="D79" s="82"/>
      <c r="E79" s="82"/>
      <c r="F79" s="82"/>
      <c r="G79" s="82"/>
      <c r="H79" s="82"/>
      <c r="I79" s="82"/>
      <c r="J79" s="82"/>
      <c r="K79" s="82"/>
      <c r="L79" s="82"/>
      <c r="M79" s="82"/>
      <c r="N79" s="82"/>
    </row>
    <row r="80" spans="1:14" customFormat="1" x14ac:dyDescent="0.25">
      <c r="A80" s="82"/>
      <c r="B80" s="82"/>
      <c r="C80" s="82"/>
      <c r="D80" s="82"/>
      <c r="E80" s="82"/>
      <c r="F80" s="82"/>
      <c r="G80" s="82"/>
      <c r="H80" s="82"/>
      <c r="I80" s="82"/>
      <c r="J80" s="82"/>
      <c r="K80" s="82"/>
      <c r="L80" s="82"/>
      <c r="M80" s="82"/>
      <c r="N80" s="82"/>
    </row>
    <row r="81" spans="1:14" customFormat="1" x14ac:dyDescent="0.25">
      <c r="A81" s="82"/>
      <c r="B81" s="82"/>
      <c r="C81" s="82"/>
      <c r="D81" s="82"/>
      <c r="E81" s="82"/>
      <c r="F81" s="82"/>
      <c r="G81" s="82"/>
      <c r="H81" s="82"/>
      <c r="I81" s="82"/>
      <c r="J81" s="82"/>
      <c r="K81" s="82"/>
      <c r="L81" s="82"/>
      <c r="M81" s="82"/>
      <c r="N81" s="82"/>
    </row>
    <row r="82" spans="1:14" customFormat="1" x14ac:dyDescent="0.25">
      <c r="A82" s="82"/>
      <c r="B82" s="82"/>
      <c r="C82" s="82"/>
      <c r="D82" s="82"/>
      <c r="E82" s="82"/>
      <c r="F82" s="82"/>
      <c r="G82" s="82"/>
      <c r="H82" s="82"/>
      <c r="I82" s="82"/>
      <c r="J82" s="82"/>
      <c r="K82" s="82"/>
      <c r="L82" s="82"/>
      <c r="M82" s="82"/>
      <c r="N82" s="82"/>
    </row>
    <row r="83" spans="1:14" customFormat="1" x14ac:dyDescent="0.25">
      <c r="A83" s="82"/>
      <c r="B83" s="82"/>
      <c r="C83" s="82"/>
      <c r="D83" s="82"/>
      <c r="E83" s="82"/>
      <c r="F83" s="82"/>
      <c r="G83" s="82"/>
      <c r="H83" s="82"/>
      <c r="I83" s="82"/>
      <c r="J83" s="82"/>
      <c r="K83" s="82"/>
      <c r="L83" s="82"/>
      <c r="M83" s="82"/>
      <c r="N83" s="82"/>
    </row>
    <row r="84" spans="1:14" customFormat="1" x14ac:dyDescent="0.25">
      <c r="A84" s="82"/>
      <c r="B84" s="82"/>
      <c r="C84" s="82"/>
      <c r="D84" s="82"/>
      <c r="E84" s="82"/>
      <c r="F84" s="82"/>
      <c r="G84" s="82"/>
      <c r="H84" s="82"/>
      <c r="I84" s="82"/>
      <c r="J84" s="82"/>
      <c r="K84" s="82"/>
      <c r="L84" s="82"/>
      <c r="M84" s="82"/>
      <c r="N84" s="82"/>
    </row>
    <row r="85" spans="1:14" customFormat="1" x14ac:dyDescent="0.25">
      <c r="A85" s="82"/>
      <c r="B85" s="82"/>
      <c r="C85" s="82"/>
      <c r="D85" s="82"/>
      <c r="E85" s="82"/>
      <c r="F85" s="82"/>
      <c r="G85" s="82"/>
      <c r="H85" s="82"/>
      <c r="I85" s="82"/>
      <c r="J85" s="82"/>
      <c r="K85" s="82"/>
      <c r="L85" s="82"/>
      <c r="M85" s="82"/>
      <c r="N85" s="82"/>
    </row>
    <row r="86" spans="1:14" customFormat="1" x14ac:dyDescent="0.25">
      <c r="A86" s="82"/>
      <c r="B86" s="82"/>
      <c r="C86" s="82"/>
      <c r="D86" s="82"/>
      <c r="E86" s="82"/>
      <c r="F86" s="82"/>
      <c r="G86" s="82"/>
      <c r="H86" s="82"/>
      <c r="I86" s="82"/>
      <c r="J86" s="82"/>
      <c r="K86" s="82"/>
      <c r="L86" s="82"/>
      <c r="M86" s="82"/>
      <c r="N86" s="82"/>
    </row>
    <row r="87" spans="1:14" customFormat="1" x14ac:dyDescent="0.25">
      <c r="A87" s="82"/>
      <c r="B87" s="82"/>
      <c r="C87" s="82"/>
      <c r="D87" s="82"/>
      <c r="E87" s="82"/>
      <c r="F87" s="82"/>
      <c r="G87" s="82"/>
      <c r="H87" s="82"/>
      <c r="I87" s="82"/>
      <c r="J87" s="82"/>
      <c r="K87" s="82"/>
      <c r="L87" s="82"/>
      <c r="M87" s="82"/>
      <c r="N87" s="82"/>
    </row>
    <row r="88" spans="1:14" customFormat="1" x14ac:dyDescent="0.25">
      <c r="A88" s="82"/>
      <c r="B88" s="82"/>
      <c r="C88" s="82"/>
      <c r="D88" s="82"/>
      <c r="E88" s="82"/>
      <c r="F88" s="82"/>
      <c r="G88" s="82"/>
      <c r="H88" s="82"/>
      <c r="I88" s="82"/>
      <c r="J88" s="82"/>
      <c r="K88" s="82"/>
      <c r="L88" s="82"/>
      <c r="M88" s="82"/>
      <c r="N88" s="82"/>
    </row>
    <row r="89" spans="1:14" customFormat="1" x14ac:dyDescent="0.25">
      <c r="A89" s="82"/>
      <c r="B89" s="82"/>
      <c r="C89" s="82"/>
      <c r="D89" s="82"/>
      <c r="E89" s="82"/>
      <c r="F89" s="82"/>
      <c r="G89" s="82"/>
      <c r="H89" s="82"/>
      <c r="I89" s="82"/>
      <c r="J89" s="82"/>
      <c r="K89" s="82"/>
      <c r="L89" s="82"/>
      <c r="M89" s="82"/>
      <c r="N89" s="82"/>
    </row>
    <row r="90" spans="1:14" customFormat="1" x14ac:dyDescent="0.25">
      <c r="A90" s="82"/>
      <c r="B90" s="82"/>
      <c r="C90" s="82"/>
      <c r="D90" s="82"/>
      <c r="E90" s="82"/>
      <c r="F90" s="82"/>
      <c r="G90" s="82"/>
      <c r="H90" s="82"/>
      <c r="I90" s="82"/>
      <c r="J90" s="82"/>
      <c r="K90" s="82"/>
      <c r="L90" s="82"/>
      <c r="M90" s="82"/>
      <c r="N90" s="82"/>
    </row>
    <row r="91" spans="1:14" customFormat="1" x14ac:dyDescent="0.25">
      <c r="A91" s="82"/>
      <c r="B91" s="82"/>
      <c r="C91" s="82"/>
      <c r="D91" s="82"/>
      <c r="E91" s="82"/>
      <c r="F91" s="82"/>
      <c r="G91" s="82"/>
      <c r="H91" s="82"/>
      <c r="I91" s="82"/>
      <c r="J91" s="82"/>
      <c r="K91" s="82"/>
      <c r="L91" s="82"/>
      <c r="M91" s="82"/>
      <c r="N91" s="82"/>
    </row>
    <row r="92" spans="1:14" customFormat="1" x14ac:dyDescent="0.25">
      <c r="A92" s="82"/>
      <c r="B92" s="82"/>
      <c r="C92" s="82"/>
      <c r="D92" s="82"/>
      <c r="E92" s="82"/>
      <c r="F92" s="82"/>
      <c r="G92" s="82"/>
      <c r="H92" s="82"/>
      <c r="I92" s="82"/>
      <c r="J92" s="82"/>
      <c r="K92" s="82"/>
      <c r="L92" s="82"/>
      <c r="M92" s="82"/>
      <c r="N92" s="82"/>
    </row>
    <row r="93" spans="1:14" customFormat="1" x14ac:dyDescent="0.25">
      <c r="A93" s="82"/>
      <c r="B93" s="82"/>
      <c r="C93" s="82"/>
      <c r="D93" s="82"/>
      <c r="E93" s="82"/>
      <c r="F93" s="82"/>
      <c r="G93" s="82"/>
      <c r="H93" s="82"/>
      <c r="I93" s="82"/>
      <c r="J93" s="82"/>
      <c r="K93" s="82"/>
      <c r="L93" s="82"/>
      <c r="M93" s="82"/>
      <c r="N93" s="82"/>
    </row>
    <row r="94" spans="1:14" customFormat="1" x14ac:dyDescent="0.25">
      <c r="A94" s="82"/>
      <c r="B94" s="82"/>
      <c r="C94" s="82"/>
      <c r="D94" s="82"/>
      <c r="E94" s="82"/>
      <c r="F94" s="82"/>
      <c r="G94" s="82"/>
      <c r="H94" s="82"/>
      <c r="I94" s="82"/>
      <c r="J94" s="82"/>
      <c r="K94" s="82"/>
      <c r="L94" s="82"/>
      <c r="M94" s="82"/>
      <c r="N94" s="82"/>
    </row>
    <row r="95" spans="1:14" customFormat="1" x14ac:dyDescent="0.25">
      <c r="A95" s="82"/>
      <c r="B95" s="82"/>
      <c r="C95" s="82"/>
      <c r="D95" s="82"/>
      <c r="E95" s="82"/>
      <c r="F95" s="82"/>
      <c r="G95" s="82"/>
      <c r="H95" s="82"/>
      <c r="I95" s="82"/>
      <c r="J95" s="82"/>
      <c r="K95" s="82"/>
      <c r="L95" s="82"/>
      <c r="M95" s="82"/>
      <c r="N95" s="82"/>
    </row>
    <row r="96" spans="1:14" customFormat="1" x14ac:dyDescent="0.25">
      <c r="A96" s="82"/>
      <c r="B96" s="82"/>
      <c r="C96" s="82"/>
      <c r="D96" s="82"/>
      <c r="E96" s="82"/>
      <c r="F96" s="82"/>
      <c r="G96" s="82"/>
      <c r="H96" s="82"/>
      <c r="I96" s="82"/>
      <c r="J96" s="82"/>
      <c r="K96" s="82"/>
      <c r="L96" s="82"/>
      <c r="M96" s="82"/>
      <c r="N96" s="82"/>
    </row>
    <row r="97" spans="1:14" customFormat="1" x14ac:dyDescent="0.25">
      <c r="A97" s="82"/>
      <c r="B97" s="82"/>
      <c r="C97" s="82"/>
      <c r="D97" s="82"/>
      <c r="E97" s="82"/>
      <c r="F97" s="82"/>
      <c r="G97" s="82"/>
      <c r="H97" s="82"/>
      <c r="I97" s="82"/>
      <c r="J97" s="82"/>
      <c r="K97" s="82"/>
      <c r="L97" s="82"/>
      <c r="M97" s="82"/>
      <c r="N97" s="82"/>
    </row>
    <row r="98" spans="1:14" customFormat="1" x14ac:dyDescent="0.25">
      <c r="A98" s="82"/>
      <c r="B98" s="82"/>
      <c r="C98" s="82"/>
      <c r="D98" s="82"/>
      <c r="E98" s="82"/>
      <c r="F98" s="82"/>
      <c r="G98" s="82"/>
      <c r="H98" s="82"/>
      <c r="I98" s="82"/>
      <c r="J98" s="82"/>
      <c r="K98" s="82"/>
      <c r="L98" s="82"/>
      <c r="M98" s="82"/>
      <c r="N98" s="82"/>
    </row>
    <row r="99" spans="1:14" customFormat="1" x14ac:dyDescent="0.25">
      <c r="A99" s="82"/>
      <c r="B99" s="82"/>
      <c r="C99" s="82"/>
      <c r="D99" s="82"/>
      <c r="E99" s="82"/>
      <c r="F99" s="82"/>
      <c r="G99" s="82"/>
      <c r="H99" s="82"/>
      <c r="I99" s="82"/>
      <c r="J99" s="82"/>
      <c r="K99" s="82"/>
      <c r="L99" s="82"/>
      <c r="M99" s="82"/>
      <c r="N99" s="82"/>
    </row>
    <row r="100" spans="1:14" customFormat="1" x14ac:dyDescent="0.25">
      <c r="A100" s="82"/>
      <c r="B100" s="82"/>
      <c r="C100" s="82"/>
      <c r="D100" s="82"/>
      <c r="E100" s="82"/>
      <c r="F100" s="82"/>
      <c r="G100" s="82"/>
      <c r="H100" s="82"/>
      <c r="I100" s="82"/>
      <c r="J100" s="82"/>
      <c r="K100" s="82"/>
      <c r="L100" s="82"/>
      <c r="M100" s="82"/>
      <c r="N100" s="82"/>
    </row>
    <row r="101" spans="1:14" customFormat="1" x14ac:dyDescent="0.25">
      <c r="A101" s="82"/>
      <c r="B101" s="82"/>
      <c r="C101" s="82"/>
      <c r="D101" s="82"/>
      <c r="E101" s="82"/>
      <c r="F101" s="82"/>
      <c r="G101" s="82"/>
      <c r="H101" s="82"/>
      <c r="I101" s="82"/>
      <c r="J101" s="82"/>
      <c r="K101" s="82"/>
      <c r="L101" s="82"/>
      <c r="M101" s="82"/>
      <c r="N101" s="82"/>
    </row>
    <row r="102" spans="1:14" customFormat="1" x14ac:dyDescent="0.25">
      <c r="A102" s="82"/>
      <c r="B102" s="82"/>
      <c r="C102" s="82"/>
      <c r="D102" s="82"/>
      <c r="E102" s="82"/>
      <c r="F102" s="82"/>
      <c r="G102" s="82"/>
      <c r="H102" s="82"/>
      <c r="I102" s="82"/>
      <c r="J102" s="82"/>
      <c r="K102" s="82"/>
      <c r="L102" s="82"/>
      <c r="M102" s="82"/>
      <c r="N102" s="82"/>
    </row>
    <row r="103" spans="1:14" customFormat="1" x14ac:dyDescent="0.25">
      <c r="A103" s="82"/>
      <c r="B103" s="82"/>
      <c r="C103" s="82"/>
      <c r="D103" s="82"/>
      <c r="E103" s="82"/>
      <c r="F103" s="82"/>
      <c r="G103" s="82"/>
      <c r="H103" s="82"/>
      <c r="I103" s="82"/>
      <c r="J103" s="82"/>
      <c r="K103" s="82"/>
      <c r="L103" s="82"/>
      <c r="M103" s="82"/>
      <c r="N103" s="82"/>
    </row>
    <row r="104" spans="1:14" customFormat="1" x14ac:dyDescent="0.25">
      <c r="A104" s="82"/>
      <c r="B104" s="82"/>
      <c r="C104" s="82"/>
      <c r="D104" s="82"/>
      <c r="E104" s="82"/>
      <c r="F104" s="82"/>
      <c r="G104" s="82"/>
      <c r="H104" s="82"/>
      <c r="I104" s="82"/>
      <c r="J104" s="82"/>
      <c r="K104" s="82"/>
      <c r="L104" s="82"/>
      <c r="M104" s="82"/>
      <c r="N104" s="82"/>
    </row>
    <row r="105" spans="1:14" customFormat="1" x14ac:dyDescent="0.25">
      <c r="A105" s="82"/>
      <c r="B105" s="82"/>
      <c r="C105" s="82"/>
      <c r="D105" s="82"/>
      <c r="E105" s="82"/>
      <c r="F105" s="82"/>
      <c r="G105" s="82"/>
      <c r="H105" s="82"/>
      <c r="I105" s="82"/>
      <c r="J105" s="82"/>
      <c r="K105" s="82"/>
      <c r="L105" s="82"/>
      <c r="M105" s="82"/>
      <c r="N105" s="82"/>
    </row>
    <row r="106" spans="1:14" customFormat="1" x14ac:dyDescent="0.25">
      <c r="A106" s="82"/>
      <c r="B106" s="82"/>
      <c r="C106" s="82"/>
      <c r="D106" s="82"/>
      <c r="E106" s="82"/>
      <c r="F106" s="82"/>
      <c r="G106" s="82"/>
      <c r="H106" s="82"/>
      <c r="I106" s="82"/>
      <c r="J106" s="82"/>
      <c r="K106" s="82"/>
      <c r="L106" s="82"/>
      <c r="M106" s="82"/>
      <c r="N106" s="82"/>
    </row>
    <row r="107" spans="1:14" customFormat="1" x14ac:dyDescent="0.25">
      <c r="A107" s="82"/>
      <c r="B107" s="82"/>
      <c r="C107" s="82"/>
      <c r="D107" s="82"/>
      <c r="E107" s="82"/>
      <c r="F107" s="82"/>
      <c r="G107" s="82"/>
      <c r="H107" s="82"/>
      <c r="I107" s="82"/>
      <c r="J107" s="82"/>
      <c r="K107" s="82"/>
      <c r="L107" s="82"/>
      <c r="M107" s="82"/>
      <c r="N107" s="82"/>
    </row>
    <row r="108" spans="1:14" customFormat="1" x14ac:dyDescent="0.25">
      <c r="A108" s="82"/>
      <c r="B108" s="82"/>
      <c r="C108" s="82"/>
      <c r="D108" s="82"/>
      <c r="E108" s="82"/>
      <c r="F108" s="82"/>
      <c r="G108" s="82"/>
      <c r="H108" s="82"/>
      <c r="I108" s="82"/>
      <c r="J108" s="82"/>
      <c r="K108" s="82"/>
      <c r="L108" s="82"/>
      <c r="M108" s="82"/>
      <c r="N108" s="82"/>
    </row>
    <row r="109" spans="1:14" customFormat="1" x14ac:dyDescent="0.25">
      <c r="A109" s="82"/>
      <c r="B109" s="82"/>
      <c r="C109" s="82"/>
      <c r="D109" s="82"/>
      <c r="E109" s="82"/>
      <c r="F109" s="82"/>
      <c r="G109" s="82"/>
      <c r="H109" s="82"/>
      <c r="I109" s="82"/>
      <c r="J109" s="82"/>
      <c r="K109" s="82"/>
      <c r="L109" s="82"/>
      <c r="M109" s="82"/>
      <c r="N109" s="82"/>
    </row>
    <row r="110" spans="1:14" customFormat="1" x14ac:dyDescent="0.25">
      <c r="A110" s="82"/>
      <c r="B110" s="82"/>
      <c r="C110" s="82"/>
      <c r="D110" s="82"/>
      <c r="E110" s="82"/>
      <c r="F110" s="82"/>
      <c r="G110" s="82"/>
      <c r="H110" s="82"/>
      <c r="I110" s="82"/>
      <c r="J110" s="82"/>
      <c r="K110" s="82"/>
      <c r="L110" s="82"/>
      <c r="M110" s="82"/>
      <c r="N110" s="82"/>
    </row>
    <row r="111" spans="1:14" customFormat="1" x14ac:dyDescent="0.25">
      <c r="A111" s="82"/>
      <c r="B111" s="82"/>
      <c r="C111" s="82"/>
      <c r="D111" s="82"/>
      <c r="E111" s="82"/>
      <c r="F111" s="82"/>
      <c r="G111" s="82"/>
      <c r="H111" s="82"/>
      <c r="I111" s="82"/>
      <c r="J111" s="82"/>
      <c r="K111" s="82"/>
      <c r="L111" s="82"/>
      <c r="M111" s="82"/>
      <c r="N111" s="82"/>
    </row>
    <row r="112" spans="1:14" customFormat="1" x14ac:dyDescent="0.25">
      <c r="A112" s="82"/>
      <c r="B112" s="82"/>
      <c r="C112" s="82"/>
      <c r="D112" s="82"/>
      <c r="E112" s="82"/>
      <c r="F112" s="82"/>
      <c r="G112" s="82"/>
      <c r="H112" s="82"/>
      <c r="I112" s="82"/>
      <c r="J112" s="82"/>
      <c r="K112" s="82"/>
      <c r="L112" s="82"/>
      <c r="M112" s="82"/>
      <c r="N112" s="82"/>
    </row>
    <row r="113" spans="1:14" customFormat="1" x14ac:dyDescent="0.25">
      <c r="A113" s="82"/>
      <c r="B113" s="82"/>
      <c r="C113" s="82"/>
      <c r="D113" s="82"/>
      <c r="E113" s="82"/>
      <c r="F113" s="82"/>
      <c r="G113" s="82"/>
      <c r="H113" s="82"/>
      <c r="I113" s="82"/>
      <c r="J113" s="82"/>
      <c r="K113" s="82"/>
      <c r="L113" s="82"/>
      <c r="M113" s="82"/>
      <c r="N113" s="82"/>
    </row>
    <row r="114" spans="1:14" customFormat="1" x14ac:dyDescent="0.25">
      <c r="A114" s="82"/>
      <c r="B114" s="82"/>
      <c r="C114" s="82"/>
      <c r="D114" s="82"/>
      <c r="E114" s="82"/>
      <c r="F114" s="82"/>
      <c r="G114" s="82"/>
      <c r="H114" s="82"/>
      <c r="I114" s="82"/>
      <c r="J114" s="82"/>
      <c r="K114" s="82"/>
      <c r="L114" s="82"/>
      <c r="M114" s="82"/>
      <c r="N114" s="82"/>
    </row>
    <row r="115" spans="1:14" customFormat="1" x14ac:dyDescent="0.25">
      <c r="A115" s="82"/>
      <c r="B115" s="82"/>
      <c r="C115" s="82"/>
      <c r="D115" s="82"/>
      <c r="E115" s="82"/>
      <c r="F115" s="82"/>
      <c r="G115" s="82"/>
      <c r="H115" s="82"/>
      <c r="I115" s="82"/>
      <c r="J115" s="82"/>
      <c r="K115" s="82"/>
      <c r="L115" s="82"/>
      <c r="M115" s="82"/>
      <c r="N115" s="82"/>
    </row>
    <row r="116" spans="1:14" customFormat="1" x14ac:dyDescent="0.25">
      <c r="A116" s="82"/>
      <c r="B116" s="82"/>
      <c r="C116" s="82"/>
      <c r="D116" s="82"/>
      <c r="E116" s="82"/>
      <c r="F116" s="82"/>
      <c r="G116" s="82"/>
      <c r="H116" s="82"/>
      <c r="I116" s="82"/>
      <c r="J116" s="82"/>
      <c r="K116" s="82"/>
      <c r="L116" s="82"/>
      <c r="M116" s="82"/>
      <c r="N116" s="82"/>
    </row>
    <row r="117" spans="1:14" customFormat="1" x14ac:dyDescent="0.25">
      <c r="A117" s="82"/>
      <c r="B117" s="82"/>
      <c r="C117" s="82"/>
      <c r="D117" s="82"/>
      <c r="E117" s="82"/>
      <c r="F117" s="82"/>
      <c r="G117" s="82"/>
      <c r="H117" s="82"/>
      <c r="I117" s="82"/>
      <c r="J117" s="82"/>
      <c r="K117" s="82"/>
      <c r="L117" s="82"/>
      <c r="M117" s="82"/>
      <c r="N117" s="82"/>
    </row>
    <row r="118" spans="1:14" customFormat="1" x14ac:dyDescent="0.25">
      <c r="A118" s="82"/>
      <c r="B118" s="82"/>
      <c r="C118" s="82"/>
      <c r="D118" s="82"/>
      <c r="E118" s="82"/>
      <c r="F118" s="82"/>
      <c r="G118" s="82"/>
      <c r="H118" s="82"/>
      <c r="I118" s="82"/>
      <c r="J118" s="82"/>
      <c r="K118" s="82"/>
      <c r="L118" s="82"/>
      <c r="M118" s="82"/>
      <c r="N118" s="82"/>
    </row>
    <row r="119" spans="1:14" customFormat="1" x14ac:dyDescent="0.25">
      <c r="A119" s="82"/>
      <c r="B119" s="82"/>
      <c r="C119" s="82"/>
      <c r="D119" s="82"/>
      <c r="E119" s="82"/>
      <c r="F119" s="82"/>
      <c r="G119" s="82"/>
      <c r="H119" s="82"/>
      <c r="I119" s="82"/>
      <c r="J119" s="82"/>
      <c r="K119" s="82"/>
      <c r="L119" s="82"/>
      <c r="M119" s="82"/>
      <c r="N119" s="82"/>
    </row>
    <row r="120" spans="1:14" customFormat="1" x14ac:dyDescent="0.25">
      <c r="A120" s="82"/>
      <c r="B120" s="82"/>
      <c r="C120" s="82"/>
      <c r="D120" s="82"/>
      <c r="E120" s="82"/>
      <c r="F120" s="82"/>
      <c r="G120" s="82"/>
      <c r="H120" s="82"/>
      <c r="I120" s="82"/>
      <c r="J120" s="82"/>
      <c r="K120" s="82"/>
      <c r="L120" s="82"/>
      <c r="M120" s="82"/>
      <c r="N120" s="82"/>
    </row>
    <row r="121" spans="1:14" customFormat="1" x14ac:dyDescent="0.25">
      <c r="A121" s="82"/>
      <c r="B121" s="82"/>
      <c r="C121" s="82"/>
      <c r="D121" s="82"/>
      <c r="E121" s="82"/>
      <c r="F121" s="82"/>
      <c r="G121" s="82"/>
      <c r="H121" s="82"/>
      <c r="I121" s="82"/>
      <c r="J121" s="82"/>
      <c r="K121" s="82"/>
      <c r="L121" s="82"/>
      <c r="M121" s="82"/>
      <c r="N121" s="82"/>
    </row>
    <row r="122" spans="1:14" customFormat="1" x14ac:dyDescent="0.25">
      <c r="A122" s="82"/>
      <c r="B122" s="82"/>
      <c r="C122" s="82"/>
      <c r="D122" s="82"/>
      <c r="E122" s="82"/>
      <c r="F122" s="82"/>
      <c r="G122" s="82"/>
      <c r="H122" s="82"/>
      <c r="I122" s="82"/>
      <c r="J122" s="82"/>
      <c r="K122" s="82"/>
      <c r="L122" s="82"/>
      <c r="M122" s="82"/>
      <c r="N122" s="82"/>
    </row>
    <row r="123" spans="1:14" customFormat="1" x14ac:dyDescent="0.25">
      <c r="A123" s="82"/>
      <c r="B123" s="82"/>
      <c r="C123" s="82"/>
      <c r="D123" s="82"/>
      <c r="E123" s="82"/>
      <c r="F123" s="82"/>
      <c r="G123" s="82"/>
      <c r="H123" s="82"/>
      <c r="I123" s="82"/>
      <c r="J123" s="82"/>
      <c r="K123" s="82"/>
      <c r="L123" s="82"/>
      <c r="M123" s="82"/>
      <c r="N123" s="82"/>
    </row>
    <row r="124" spans="1:14" customFormat="1" x14ac:dyDescent="0.25">
      <c r="A124" s="82"/>
      <c r="B124" s="82"/>
      <c r="C124" s="82"/>
      <c r="D124" s="82"/>
      <c r="E124" s="82"/>
      <c r="F124" s="82"/>
      <c r="G124" s="82"/>
      <c r="H124" s="82"/>
      <c r="I124" s="82"/>
      <c r="J124" s="82"/>
      <c r="K124" s="82"/>
      <c r="L124" s="82"/>
      <c r="M124" s="82"/>
      <c r="N124" s="82"/>
    </row>
    <row r="125" spans="1:14" customFormat="1" x14ac:dyDescent="0.25">
      <c r="A125" s="82"/>
      <c r="B125" s="82"/>
      <c r="C125" s="82"/>
      <c r="D125" s="82"/>
      <c r="E125" s="82"/>
      <c r="F125" s="82"/>
      <c r="G125" s="82"/>
      <c r="H125" s="82"/>
      <c r="I125" s="82"/>
      <c r="J125" s="82"/>
      <c r="K125" s="82"/>
      <c r="L125" s="82"/>
      <c r="M125" s="82"/>
      <c r="N125" s="82"/>
    </row>
    <row r="126" spans="1:14" customFormat="1" x14ac:dyDescent="0.25">
      <c r="A126" s="82"/>
      <c r="B126" s="82"/>
      <c r="C126" s="82"/>
      <c r="D126" s="82"/>
      <c r="E126" s="82"/>
      <c r="F126" s="82"/>
      <c r="G126" s="82"/>
      <c r="H126" s="82"/>
      <c r="I126" s="82"/>
      <c r="J126" s="82"/>
      <c r="K126" s="82"/>
      <c r="L126" s="82"/>
      <c r="M126" s="82"/>
      <c r="N126" s="82"/>
    </row>
    <row r="127" spans="1:14" customFormat="1" x14ac:dyDescent="0.25">
      <c r="A127" s="82"/>
      <c r="B127" s="82"/>
      <c r="C127" s="82"/>
      <c r="D127" s="82"/>
      <c r="E127" s="82"/>
      <c r="F127" s="82"/>
      <c r="G127" s="82"/>
      <c r="H127" s="82"/>
      <c r="I127" s="82"/>
      <c r="J127" s="82"/>
      <c r="K127" s="82"/>
      <c r="L127" s="82"/>
      <c r="M127" s="82"/>
      <c r="N127" s="82"/>
    </row>
    <row r="128" spans="1:14" customFormat="1" x14ac:dyDescent="0.25">
      <c r="A128" s="82"/>
      <c r="B128" s="82"/>
      <c r="C128" s="82"/>
      <c r="D128" s="82"/>
      <c r="E128" s="82"/>
      <c r="F128" s="82"/>
      <c r="G128" s="82"/>
      <c r="H128" s="82"/>
      <c r="I128" s="82"/>
      <c r="J128" s="82"/>
      <c r="K128" s="82"/>
      <c r="L128" s="82"/>
      <c r="M128" s="82"/>
      <c r="N128" s="82"/>
    </row>
    <row r="129" spans="1:14" customFormat="1" x14ac:dyDescent="0.25">
      <c r="A129" s="82"/>
      <c r="B129" s="82"/>
      <c r="C129" s="82"/>
      <c r="D129" s="82"/>
      <c r="E129" s="82"/>
      <c r="F129" s="82"/>
      <c r="G129" s="82"/>
      <c r="H129" s="82"/>
      <c r="I129" s="82"/>
      <c r="J129" s="82"/>
      <c r="K129" s="82"/>
      <c r="L129" s="82"/>
      <c r="M129" s="82"/>
      <c r="N129" s="82"/>
    </row>
    <row r="130" spans="1:14" customFormat="1" x14ac:dyDescent="0.25">
      <c r="A130" s="82"/>
      <c r="B130" s="82"/>
      <c r="C130" s="82"/>
      <c r="D130" s="82"/>
      <c r="E130" s="82"/>
      <c r="F130" s="82"/>
      <c r="G130" s="82"/>
      <c r="H130" s="82"/>
      <c r="I130" s="82"/>
      <c r="J130" s="82"/>
      <c r="K130" s="82"/>
      <c r="L130" s="82"/>
      <c r="M130" s="82"/>
      <c r="N130" s="82"/>
    </row>
    <row r="131" spans="1:14" customFormat="1" x14ac:dyDescent="0.25">
      <c r="A131" s="82"/>
      <c r="B131" s="82"/>
      <c r="C131" s="82"/>
      <c r="D131" s="82"/>
      <c r="E131" s="82"/>
      <c r="F131" s="82"/>
      <c r="G131" s="82"/>
      <c r="H131" s="82"/>
      <c r="I131" s="82"/>
      <c r="J131" s="82"/>
      <c r="K131" s="82"/>
      <c r="L131" s="82"/>
      <c r="M131" s="82"/>
      <c r="N131" s="82"/>
    </row>
    <row r="132" spans="1:14" customFormat="1" x14ac:dyDescent="0.25">
      <c r="A132" s="82"/>
      <c r="B132" s="82"/>
      <c r="C132" s="82"/>
      <c r="D132" s="82"/>
      <c r="E132" s="82"/>
      <c r="F132" s="82"/>
      <c r="G132" s="82"/>
      <c r="H132" s="82"/>
      <c r="I132" s="82"/>
      <c r="J132" s="82"/>
      <c r="K132" s="82"/>
      <c r="L132" s="82"/>
      <c r="M132" s="82"/>
      <c r="N132" s="82"/>
    </row>
    <row r="133" spans="1:14" customFormat="1" x14ac:dyDescent="0.25">
      <c r="A133" s="82"/>
      <c r="B133" s="82"/>
      <c r="C133" s="82"/>
      <c r="D133" s="82"/>
      <c r="E133" s="82"/>
      <c r="F133" s="82"/>
      <c r="G133" s="82"/>
      <c r="H133" s="82"/>
      <c r="I133" s="82"/>
      <c r="J133" s="82"/>
      <c r="K133" s="82"/>
      <c r="L133" s="82"/>
      <c r="M133" s="82"/>
      <c r="N133" s="82"/>
    </row>
    <row r="134" spans="1:14" customFormat="1" x14ac:dyDescent="0.25">
      <c r="A134" s="82"/>
      <c r="B134" s="82"/>
      <c r="C134" s="82"/>
      <c r="D134" s="82"/>
      <c r="E134" s="82"/>
      <c r="F134" s="82"/>
      <c r="G134" s="82"/>
      <c r="H134" s="82"/>
      <c r="I134" s="82"/>
      <c r="J134" s="82"/>
      <c r="K134" s="82"/>
      <c r="L134" s="82"/>
      <c r="M134" s="82"/>
      <c r="N134" s="82"/>
    </row>
    <row r="135" spans="1:14" customFormat="1" x14ac:dyDescent="0.25">
      <c r="A135" s="82"/>
      <c r="B135" s="82"/>
      <c r="C135" s="82"/>
      <c r="D135" s="82"/>
      <c r="E135" s="82"/>
      <c r="F135" s="82"/>
      <c r="G135" s="82"/>
      <c r="H135" s="82"/>
      <c r="I135" s="82"/>
      <c r="J135" s="82"/>
      <c r="K135" s="82"/>
      <c r="L135" s="82"/>
      <c r="M135" s="82"/>
      <c r="N135" s="82"/>
    </row>
    <row r="136" spans="1:14" customFormat="1" x14ac:dyDescent="0.25">
      <c r="A136" s="82"/>
      <c r="B136" s="82"/>
      <c r="C136" s="82"/>
      <c r="D136" s="82"/>
      <c r="E136" s="82"/>
      <c r="F136" s="82"/>
      <c r="G136" s="82"/>
      <c r="H136" s="82"/>
      <c r="I136" s="82"/>
      <c r="J136" s="82"/>
      <c r="K136" s="82"/>
      <c r="L136" s="82"/>
      <c r="M136" s="82"/>
      <c r="N136" s="82"/>
    </row>
    <row r="137" spans="1:14" customFormat="1" x14ac:dyDescent="0.25">
      <c r="A137" s="82"/>
      <c r="B137" s="82"/>
      <c r="C137" s="82"/>
      <c r="D137" s="82"/>
      <c r="E137" s="82"/>
      <c r="F137" s="82"/>
      <c r="G137" s="82"/>
      <c r="H137" s="82"/>
      <c r="I137" s="82"/>
      <c r="J137" s="82"/>
      <c r="K137" s="82"/>
      <c r="L137" s="82"/>
      <c r="M137" s="82"/>
      <c r="N137" s="82"/>
    </row>
    <row r="138" spans="1:14" customFormat="1" x14ac:dyDescent="0.25">
      <c r="A138" s="82"/>
      <c r="B138" s="82"/>
      <c r="C138" s="82"/>
      <c r="D138" s="82"/>
      <c r="E138" s="82"/>
      <c r="F138" s="82"/>
      <c r="G138" s="82"/>
      <c r="H138" s="82"/>
      <c r="I138" s="82"/>
      <c r="J138" s="82"/>
      <c r="K138" s="82"/>
      <c r="L138" s="82"/>
      <c r="M138" s="82"/>
      <c r="N138" s="82"/>
    </row>
    <row r="139" spans="1:14" customFormat="1" x14ac:dyDescent="0.25">
      <c r="A139" s="82"/>
      <c r="B139" s="82"/>
      <c r="C139" s="82"/>
      <c r="D139" s="82"/>
      <c r="E139" s="82"/>
      <c r="F139" s="82"/>
      <c r="G139" s="82"/>
      <c r="H139" s="82"/>
      <c r="I139" s="82"/>
      <c r="J139" s="82"/>
      <c r="K139" s="82"/>
      <c r="L139" s="82"/>
      <c r="M139" s="82"/>
      <c r="N139" s="82"/>
    </row>
    <row r="140" spans="1:14" customFormat="1" x14ac:dyDescent="0.25">
      <c r="A140" s="82"/>
      <c r="B140" s="82"/>
      <c r="C140" s="82"/>
      <c r="D140" s="82"/>
      <c r="E140" s="82"/>
      <c r="F140" s="82"/>
      <c r="G140" s="82"/>
      <c r="H140" s="82"/>
      <c r="I140" s="82"/>
      <c r="J140" s="82"/>
      <c r="K140" s="82"/>
      <c r="L140" s="82"/>
      <c r="M140" s="82"/>
      <c r="N140" s="82"/>
    </row>
    <row r="141" spans="1:14" customFormat="1" x14ac:dyDescent="0.25">
      <c r="A141" s="82"/>
      <c r="B141" s="82"/>
      <c r="C141" s="82"/>
      <c r="D141" s="82"/>
      <c r="E141" s="82"/>
      <c r="F141" s="82"/>
      <c r="G141" s="82"/>
      <c r="H141" s="82"/>
      <c r="I141" s="82"/>
      <c r="J141" s="82"/>
      <c r="K141" s="82"/>
      <c r="L141" s="82"/>
      <c r="M141" s="82"/>
      <c r="N141" s="82"/>
    </row>
    <row r="142" spans="1:14" customFormat="1" x14ac:dyDescent="0.25">
      <c r="A142" s="82"/>
      <c r="B142" s="82"/>
      <c r="C142" s="82"/>
      <c r="D142" s="82"/>
      <c r="E142" s="82"/>
      <c r="F142" s="82"/>
      <c r="G142" s="82"/>
      <c r="H142" s="82"/>
      <c r="I142" s="82"/>
      <c r="J142" s="82"/>
      <c r="K142" s="82"/>
      <c r="L142" s="82"/>
      <c r="M142" s="82"/>
      <c r="N142" s="82"/>
    </row>
    <row r="143" spans="1:14" customFormat="1" x14ac:dyDescent="0.25">
      <c r="A143" s="82"/>
      <c r="B143" s="82"/>
      <c r="C143" s="82"/>
      <c r="D143" s="82"/>
      <c r="E143" s="82"/>
      <c r="F143" s="82"/>
      <c r="G143" s="82"/>
      <c r="H143" s="82"/>
      <c r="I143" s="82"/>
      <c r="J143" s="82"/>
      <c r="K143" s="82"/>
      <c r="L143" s="82"/>
      <c r="M143" s="82"/>
      <c r="N143" s="82"/>
    </row>
    <row r="144" spans="1:14" customFormat="1" x14ac:dyDescent="0.25">
      <c r="A144" s="82"/>
      <c r="B144" s="82"/>
      <c r="C144" s="82"/>
      <c r="D144" s="82"/>
      <c r="E144" s="82"/>
      <c r="F144" s="82"/>
      <c r="G144" s="82"/>
      <c r="H144" s="82"/>
      <c r="I144" s="82"/>
      <c r="J144" s="82"/>
      <c r="K144" s="82"/>
      <c r="L144" s="82"/>
      <c r="M144" s="82"/>
      <c r="N144" s="82"/>
    </row>
    <row r="145" spans="1:14" customFormat="1" x14ac:dyDescent="0.25">
      <c r="A145" s="82"/>
      <c r="B145" s="82"/>
      <c r="C145" s="82"/>
      <c r="D145" s="82"/>
      <c r="E145" s="82"/>
      <c r="F145" s="82"/>
      <c r="G145" s="82"/>
      <c r="H145" s="82"/>
      <c r="I145" s="82"/>
      <c r="J145" s="82"/>
      <c r="K145" s="82"/>
      <c r="L145" s="82"/>
      <c r="M145" s="82"/>
      <c r="N145" s="82"/>
    </row>
  </sheetData>
  <printOptions horizontalCentered="1"/>
  <pageMargins left="0.7" right="0.7" top="0.75" bottom="0.75" header="0.3" footer="0.3"/>
  <pageSetup scale="85" orientation="landscape" blackAndWhite="1" horizontalDpi="300" verticalDpi="300" r:id="rId1"/>
  <headerFooter>
    <oddFooter>&amp;L&amp;F
&amp;A&amp;C&amp;P&amp;R&amp;D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pageSetUpPr fitToPage="1"/>
  </sheetPr>
  <dimension ref="A1:O145"/>
  <sheetViews>
    <sheetView zoomScale="90" zoomScaleNormal="90" workbookViewId="0">
      <selection activeCell="E10" sqref="E10"/>
    </sheetView>
  </sheetViews>
  <sheetFormatPr defaultColWidth="8.7109375" defaultRowHeight="15" outlineLevelCol="1" x14ac:dyDescent="0.25"/>
  <cols>
    <col min="1" max="1" width="3.5703125" style="82" customWidth="1"/>
    <col min="2" max="2" width="2.5703125" style="82" customWidth="1"/>
    <col min="3" max="3" width="31.140625" style="82" customWidth="1"/>
    <col min="4" max="4" width="9.140625" style="82" bestFit="1" customWidth="1"/>
    <col min="5" max="5" width="13.7109375" style="82" customWidth="1"/>
    <col min="6" max="12" width="12.85546875" style="82" customWidth="1"/>
    <col min="13" max="13" width="9.140625" style="82"/>
    <col min="14" max="14" width="9.140625" style="82" customWidth="1" outlineLevel="1"/>
    <col min="15" max="15" width="9.140625" customWidth="1"/>
    <col min="16" max="16384" width="8.7109375" style="82"/>
  </cols>
  <sheetData>
    <row r="1" spans="1:15" x14ac:dyDescent="0.25">
      <c r="B1" s="246" t="s">
        <v>0</v>
      </c>
      <c r="C1" s="247"/>
      <c r="D1" s="247"/>
      <c r="E1" s="247"/>
      <c r="F1" s="247"/>
      <c r="G1" s="247"/>
      <c r="H1" s="247"/>
      <c r="I1" s="247"/>
      <c r="J1" s="247"/>
      <c r="K1" s="247"/>
      <c r="L1" s="247"/>
    </row>
    <row r="2" spans="1:15" s="7" customFormat="1" x14ac:dyDescent="0.25">
      <c r="A2" s="814"/>
      <c r="B2" s="245" t="str">
        <f>'CRM Rates'!$A$2</f>
        <v>2022 Gas Schedule 149 Cost Recovery Mechanism For Pipeline Replacement (CRM) Filing (PRELIMINARY - August Filing)</v>
      </c>
      <c r="C2" s="245"/>
      <c r="D2" s="245"/>
      <c r="E2" s="245"/>
      <c r="F2" s="245"/>
      <c r="G2" s="245"/>
      <c r="H2" s="245"/>
      <c r="I2" s="245"/>
      <c r="J2" s="245"/>
      <c r="K2" s="245"/>
      <c r="L2" s="245"/>
      <c r="M2" s="814"/>
      <c r="N2" s="814"/>
    </row>
    <row r="3" spans="1:15" s="7" customFormat="1" x14ac:dyDescent="0.25">
      <c r="A3" s="814"/>
      <c r="B3" s="815" t="s">
        <v>348</v>
      </c>
      <c r="C3" s="815"/>
      <c r="D3" s="815"/>
      <c r="E3" s="815"/>
      <c r="F3" s="815"/>
      <c r="G3" s="815"/>
      <c r="H3" s="815"/>
      <c r="I3" s="815"/>
      <c r="J3" s="815"/>
      <c r="K3" s="815"/>
      <c r="L3" s="815"/>
      <c r="M3" s="814"/>
      <c r="N3" s="814"/>
    </row>
    <row r="4" spans="1:15" s="218" customFormat="1" x14ac:dyDescent="0.25">
      <c r="A4" s="86"/>
      <c r="B4" s="796"/>
      <c r="C4" s="86"/>
      <c r="D4" s="86"/>
      <c r="E4" s="86"/>
      <c r="F4" s="86"/>
      <c r="G4" s="86"/>
      <c r="H4" s="86"/>
      <c r="I4" s="86"/>
      <c r="J4" s="86"/>
      <c r="K4" s="86"/>
      <c r="L4" s="86"/>
      <c r="M4" s="86"/>
      <c r="N4" s="86"/>
    </row>
    <row r="5" spans="1:15" s="218" customFormat="1" x14ac:dyDescent="0.25">
      <c r="A5" s="86"/>
      <c r="B5" s="86"/>
      <c r="C5" s="86"/>
      <c r="D5" s="86"/>
      <c r="E5" s="86"/>
      <c r="F5" s="797"/>
      <c r="G5" s="797" t="s">
        <v>115</v>
      </c>
      <c r="H5" s="797" t="s">
        <v>116</v>
      </c>
      <c r="I5" s="797"/>
      <c r="J5" s="797" t="s">
        <v>117</v>
      </c>
      <c r="K5" s="797" t="s">
        <v>118</v>
      </c>
      <c r="L5" s="797"/>
      <c r="M5" s="86"/>
      <c r="N5" s="86"/>
    </row>
    <row r="6" spans="1:15" s="218" customFormat="1" x14ac:dyDescent="0.25">
      <c r="A6" s="86"/>
      <c r="B6" s="86"/>
      <c r="C6" s="86"/>
      <c r="D6" s="797" t="s">
        <v>119</v>
      </c>
      <c r="E6" s="86"/>
      <c r="F6" s="797" t="s">
        <v>134</v>
      </c>
      <c r="G6" s="797" t="s">
        <v>121</v>
      </c>
      <c r="H6" s="797" t="s">
        <v>122</v>
      </c>
      <c r="I6" s="797" t="s">
        <v>123</v>
      </c>
      <c r="J6" s="797" t="s">
        <v>124</v>
      </c>
      <c r="K6" s="797" t="s">
        <v>125</v>
      </c>
      <c r="L6" s="797"/>
      <c r="M6" s="86"/>
      <c r="N6" s="86"/>
    </row>
    <row r="7" spans="1:15" s="218" customFormat="1" x14ac:dyDescent="0.25">
      <c r="A7" s="86"/>
      <c r="B7" s="86"/>
      <c r="C7" s="86"/>
      <c r="D7" s="798" t="s">
        <v>126</v>
      </c>
      <c r="E7" s="798" t="s">
        <v>90</v>
      </c>
      <c r="F7" s="798" t="s">
        <v>127</v>
      </c>
      <c r="G7" s="798" t="s">
        <v>128</v>
      </c>
      <c r="H7" s="798" t="s">
        <v>129</v>
      </c>
      <c r="I7" s="798" t="s">
        <v>130</v>
      </c>
      <c r="J7" s="798" t="s">
        <v>130</v>
      </c>
      <c r="K7" s="798" t="s">
        <v>130</v>
      </c>
      <c r="L7" s="798" t="s">
        <v>131</v>
      </c>
      <c r="M7" s="86"/>
      <c r="N7" s="74" t="s">
        <v>104</v>
      </c>
      <c r="O7" s="74" t="s">
        <v>254</v>
      </c>
    </row>
    <row r="8" spans="1:15" s="218" customFormat="1" x14ac:dyDescent="0.25">
      <c r="A8" s="86"/>
      <c r="B8" s="86" t="s">
        <v>135</v>
      </c>
      <c r="C8" s="86"/>
      <c r="D8" s="86"/>
      <c r="E8" s="90"/>
      <c r="F8" s="90"/>
      <c r="G8" s="90"/>
      <c r="H8" s="90"/>
      <c r="I8" s="90"/>
      <c r="J8" s="90"/>
      <c r="K8" s="90"/>
      <c r="L8" s="90"/>
      <c r="M8" s="86"/>
      <c r="N8" s="799"/>
    </row>
    <row r="9" spans="1:15" s="218" customFormat="1" x14ac:dyDescent="0.25">
      <c r="A9" s="86"/>
      <c r="B9" s="86"/>
      <c r="C9" s="162" t="s">
        <v>227</v>
      </c>
      <c r="D9" s="165">
        <v>376</v>
      </c>
      <c r="E9" s="800">
        <f>('2020 CRM'!$G$29+'2020 CRM'!$G$35)*'Summary 2020 (from 2020 filing)'!O15</f>
        <v>3942154.4857548862</v>
      </c>
      <c r="F9" s="801">
        <f>$E$9*'Allocation Factors'!E12</f>
        <v>2593433.1817356972</v>
      </c>
      <c r="G9" s="801">
        <f>$E$9*'Allocation Factors'!F12</f>
        <v>944441.21852985246</v>
      </c>
      <c r="H9" s="801">
        <f>$E$9*'Allocation Factors'!G12</f>
        <v>207780.49049005363</v>
      </c>
      <c r="I9" s="801">
        <f>$E$9*'Allocation Factors'!H12</f>
        <v>101204.79150630318</v>
      </c>
      <c r="J9" s="801">
        <f>$E$9*'Allocation Factors'!I12</f>
        <v>10898.492458319948</v>
      </c>
      <c r="K9" s="801">
        <f>$E$9*'Allocation Factors'!J12</f>
        <v>79169.697270175719</v>
      </c>
      <c r="L9" s="801">
        <f>$E$9*'Allocation Factors'!K12</f>
        <v>5226.6137644836517</v>
      </c>
      <c r="M9" s="86"/>
      <c r="N9" s="799">
        <f t="shared" ref="N9:N16" si="0">SUM(F9:L9)-E9</f>
        <v>0</v>
      </c>
    </row>
    <row r="10" spans="1:15" s="218" customFormat="1" x14ac:dyDescent="0.25">
      <c r="A10" s="86"/>
      <c r="B10" s="86"/>
      <c r="C10" s="162" t="s">
        <v>228</v>
      </c>
      <c r="D10" s="165">
        <v>380</v>
      </c>
      <c r="E10" s="800">
        <f>('2020 CRM'!$G$29+'2020 CRM'!$G$35)*'Summary 2020 (from 2020 filing)'!O16</f>
        <v>292527.54244528018</v>
      </c>
      <c r="F10" s="801">
        <f>$E$10*'Allocation Factors'!E17</f>
        <v>168344.04796841822</v>
      </c>
      <c r="G10" s="801">
        <f>$E$10*'Allocation Factors'!F17</f>
        <v>118968.00685602266</v>
      </c>
      <c r="H10" s="801">
        <f>$E$10*'Allocation Factors'!G17</f>
        <v>2113.5270741664476</v>
      </c>
      <c r="I10" s="801">
        <f>$E$10*'Allocation Factors'!H17</f>
        <v>2121.6923393930988</v>
      </c>
      <c r="J10" s="801">
        <f>$E$10*'Allocation Factors'!I17</f>
        <v>334.41574760050685</v>
      </c>
      <c r="K10" s="801">
        <f>$E$10*'Allocation Factors'!J17</f>
        <v>273.05075747607299</v>
      </c>
      <c r="L10" s="801">
        <f>$E$10*'Allocation Factors'!K17</f>
        <v>372.80170220324516</v>
      </c>
      <c r="M10" s="86"/>
      <c r="N10" s="799">
        <f t="shared" si="0"/>
        <v>0</v>
      </c>
    </row>
    <row r="11" spans="1:15" s="218" customFormat="1" x14ac:dyDescent="0.25">
      <c r="A11" s="86"/>
      <c r="B11" s="86"/>
      <c r="C11" s="86" t="s">
        <v>90</v>
      </c>
      <c r="D11" s="165"/>
      <c r="E11" s="89">
        <f>SUM(E9:E10)</f>
        <v>4234682.0282001663</v>
      </c>
      <c r="F11" s="89">
        <f t="shared" ref="F11:L11" si="1">SUM(F9:F10)</f>
        <v>2761777.2297041155</v>
      </c>
      <c r="G11" s="89">
        <f t="shared" si="1"/>
        <v>1063409.2253858752</v>
      </c>
      <c r="H11" s="89">
        <f t="shared" si="1"/>
        <v>209894.01756422009</v>
      </c>
      <c r="I11" s="89">
        <f t="shared" si="1"/>
        <v>103326.48384569628</v>
      </c>
      <c r="J11" s="89">
        <f t="shared" si="1"/>
        <v>11232.908205920456</v>
      </c>
      <c r="K11" s="89">
        <f t="shared" si="1"/>
        <v>79442.748027651789</v>
      </c>
      <c r="L11" s="89">
        <f t="shared" si="1"/>
        <v>5599.4154666868972</v>
      </c>
      <c r="M11" s="86"/>
      <c r="N11" s="799">
        <f t="shared" si="0"/>
        <v>0</v>
      </c>
      <c r="O11" s="799">
        <f>E11-'2020 CRM'!G29-'2020 CRM'!G35</f>
        <v>0</v>
      </c>
    </row>
    <row r="12" spans="1:15" s="218" customFormat="1" x14ac:dyDescent="0.25">
      <c r="A12" s="86"/>
      <c r="B12" s="86"/>
      <c r="C12" s="86"/>
      <c r="D12" s="165"/>
      <c r="E12" s="90"/>
      <c r="F12" s="90"/>
      <c r="G12" s="90"/>
      <c r="H12" s="90"/>
      <c r="I12" s="90"/>
      <c r="J12" s="90"/>
      <c r="K12" s="90"/>
      <c r="L12" s="90"/>
      <c r="M12" s="86"/>
      <c r="N12" s="799"/>
    </row>
    <row r="13" spans="1:15" s="86" customFormat="1" x14ac:dyDescent="0.25">
      <c r="B13" s="86" t="s">
        <v>53</v>
      </c>
      <c r="D13" s="165"/>
      <c r="E13" s="88"/>
      <c r="F13" s="88"/>
      <c r="G13" s="88"/>
      <c r="H13" s="88"/>
      <c r="I13" s="88"/>
      <c r="J13" s="88"/>
      <c r="K13" s="88"/>
      <c r="L13" s="88"/>
      <c r="N13" s="799"/>
    </row>
    <row r="14" spans="1:15" s="86" customFormat="1" x14ac:dyDescent="0.25">
      <c r="C14" s="162" t="s">
        <v>227</v>
      </c>
      <c r="D14" s="165">
        <v>376</v>
      </c>
      <c r="E14" s="803">
        <f>'2020 CRM'!$G$27*'Summary 2020 (from 2020 filing)'!I26</f>
        <v>1217671.3199807552</v>
      </c>
      <c r="F14" s="92">
        <f>$E$14*'Allocation Factors'!E12</f>
        <v>801071.90550176485</v>
      </c>
      <c r="G14" s="92">
        <f>$E$14*'Allocation Factors'!F12</f>
        <v>291723.46983536851</v>
      </c>
      <c r="H14" s="92">
        <f>$E$14*'Allocation Factors'!G12</f>
        <v>64180.220495043235</v>
      </c>
      <c r="I14" s="92">
        <f>$E$14*'Allocation Factors'!H12</f>
        <v>31260.614597212854</v>
      </c>
      <c r="J14" s="92">
        <f>$E$14*'Allocation Factors'!I12</f>
        <v>3366.3778894199081</v>
      </c>
      <c r="K14" s="92">
        <f>$E$14*'Allocation Factors'!J12</f>
        <v>24454.310485752423</v>
      </c>
      <c r="L14" s="92">
        <f>$E$14*'Allocation Factors'!K12</f>
        <v>1614.4211761933748</v>
      </c>
      <c r="N14" s="799">
        <f t="shared" si="0"/>
        <v>0</v>
      </c>
    </row>
    <row r="15" spans="1:15" s="86" customFormat="1" x14ac:dyDescent="0.25">
      <c r="C15" s="162" t="s">
        <v>228</v>
      </c>
      <c r="D15" s="165">
        <v>380</v>
      </c>
      <c r="E15" s="803">
        <f>'2020 CRM'!$G$27*'Summary 2020 (from 2020 filing)'!I27</f>
        <v>118168.70816475518</v>
      </c>
      <c r="F15" s="92">
        <f>$E$15*'Allocation Factors'!E17</f>
        <v>68003.848490180098</v>
      </c>
      <c r="G15" s="92">
        <f>$E$15*'Allocation Factors'!F17</f>
        <v>48058.024094403561</v>
      </c>
      <c r="H15" s="92">
        <f>$E$15*'Allocation Factors'!G17</f>
        <v>853.77521014863839</v>
      </c>
      <c r="I15" s="92">
        <f>$E$15*'Allocation Factors'!H17</f>
        <v>857.07363065150935</v>
      </c>
      <c r="J15" s="92">
        <f>$E$15*'Allocation Factors'!I17</f>
        <v>135.08976472290576</v>
      </c>
      <c r="K15" s="92">
        <f>$E$15*'Allocation Factors'!J17</f>
        <v>110.30091390587967</v>
      </c>
      <c r="L15" s="92">
        <f>$E$15*'Allocation Factors'!K17</f>
        <v>150.59606074262166</v>
      </c>
      <c r="N15" s="799">
        <f t="shared" si="0"/>
        <v>0</v>
      </c>
    </row>
    <row r="16" spans="1:15" s="86" customFormat="1" x14ac:dyDescent="0.25">
      <c r="C16" s="86" t="s">
        <v>90</v>
      </c>
      <c r="E16" s="89">
        <f>SUM(E14:E15)</f>
        <v>1335840.0281455105</v>
      </c>
      <c r="F16" s="89">
        <f t="shared" ref="F16:L16" si="2">SUM(F14:F15)</f>
        <v>869075.75399194495</v>
      </c>
      <c r="G16" s="89">
        <f t="shared" si="2"/>
        <v>339781.49392977206</v>
      </c>
      <c r="H16" s="89">
        <f t="shared" si="2"/>
        <v>65033.995705191875</v>
      </c>
      <c r="I16" s="89">
        <f t="shared" si="2"/>
        <v>32117.688227864364</v>
      </c>
      <c r="J16" s="89">
        <f t="shared" si="2"/>
        <v>3501.4676541428139</v>
      </c>
      <c r="K16" s="89">
        <f t="shared" si="2"/>
        <v>24564.611399658304</v>
      </c>
      <c r="L16" s="89">
        <f t="shared" si="2"/>
        <v>1765.0172369359964</v>
      </c>
      <c r="N16" s="799">
        <f t="shared" si="0"/>
        <v>0</v>
      </c>
      <c r="O16" s="799">
        <f>E16-'2020 CRM'!G27</f>
        <v>0</v>
      </c>
    </row>
    <row r="17" spans="1:15" s="86" customFormat="1" x14ac:dyDescent="0.25">
      <c r="E17" s="90"/>
      <c r="F17" s="90"/>
      <c r="G17" s="90"/>
      <c r="H17" s="90"/>
      <c r="I17" s="90"/>
      <c r="J17" s="90"/>
      <c r="K17" s="90"/>
      <c r="L17" s="90"/>
      <c r="N17" s="74"/>
      <c r="O17" s="799"/>
    </row>
    <row r="18" spans="1:15" s="86" customFormat="1" x14ac:dyDescent="0.25">
      <c r="E18" s="88"/>
      <c r="F18" s="88"/>
      <c r="G18" s="88"/>
      <c r="H18" s="88"/>
      <c r="I18" s="88"/>
      <c r="J18" s="88"/>
      <c r="K18" s="88"/>
      <c r="L18" s="88"/>
      <c r="N18" s="74"/>
    </row>
    <row r="19" spans="1:15" s="86" customFormat="1" x14ac:dyDescent="0.25">
      <c r="B19" s="86" t="s">
        <v>136</v>
      </c>
      <c r="E19" s="88">
        <f>E11+E16</f>
        <v>5570522.056345677</v>
      </c>
      <c r="F19" s="88">
        <f t="shared" ref="F19:L19" si="3">F11+F16</f>
        <v>3630852.9836960603</v>
      </c>
      <c r="G19" s="88">
        <f t="shared" si="3"/>
        <v>1403190.7193156471</v>
      </c>
      <c r="H19" s="88">
        <f t="shared" si="3"/>
        <v>274928.01326941198</v>
      </c>
      <c r="I19" s="88">
        <f t="shared" si="3"/>
        <v>135444.17207356065</v>
      </c>
      <c r="J19" s="88">
        <f t="shared" si="3"/>
        <v>14734.37586006327</v>
      </c>
      <c r="K19" s="88">
        <f t="shared" si="3"/>
        <v>104007.35942731009</v>
      </c>
      <c r="L19" s="88">
        <f t="shared" si="3"/>
        <v>7364.4327036228933</v>
      </c>
      <c r="N19" s="799">
        <f t="shared" ref="N19" si="4">SUM(F19:L19)-E19</f>
        <v>0</v>
      </c>
    </row>
    <row r="20" spans="1:15" s="86" customFormat="1" x14ac:dyDescent="0.25">
      <c r="B20" s="86" t="s">
        <v>137</v>
      </c>
      <c r="E20" s="806">
        <f>'2019 GRC'!J40</f>
        <v>0.95255299999999998</v>
      </c>
      <c r="F20" s="88"/>
      <c r="G20" s="88"/>
      <c r="H20" s="88"/>
      <c r="I20" s="88"/>
      <c r="J20" s="88"/>
      <c r="K20" s="88"/>
      <c r="L20" s="88"/>
      <c r="N20" s="74"/>
    </row>
    <row r="21" spans="1:15" s="86" customFormat="1" x14ac:dyDescent="0.25">
      <c r="B21" s="87" t="s">
        <v>138</v>
      </c>
      <c r="C21" s="87"/>
      <c r="D21" s="87"/>
      <c r="E21" s="93">
        <f>E19/$E$20</f>
        <v>5847991.7194588408</v>
      </c>
      <c r="F21" s="93">
        <f t="shared" ref="F21:L21" si="5">F19/$E$20</f>
        <v>3811707.0480026416</v>
      </c>
      <c r="G21" s="93">
        <f t="shared" si="5"/>
        <v>1473084.1426310632</v>
      </c>
      <c r="H21" s="93">
        <f t="shared" si="5"/>
        <v>288622.27431902685</v>
      </c>
      <c r="I21" s="93">
        <f t="shared" si="5"/>
        <v>142190.69392838053</v>
      </c>
      <c r="J21" s="93">
        <f t="shared" si="5"/>
        <v>15468.300304616405</v>
      </c>
      <c r="K21" s="93">
        <f t="shared" si="5"/>
        <v>109188.00258600843</v>
      </c>
      <c r="L21" s="93">
        <f t="shared" si="5"/>
        <v>7731.2576871028632</v>
      </c>
      <c r="N21" s="799">
        <f t="shared" ref="N21" si="6">SUM(F21:L21)-E21</f>
        <v>0</v>
      </c>
      <c r="O21" s="799">
        <f>E21-'Summary - Revenue Requirement'!B11</f>
        <v>0</v>
      </c>
    </row>
    <row r="22" spans="1:15" s="86" customFormat="1" x14ac:dyDescent="0.25">
      <c r="F22" s="88"/>
      <c r="G22" s="88"/>
      <c r="H22" s="88"/>
      <c r="I22" s="88"/>
      <c r="J22" s="88"/>
      <c r="K22" s="88"/>
      <c r="L22" s="88"/>
      <c r="N22" s="74"/>
    </row>
    <row r="23" spans="1:15" s="218" customFormat="1" x14ac:dyDescent="0.25">
      <c r="A23" s="86"/>
      <c r="B23" s="86" t="s">
        <v>139</v>
      </c>
      <c r="C23" s="86"/>
      <c r="D23" s="86"/>
      <c r="E23" s="807">
        <f>SUM(F23:L23)</f>
        <v>1</v>
      </c>
      <c r="F23" s="807">
        <f>F21/$E21</f>
        <v>0.65179761375506329</v>
      </c>
      <c r="G23" s="807">
        <f t="shared" ref="G23:L23" si="7">G21/$E21</f>
        <v>0.25189572990150866</v>
      </c>
      <c r="H23" s="807">
        <f t="shared" si="7"/>
        <v>4.9354083959909451E-2</v>
      </c>
      <c r="I23" s="807">
        <f t="shared" si="7"/>
        <v>2.4314448574755936E-2</v>
      </c>
      <c r="J23" s="807">
        <f t="shared" si="7"/>
        <v>2.6450619369289743E-3</v>
      </c>
      <c r="K23" s="807">
        <f t="shared" si="7"/>
        <v>1.8671025511662734E-2</v>
      </c>
      <c r="L23" s="807">
        <f t="shared" si="7"/>
        <v>1.3220363601708887E-3</v>
      </c>
      <c r="M23" s="86"/>
      <c r="N23" s="86"/>
      <c r="O23" s="86"/>
    </row>
    <row r="24" spans="1:15" customFormat="1" x14ac:dyDescent="0.25">
      <c r="A24" s="82"/>
      <c r="B24" s="82"/>
      <c r="C24" s="82"/>
      <c r="D24" s="82"/>
      <c r="E24" s="82"/>
      <c r="F24" s="85"/>
      <c r="G24" s="85"/>
      <c r="H24" s="85"/>
      <c r="I24" s="85"/>
      <c r="J24" s="85"/>
      <c r="K24" s="85"/>
      <c r="L24" s="85"/>
      <c r="M24" s="82"/>
      <c r="N24" s="82"/>
      <c r="O24" s="169"/>
    </row>
    <row r="25" spans="1:15" customFormat="1" x14ac:dyDescent="0.25">
      <c r="A25" s="82"/>
      <c r="B25" s="82"/>
      <c r="C25" s="82"/>
      <c r="D25" s="82"/>
      <c r="E25" s="82"/>
      <c r="F25" s="82"/>
      <c r="G25" s="82"/>
      <c r="H25" s="82"/>
      <c r="I25" s="82"/>
      <c r="J25" s="82"/>
      <c r="K25" s="82"/>
      <c r="L25" s="82"/>
      <c r="M25" s="82"/>
      <c r="N25" s="82"/>
      <c r="O25" s="86"/>
    </row>
    <row r="26" spans="1:15" customFormat="1" x14ac:dyDescent="0.25">
      <c r="A26" s="82"/>
      <c r="B26" s="82"/>
      <c r="C26" s="82"/>
      <c r="D26" s="82"/>
      <c r="E26" s="82"/>
      <c r="F26" s="82"/>
      <c r="G26" s="82"/>
      <c r="H26" s="82"/>
      <c r="I26" s="82"/>
      <c r="J26" s="82"/>
      <c r="K26" s="82"/>
      <c r="L26" s="82"/>
      <c r="M26" s="82"/>
      <c r="N26" s="82"/>
      <c r="O26" s="86"/>
    </row>
    <row r="27" spans="1:15" customFormat="1" x14ac:dyDescent="0.25">
      <c r="A27" s="82"/>
      <c r="B27" s="82"/>
      <c r="C27" s="82"/>
      <c r="D27" s="82"/>
      <c r="E27" s="82"/>
      <c r="F27" s="82"/>
      <c r="G27" s="82"/>
      <c r="H27" s="82"/>
      <c r="I27" s="82"/>
      <c r="J27" s="82"/>
      <c r="K27" s="82"/>
      <c r="L27" s="82"/>
      <c r="M27" s="82"/>
      <c r="N27" s="82"/>
      <c r="O27" s="86"/>
    </row>
    <row r="28" spans="1:15" customFormat="1" x14ac:dyDescent="0.25">
      <c r="A28" s="82"/>
      <c r="B28" s="82"/>
      <c r="C28" s="82"/>
      <c r="D28" s="82"/>
      <c r="E28" s="82"/>
      <c r="F28" s="82"/>
      <c r="G28" s="82"/>
      <c r="H28" s="82"/>
      <c r="I28" s="82"/>
      <c r="J28" s="82"/>
      <c r="K28" s="82"/>
      <c r="L28" s="82"/>
      <c r="M28" s="82"/>
      <c r="N28" s="82"/>
    </row>
    <row r="29" spans="1:15" customFormat="1" x14ac:dyDescent="0.25">
      <c r="A29" s="82"/>
      <c r="B29" s="82"/>
      <c r="C29" s="82"/>
      <c r="D29" s="82"/>
      <c r="E29" s="82"/>
      <c r="F29" s="82"/>
      <c r="G29" s="82"/>
      <c r="H29" s="82"/>
      <c r="I29" s="82"/>
      <c r="J29" s="82"/>
      <c r="K29" s="82"/>
      <c r="L29" s="82"/>
      <c r="M29" s="82"/>
      <c r="N29" s="82"/>
    </row>
    <row r="30" spans="1:15" customFormat="1" x14ac:dyDescent="0.25">
      <c r="A30" s="82"/>
      <c r="B30" s="82"/>
      <c r="C30" s="82"/>
      <c r="D30" s="82"/>
      <c r="E30" s="82"/>
      <c r="F30" s="82"/>
      <c r="G30" s="82"/>
      <c r="H30" s="82"/>
      <c r="I30" s="82"/>
      <c r="J30" s="82"/>
      <c r="K30" s="82"/>
      <c r="L30" s="82"/>
      <c r="M30" s="82"/>
      <c r="N30" s="82"/>
    </row>
    <row r="31" spans="1:15" customFormat="1" x14ac:dyDescent="0.25">
      <c r="A31" s="82"/>
      <c r="B31" s="82"/>
      <c r="C31" s="82"/>
      <c r="D31" s="82"/>
      <c r="E31" s="82"/>
      <c r="F31" s="82"/>
      <c r="G31" s="82"/>
      <c r="H31" s="82"/>
      <c r="I31" s="82"/>
      <c r="J31" s="82"/>
      <c r="K31" s="82"/>
      <c r="L31" s="82"/>
      <c r="M31" s="82"/>
      <c r="N31" s="82"/>
    </row>
    <row r="32" spans="1:15" customFormat="1" x14ac:dyDescent="0.25">
      <c r="A32" s="82"/>
      <c r="B32" s="82"/>
      <c r="C32" s="82"/>
      <c r="D32" s="82"/>
      <c r="E32" s="82"/>
      <c r="F32" s="82"/>
      <c r="G32" s="82"/>
      <c r="H32" s="82"/>
      <c r="I32" s="82"/>
      <c r="J32" s="82"/>
      <c r="K32" s="82"/>
      <c r="L32" s="82"/>
      <c r="M32" s="82"/>
      <c r="N32" s="82"/>
    </row>
    <row r="33" spans="1:14" customFormat="1" x14ac:dyDescent="0.25">
      <c r="A33" s="82"/>
      <c r="B33" s="82"/>
      <c r="C33" s="82"/>
      <c r="D33" s="82"/>
      <c r="E33" s="82"/>
      <c r="F33" s="82"/>
      <c r="G33" s="82"/>
      <c r="H33" s="82"/>
      <c r="I33" s="82"/>
      <c r="J33" s="82"/>
      <c r="K33" s="82"/>
      <c r="L33" s="82"/>
      <c r="M33" s="82"/>
      <c r="N33" s="82"/>
    </row>
    <row r="34" spans="1:14" customFormat="1" x14ac:dyDescent="0.25">
      <c r="A34" s="82"/>
      <c r="B34" s="82"/>
      <c r="C34" s="82"/>
      <c r="D34" s="82"/>
      <c r="E34" s="82"/>
      <c r="F34" s="82"/>
      <c r="G34" s="82"/>
      <c r="H34" s="82"/>
      <c r="I34" s="82"/>
      <c r="J34" s="82"/>
      <c r="K34" s="82"/>
      <c r="L34" s="82"/>
      <c r="M34" s="82"/>
      <c r="N34" s="82"/>
    </row>
    <row r="35" spans="1:14" customFormat="1" x14ac:dyDescent="0.25">
      <c r="A35" s="82"/>
      <c r="B35" s="82"/>
      <c r="C35" s="82"/>
      <c r="D35" s="82"/>
      <c r="E35" s="82"/>
      <c r="F35" s="82"/>
      <c r="G35" s="82"/>
      <c r="H35" s="82"/>
      <c r="I35" s="82"/>
      <c r="J35" s="82"/>
      <c r="K35" s="82"/>
      <c r="L35" s="82"/>
      <c r="M35" s="82"/>
      <c r="N35" s="82"/>
    </row>
    <row r="36" spans="1:14" customFormat="1" x14ac:dyDescent="0.25">
      <c r="A36" s="82"/>
      <c r="B36" s="82"/>
      <c r="C36" s="82"/>
      <c r="D36" s="82"/>
      <c r="E36" s="82"/>
      <c r="F36" s="82"/>
      <c r="G36" s="82"/>
      <c r="H36" s="82"/>
      <c r="I36" s="82"/>
      <c r="J36" s="82"/>
      <c r="K36" s="82"/>
      <c r="L36" s="82"/>
      <c r="M36" s="82"/>
      <c r="N36" s="82"/>
    </row>
    <row r="37" spans="1:14" customFormat="1" x14ac:dyDescent="0.25">
      <c r="A37" s="82"/>
      <c r="B37" s="82"/>
      <c r="C37" s="82"/>
      <c r="D37" s="82"/>
      <c r="E37" s="82"/>
      <c r="F37" s="82"/>
      <c r="G37" s="82"/>
      <c r="H37" s="82"/>
      <c r="I37" s="82"/>
      <c r="J37" s="82"/>
      <c r="K37" s="82"/>
      <c r="L37" s="82"/>
      <c r="M37" s="82"/>
      <c r="N37" s="82"/>
    </row>
    <row r="38" spans="1:14" customFormat="1" x14ac:dyDescent="0.25">
      <c r="A38" s="82"/>
      <c r="B38" s="82"/>
      <c r="C38" s="82"/>
      <c r="D38" s="82"/>
      <c r="E38" s="82"/>
      <c r="F38" s="82"/>
      <c r="G38" s="82"/>
      <c r="H38" s="82"/>
      <c r="I38" s="82"/>
      <c r="J38" s="82"/>
      <c r="K38" s="82"/>
      <c r="L38" s="82"/>
      <c r="M38" s="82"/>
      <c r="N38" s="82"/>
    </row>
    <row r="39" spans="1:14" customFormat="1" x14ac:dyDescent="0.25">
      <c r="A39" s="82"/>
      <c r="B39" s="82"/>
      <c r="C39" s="82"/>
      <c r="D39" s="82"/>
      <c r="E39" s="82"/>
      <c r="F39" s="82"/>
      <c r="G39" s="82"/>
      <c r="H39" s="82"/>
      <c r="I39" s="82"/>
      <c r="J39" s="82"/>
      <c r="K39" s="82"/>
      <c r="L39" s="82"/>
      <c r="M39" s="82"/>
      <c r="N39" s="82"/>
    </row>
    <row r="40" spans="1:14" customFormat="1" x14ac:dyDescent="0.25">
      <c r="A40" s="82"/>
      <c r="B40" s="82"/>
      <c r="C40" s="82"/>
      <c r="D40" s="82"/>
      <c r="E40" s="82"/>
      <c r="F40" s="82"/>
      <c r="G40" s="82"/>
      <c r="H40" s="82"/>
      <c r="I40" s="82"/>
      <c r="J40" s="82"/>
      <c r="K40" s="82"/>
      <c r="L40" s="82"/>
      <c r="M40" s="82"/>
      <c r="N40" s="82"/>
    </row>
    <row r="41" spans="1:14" customFormat="1" x14ac:dyDescent="0.25">
      <c r="A41" s="82"/>
      <c r="B41" s="82"/>
      <c r="C41" s="82"/>
      <c r="D41" s="82"/>
      <c r="E41" s="82"/>
      <c r="F41" s="82"/>
      <c r="G41" s="82"/>
      <c r="H41" s="82"/>
      <c r="I41" s="82"/>
      <c r="J41" s="82"/>
      <c r="K41" s="82"/>
      <c r="L41" s="82"/>
      <c r="M41" s="82"/>
      <c r="N41" s="82"/>
    </row>
    <row r="42" spans="1:14" customFormat="1" x14ac:dyDescent="0.25">
      <c r="A42" s="82"/>
      <c r="B42" s="82"/>
      <c r="C42" s="82"/>
      <c r="D42" s="82"/>
      <c r="E42" s="82"/>
      <c r="F42" s="82"/>
      <c r="G42" s="82"/>
      <c r="H42" s="82"/>
      <c r="I42" s="82"/>
      <c r="J42" s="82"/>
      <c r="K42" s="82"/>
      <c r="L42" s="82"/>
      <c r="M42" s="82"/>
      <c r="N42" s="82"/>
    </row>
    <row r="43" spans="1:14" customFormat="1" x14ac:dyDescent="0.25">
      <c r="A43" s="82"/>
      <c r="B43" s="82"/>
      <c r="C43" s="82"/>
      <c r="D43" s="82"/>
      <c r="E43" s="82"/>
      <c r="F43" s="82"/>
      <c r="G43" s="82"/>
      <c r="H43" s="82"/>
      <c r="I43" s="82"/>
      <c r="J43" s="82"/>
      <c r="K43" s="82"/>
      <c r="L43" s="82"/>
      <c r="M43" s="82"/>
      <c r="N43" s="82"/>
    </row>
    <row r="44" spans="1:14" customFormat="1" x14ac:dyDescent="0.25">
      <c r="A44" s="82"/>
      <c r="B44" s="82"/>
      <c r="C44" s="82"/>
      <c r="D44" s="82"/>
      <c r="E44" s="82"/>
      <c r="F44" s="82"/>
      <c r="G44" s="82"/>
      <c r="H44" s="82"/>
      <c r="I44" s="82"/>
      <c r="J44" s="82"/>
      <c r="K44" s="82"/>
      <c r="L44" s="82"/>
      <c r="M44" s="82"/>
      <c r="N44" s="82"/>
    </row>
    <row r="45" spans="1:14" customFormat="1" x14ac:dyDescent="0.25">
      <c r="A45" s="82"/>
      <c r="B45" s="82"/>
      <c r="C45" s="82"/>
      <c r="D45" s="82"/>
      <c r="E45" s="82"/>
      <c r="F45" s="82"/>
      <c r="G45" s="82"/>
      <c r="H45" s="82"/>
      <c r="I45" s="82"/>
      <c r="J45" s="82"/>
      <c r="K45" s="82"/>
      <c r="L45" s="82"/>
      <c r="M45" s="82"/>
      <c r="N45" s="82"/>
    </row>
    <row r="46" spans="1:14" customFormat="1" x14ac:dyDescent="0.25">
      <c r="A46" s="82"/>
      <c r="B46" s="82"/>
      <c r="C46" s="82"/>
      <c r="D46" s="82"/>
      <c r="E46" s="82"/>
      <c r="F46" s="82"/>
      <c r="G46" s="82"/>
      <c r="H46" s="82"/>
      <c r="I46" s="82"/>
      <c r="J46" s="82"/>
      <c r="K46" s="82"/>
      <c r="L46" s="82"/>
      <c r="M46" s="82"/>
      <c r="N46" s="82"/>
    </row>
    <row r="47" spans="1:14" customFormat="1" x14ac:dyDescent="0.25">
      <c r="A47" s="82"/>
      <c r="B47" s="82"/>
      <c r="C47" s="82"/>
      <c r="D47" s="82"/>
      <c r="E47" s="82"/>
      <c r="F47" s="82"/>
      <c r="G47" s="82"/>
      <c r="H47" s="82"/>
      <c r="I47" s="82"/>
      <c r="J47" s="82"/>
      <c r="K47" s="82"/>
      <c r="L47" s="82"/>
      <c r="M47" s="82"/>
      <c r="N47" s="82"/>
    </row>
    <row r="48" spans="1:14" customFormat="1" x14ac:dyDescent="0.25">
      <c r="A48" s="82"/>
      <c r="B48" s="82"/>
      <c r="C48" s="82"/>
      <c r="D48" s="82"/>
      <c r="E48" s="82"/>
      <c r="F48" s="82"/>
      <c r="G48" s="82"/>
      <c r="H48" s="82"/>
      <c r="I48" s="82"/>
      <c r="J48" s="82"/>
      <c r="K48" s="82"/>
      <c r="L48" s="82"/>
      <c r="M48" s="82"/>
      <c r="N48" s="82"/>
    </row>
    <row r="49" spans="1:14" customFormat="1" x14ac:dyDescent="0.25">
      <c r="A49" s="82"/>
      <c r="B49" s="82"/>
      <c r="C49" s="82"/>
      <c r="D49" s="82"/>
      <c r="E49" s="82"/>
      <c r="F49" s="82"/>
      <c r="G49" s="82"/>
      <c r="H49" s="82"/>
      <c r="I49" s="82"/>
      <c r="J49" s="82"/>
      <c r="K49" s="82"/>
      <c r="L49" s="82"/>
      <c r="M49" s="82"/>
      <c r="N49" s="82"/>
    </row>
    <row r="50" spans="1:14" customFormat="1" x14ac:dyDescent="0.25">
      <c r="A50" s="82"/>
      <c r="B50" s="82"/>
      <c r="C50" s="82"/>
      <c r="D50" s="82"/>
      <c r="E50" s="82"/>
      <c r="F50" s="82"/>
      <c r="G50" s="82"/>
      <c r="H50" s="82"/>
      <c r="I50" s="82"/>
      <c r="J50" s="82"/>
      <c r="K50" s="82"/>
      <c r="L50" s="82"/>
      <c r="M50" s="82"/>
      <c r="N50" s="82"/>
    </row>
    <row r="51" spans="1:14" customFormat="1" x14ac:dyDescent="0.25">
      <c r="A51" s="82"/>
      <c r="B51" s="82"/>
      <c r="C51" s="82"/>
      <c r="D51" s="82"/>
      <c r="E51" s="82"/>
      <c r="F51" s="82"/>
      <c r="G51" s="82"/>
      <c r="H51" s="82"/>
      <c r="I51" s="82"/>
      <c r="J51" s="82"/>
      <c r="K51" s="82"/>
      <c r="L51" s="82"/>
      <c r="M51" s="82"/>
      <c r="N51" s="82"/>
    </row>
    <row r="52" spans="1:14" customFormat="1" x14ac:dyDescent="0.25">
      <c r="A52" s="82"/>
      <c r="B52" s="82"/>
      <c r="C52" s="82"/>
      <c r="D52" s="82"/>
      <c r="E52" s="82"/>
      <c r="F52" s="82"/>
      <c r="G52" s="82"/>
      <c r="H52" s="82"/>
      <c r="I52" s="82"/>
      <c r="J52" s="82"/>
      <c r="K52" s="82"/>
      <c r="L52" s="82"/>
      <c r="M52" s="82"/>
      <c r="N52" s="82"/>
    </row>
    <row r="53" spans="1:14" customFormat="1" x14ac:dyDescent="0.25">
      <c r="A53" s="82"/>
      <c r="B53" s="82"/>
      <c r="C53" s="82"/>
      <c r="D53" s="82"/>
      <c r="E53" s="82"/>
      <c r="F53" s="82"/>
      <c r="G53" s="82"/>
      <c r="H53" s="82"/>
      <c r="I53" s="82"/>
      <c r="J53" s="82"/>
      <c r="K53" s="82"/>
      <c r="L53" s="82"/>
      <c r="M53" s="82"/>
      <c r="N53" s="82"/>
    </row>
    <row r="54" spans="1:14" customFormat="1" x14ac:dyDescent="0.25">
      <c r="A54" s="82"/>
      <c r="B54" s="82"/>
      <c r="C54" s="82"/>
      <c r="D54" s="82"/>
      <c r="E54" s="82"/>
      <c r="F54" s="82"/>
      <c r="G54" s="82"/>
      <c r="H54" s="82"/>
      <c r="I54" s="82"/>
      <c r="J54" s="82"/>
      <c r="K54" s="82"/>
      <c r="L54" s="82"/>
      <c r="M54" s="82"/>
      <c r="N54" s="82"/>
    </row>
    <row r="55" spans="1:14" customFormat="1" x14ac:dyDescent="0.25">
      <c r="A55" s="82"/>
      <c r="B55" s="82"/>
      <c r="C55" s="82"/>
      <c r="D55" s="82"/>
      <c r="E55" s="82"/>
      <c r="F55" s="82"/>
      <c r="G55" s="82"/>
      <c r="H55" s="82"/>
      <c r="I55" s="82"/>
      <c r="J55" s="82"/>
      <c r="K55" s="82"/>
      <c r="L55" s="82"/>
      <c r="M55" s="82"/>
      <c r="N55" s="82"/>
    </row>
    <row r="56" spans="1:14" customFormat="1" x14ac:dyDescent="0.25">
      <c r="A56" s="82"/>
      <c r="B56" s="82"/>
      <c r="C56" s="82"/>
      <c r="D56" s="82"/>
      <c r="E56" s="82"/>
      <c r="F56" s="82"/>
      <c r="G56" s="82"/>
      <c r="H56" s="82"/>
      <c r="I56" s="82"/>
      <c r="J56" s="82"/>
      <c r="K56" s="82"/>
      <c r="L56" s="82"/>
      <c r="M56" s="82"/>
      <c r="N56" s="82"/>
    </row>
    <row r="57" spans="1:14" customFormat="1" x14ac:dyDescent="0.25">
      <c r="A57" s="82"/>
      <c r="B57" s="82"/>
      <c r="C57" s="82"/>
      <c r="D57" s="82"/>
      <c r="E57" s="82"/>
      <c r="F57" s="82"/>
      <c r="G57" s="82"/>
      <c r="H57" s="82"/>
      <c r="I57" s="82"/>
      <c r="J57" s="82"/>
      <c r="K57" s="82"/>
      <c r="L57" s="82"/>
      <c r="M57" s="82"/>
      <c r="N57" s="82"/>
    </row>
    <row r="58" spans="1:14" customFormat="1" x14ac:dyDescent="0.25">
      <c r="A58" s="82"/>
      <c r="B58" s="82"/>
      <c r="C58" s="82"/>
      <c r="D58" s="82"/>
      <c r="E58" s="82"/>
      <c r="F58" s="82"/>
      <c r="G58" s="82"/>
      <c r="H58" s="82"/>
      <c r="I58" s="82"/>
      <c r="J58" s="82"/>
      <c r="K58" s="82"/>
      <c r="L58" s="82"/>
      <c r="M58" s="82"/>
      <c r="N58" s="82"/>
    </row>
    <row r="59" spans="1:14" customFormat="1" x14ac:dyDescent="0.25">
      <c r="A59" s="82"/>
      <c r="B59" s="82"/>
      <c r="C59" s="82"/>
      <c r="D59" s="82"/>
      <c r="E59" s="82"/>
      <c r="F59" s="82"/>
      <c r="G59" s="82"/>
      <c r="H59" s="82"/>
      <c r="I59" s="82"/>
      <c r="J59" s="82"/>
      <c r="K59" s="82"/>
      <c r="L59" s="82"/>
      <c r="M59" s="82"/>
      <c r="N59" s="82"/>
    </row>
    <row r="60" spans="1:14" customFormat="1" x14ac:dyDescent="0.25">
      <c r="A60" s="82"/>
      <c r="B60" s="82"/>
      <c r="C60" s="82"/>
      <c r="D60" s="82"/>
      <c r="E60" s="82"/>
      <c r="F60" s="82"/>
      <c r="G60" s="82"/>
      <c r="H60" s="82"/>
      <c r="I60" s="82"/>
      <c r="J60" s="82"/>
      <c r="K60" s="82"/>
      <c r="L60" s="82"/>
      <c r="M60" s="82"/>
      <c r="N60" s="82"/>
    </row>
    <row r="61" spans="1:14" customFormat="1" x14ac:dyDescent="0.25">
      <c r="A61" s="82"/>
      <c r="B61" s="82"/>
      <c r="C61" s="82"/>
      <c r="D61" s="82"/>
      <c r="E61" s="82"/>
      <c r="F61" s="82"/>
      <c r="G61" s="82"/>
      <c r="H61" s="82"/>
      <c r="I61" s="82"/>
      <c r="J61" s="82"/>
      <c r="K61" s="82"/>
      <c r="L61" s="82"/>
      <c r="M61" s="82"/>
      <c r="N61" s="82"/>
    </row>
    <row r="62" spans="1:14" customFormat="1" x14ac:dyDescent="0.25">
      <c r="A62" s="82"/>
      <c r="B62" s="82"/>
      <c r="C62" s="82"/>
      <c r="D62" s="82"/>
      <c r="E62" s="82"/>
      <c r="F62" s="82"/>
      <c r="G62" s="82"/>
      <c r="H62" s="82"/>
      <c r="I62" s="82"/>
      <c r="J62" s="82"/>
      <c r="K62" s="82"/>
      <c r="L62" s="82"/>
      <c r="M62" s="82"/>
      <c r="N62" s="82"/>
    </row>
    <row r="63" spans="1:14" customFormat="1" x14ac:dyDescent="0.25">
      <c r="A63" s="82"/>
      <c r="B63" s="82"/>
      <c r="C63" s="82"/>
      <c r="D63" s="82"/>
      <c r="E63" s="82"/>
      <c r="F63" s="82"/>
      <c r="G63" s="82"/>
      <c r="H63" s="82"/>
      <c r="I63" s="82"/>
      <c r="J63" s="82"/>
      <c r="K63" s="82"/>
      <c r="L63" s="82"/>
      <c r="M63" s="82"/>
      <c r="N63" s="82"/>
    </row>
    <row r="64" spans="1:14" customFormat="1" x14ac:dyDescent="0.25">
      <c r="A64" s="82"/>
      <c r="B64" s="82"/>
      <c r="C64" s="82"/>
      <c r="D64" s="82"/>
      <c r="E64" s="82"/>
      <c r="F64" s="82"/>
      <c r="G64" s="82"/>
      <c r="H64" s="82"/>
      <c r="I64" s="82"/>
      <c r="J64" s="82"/>
      <c r="K64" s="82"/>
      <c r="L64" s="82"/>
      <c r="M64" s="82"/>
      <c r="N64" s="82"/>
    </row>
    <row r="65" spans="1:14" customFormat="1" x14ac:dyDescent="0.25">
      <c r="A65" s="82"/>
      <c r="B65" s="82"/>
      <c r="C65" s="82"/>
      <c r="D65" s="82"/>
      <c r="E65" s="82"/>
      <c r="F65" s="82"/>
      <c r="G65" s="82"/>
      <c r="H65" s="82"/>
      <c r="I65" s="82"/>
      <c r="J65" s="82"/>
      <c r="K65" s="82"/>
      <c r="L65" s="82"/>
      <c r="M65" s="82"/>
      <c r="N65" s="82"/>
    </row>
    <row r="66" spans="1:14" customFormat="1" x14ac:dyDescent="0.25">
      <c r="A66" s="82"/>
      <c r="B66" s="82"/>
      <c r="C66" s="82"/>
      <c r="D66" s="82"/>
      <c r="E66" s="82"/>
      <c r="F66" s="82"/>
      <c r="G66" s="82"/>
      <c r="H66" s="82"/>
      <c r="I66" s="82"/>
      <c r="J66" s="82"/>
      <c r="K66" s="82"/>
      <c r="L66" s="82"/>
      <c r="M66" s="82"/>
      <c r="N66" s="82"/>
    </row>
    <row r="67" spans="1:14" customFormat="1" x14ac:dyDescent="0.25">
      <c r="A67" s="82"/>
      <c r="B67" s="82"/>
      <c r="C67" s="82"/>
      <c r="D67" s="82"/>
      <c r="E67" s="82"/>
      <c r="F67" s="82"/>
      <c r="G67" s="82"/>
      <c r="H67" s="82"/>
      <c r="I67" s="82"/>
      <c r="J67" s="82"/>
      <c r="K67" s="82"/>
      <c r="L67" s="82"/>
      <c r="M67" s="82"/>
      <c r="N67" s="82"/>
    </row>
    <row r="68" spans="1:14" customFormat="1" x14ac:dyDescent="0.25">
      <c r="A68" s="82"/>
      <c r="B68" s="82"/>
      <c r="C68" s="82"/>
      <c r="D68" s="82"/>
      <c r="E68" s="82"/>
      <c r="F68" s="82"/>
      <c r="G68" s="82"/>
      <c r="H68" s="82"/>
      <c r="I68" s="82"/>
      <c r="J68" s="82"/>
      <c r="K68" s="82"/>
      <c r="L68" s="82"/>
      <c r="M68" s="82"/>
      <c r="N68" s="82"/>
    </row>
    <row r="69" spans="1:14" customFormat="1" x14ac:dyDescent="0.25">
      <c r="A69" s="82"/>
      <c r="B69" s="82"/>
      <c r="C69" s="82"/>
      <c r="D69" s="82"/>
      <c r="E69" s="82"/>
      <c r="F69" s="82"/>
      <c r="G69" s="82"/>
      <c r="H69" s="82"/>
      <c r="I69" s="82"/>
      <c r="J69" s="82"/>
      <c r="K69" s="82"/>
      <c r="L69" s="82"/>
      <c r="M69" s="82"/>
      <c r="N69" s="82"/>
    </row>
    <row r="70" spans="1:14" customFormat="1" x14ac:dyDescent="0.25">
      <c r="A70" s="82"/>
      <c r="B70" s="82"/>
      <c r="C70" s="82"/>
      <c r="D70" s="82"/>
      <c r="E70" s="82"/>
      <c r="F70" s="82"/>
      <c r="G70" s="82"/>
      <c r="H70" s="82"/>
      <c r="I70" s="82"/>
      <c r="J70" s="82"/>
      <c r="K70" s="82"/>
      <c r="L70" s="82"/>
      <c r="M70" s="82"/>
      <c r="N70" s="82"/>
    </row>
    <row r="71" spans="1:14" customFormat="1" x14ac:dyDescent="0.25">
      <c r="A71" s="82"/>
      <c r="B71" s="82"/>
      <c r="C71" s="82"/>
      <c r="D71" s="82"/>
      <c r="E71" s="82"/>
      <c r="F71" s="82"/>
      <c r="G71" s="82"/>
      <c r="H71" s="82"/>
      <c r="I71" s="82"/>
      <c r="J71" s="82"/>
      <c r="K71" s="82"/>
      <c r="L71" s="82"/>
      <c r="M71" s="82"/>
      <c r="N71" s="82"/>
    </row>
    <row r="72" spans="1:14" customFormat="1" x14ac:dyDescent="0.25">
      <c r="A72" s="82"/>
      <c r="B72" s="82"/>
      <c r="C72" s="82"/>
      <c r="D72" s="82"/>
      <c r="E72" s="82"/>
      <c r="F72" s="82"/>
      <c r="G72" s="82"/>
      <c r="H72" s="82"/>
      <c r="I72" s="82"/>
      <c r="J72" s="82"/>
      <c r="K72" s="82"/>
      <c r="L72" s="82"/>
      <c r="M72" s="82"/>
      <c r="N72" s="82"/>
    </row>
    <row r="73" spans="1:14" customFormat="1" x14ac:dyDescent="0.25">
      <c r="A73" s="82"/>
      <c r="B73" s="82"/>
      <c r="C73" s="82"/>
      <c r="D73" s="82"/>
      <c r="E73" s="82"/>
      <c r="F73" s="82"/>
      <c r="G73" s="82"/>
      <c r="H73" s="82"/>
      <c r="I73" s="82"/>
      <c r="J73" s="82"/>
      <c r="K73" s="82"/>
      <c r="L73" s="82"/>
      <c r="M73" s="82"/>
      <c r="N73" s="82"/>
    </row>
    <row r="74" spans="1:14" customFormat="1" x14ac:dyDescent="0.25">
      <c r="A74" s="82"/>
      <c r="B74" s="82"/>
      <c r="C74" s="82"/>
      <c r="D74" s="82"/>
      <c r="E74" s="82"/>
      <c r="F74" s="82"/>
      <c r="G74" s="82"/>
      <c r="H74" s="82"/>
      <c r="I74" s="82"/>
      <c r="J74" s="82"/>
      <c r="K74" s="82"/>
      <c r="L74" s="82"/>
      <c r="M74" s="82"/>
      <c r="N74" s="82"/>
    </row>
    <row r="75" spans="1:14" customFormat="1" x14ac:dyDescent="0.25">
      <c r="A75" s="82"/>
      <c r="B75" s="82"/>
      <c r="C75" s="82"/>
      <c r="D75" s="82"/>
      <c r="E75" s="82"/>
      <c r="F75" s="82"/>
      <c r="G75" s="82"/>
      <c r="H75" s="82"/>
      <c r="I75" s="82"/>
      <c r="J75" s="82"/>
      <c r="K75" s="82"/>
      <c r="L75" s="82"/>
      <c r="M75" s="82"/>
      <c r="N75" s="82"/>
    </row>
    <row r="76" spans="1:14" customFormat="1" x14ac:dyDescent="0.25">
      <c r="A76" s="82"/>
      <c r="B76" s="82"/>
      <c r="C76" s="82"/>
      <c r="D76" s="82"/>
      <c r="E76" s="82"/>
      <c r="F76" s="82"/>
      <c r="G76" s="82"/>
      <c r="H76" s="82"/>
      <c r="I76" s="82"/>
      <c r="J76" s="82"/>
      <c r="K76" s="82"/>
      <c r="L76" s="82"/>
      <c r="M76" s="82"/>
      <c r="N76" s="82"/>
    </row>
    <row r="77" spans="1:14" customFormat="1" x14ac:dyDescent="0.25">
      <c r="A77" s="82"/>
      <c r="B77" s="82"/>
      <c r="C77" s="82"/>
      <c r="D77" s="82"/>
      <c r="E77" s="82"/>
      <c r="F77" s="82"/>
      <c r="G77" s="82"/>
      <c r="H77" s="82"/>
      <c r="I77" s="82"/>
      <c r="J77" s="82"/>
      <c r="K77" s="82"/>
      <c r="L77" s="82"/>
      <c r="M77" s="82"/>
      <c r="N77" s="82"/>
    </row>
    <row r="78" spans="1:14" customFormat="1" x14ac:dyDescent="0.25">
      <c r="A78" s="82"/>
      <c r="B78" s="82"/>
      <c r="C78" s="82"/>
      <c r="D78" s="82"/>
      <c r="E78" s="82"/>
      <c r="F78" s="82"/>
      <c r="G78" s="82"/>
      <c r="H78" s="82"/>
      <c r="I78" s="82"/>
      <c r="J78" s="82"/>
      <c r="K78" s="82"/>
      <c r="L78" s="82"/>
      <c r="M78" s="82"/>
      <c r="N78" s="82"/>
    </row>
    <row r="79" spans="1:14" customFormat="1" x14ac:dyDescent="0.25">
      <c r="A79" s="82"/>
      <c r="B79" s="82"/>
      <c r="C79" s="82"/>
      <c r="D79" s="82"/>
      <c r="E79" s="82"/>
      <c r="F79" s="82"/>
      <c r="G79" s="82"/>
      <c r="H79" s="82"/>
      <c r="I79" s="82"/>
      <c r="J79" s="82"/>
      <c r="K79" s="82"/>
      <c r="L79" s="82"/>
      <c r="M79" s="82"/>
      <c r="N79" s="82"/>
    </row>
    <row r="80" spans="1:14" customFormat="1" x14ac:dyDescent="0.25">
      <c r="A80" s="82"/>
      <c r="B80" s="82"/>
      <c r="C80" s="82"/>
      <c r="D80" s="82"/>
      <c r="E80" s="82"/>
      <c r="F80" s="82"/>
      <c r="G80" s="82"/>
      <c r="H80" s="82"/>
      <c r="I80" s="82"/>
      <c r="J80" s="82"/>
      <c r="K80" s="82"/>
      <c r="L80" s="82"/>
      <c r="M80" s="82"/>
      <c r="N80" s="82"/>
    </row>
    <row r="81" spans="1:14" customFormat="1" x14ac:dyDescent="0.25">
      <c r="A81" s="82"/>
      <c r="B81" s="82"/>
      <c r="C81" s="82"/>
      <c r="D81" s="82"/>
      <c r="E81" s="82"/>
      <c r="F81" s="82"/>
      <c r="G81" s="82"/>
      <c r="H81" s="82"/>
      <c r="I81" s="82"/>
      <c r="J81" s="82"/>
      <c r="K81" s="82"/>
      <c r="L81" s="82"/>
      <c r="M81" s="82"/>
      <c r="N81" s="82"/>
    </row>
    <row r="82" spans="1:14" customFormat="1" x14ac:dyDescent="0.25">
      <c r="A82" s="82"/>
      <c r="B82" s="82"/>
      <c r="C82" s="82"/>
      <c r="D82" s="82"/>
      <c r="E82" s="82"/>
      <c r="F82" s="82"/>
      <c r="G82" s="82"/>
      <c r="H82" s="82"/>
      <c r="I82" s="82"/>
      <c r="J82" s="82"/>
      <c r="K82" s="82"/>
      <c r="L82" s="82"/>
      <c r="M82" s="82"/>
      <c r="N82" s="82"/>
    </row>
    <row r="83" spans="1:14" customFormat="1" x14ac:dyDescent="0.25">
      <c r="A83" s="82"/>
      <c r="B83" s="82"/>
      <c r="C83" s="82"/>
      <c r="D83" s="82"/>
      <c r="E83" s="82"/>
      <c r="F83" s="82"/>
      <c r="G83" s="82"/>
      <c r="H83" s="82"/>
      <c r="I83" s="82"/>
      <c r="J83" s="82"/>
      <c r="K83" s="82"/>
      <c r="L83" s="82"/>
      <c r="M83" s="82"/>
      <c r="N83" s="82"/>
    </row>
    <row r="84" spans="1:14" customFormat="1" x14ac:dyDescent="0.25">
      <c r="A84" s="82"/>
      <c r="B84" s="82"/>
      <c r="C84" s="82"/>
      <c r="D84" s="82"/>
      <c r="E84" s="82"/>
      <c r="F84" s="82"/>
      <c r="G84" s="82"/>
      <c r="H84" s="82"/>
      <c r="I84" s="82"/>
      <c r="J84" s="82"/>
      <c r="K84" s="82"/>
      <c r="L84" s="82"/>
      <c r="M84" s="82"/>
      <c r="N84" s="82"/>
    </row>
    <row r="85" spans="1:14" customFormat="1" x14ac:dyDescent="0.25">
      <c r="A85" s="82"/>
      <c r="B85" s="82"/>
      <c r="C85" s="82"/>
      <c r="D85" s="82"/>
      <c r="E85" s="82"/>
      <c r="F85" s="82"/>
      <c r="G85" s="82"/>
      <c r="H85" s="82"/>
      <c r="I85" s="82"/>
      <c r="J85" s="82"/>
      <c r="K85" s="82"/>
      <c r="L85" s="82"/>
      <c r="M85" s="82"/>
      <c r="N85" s="82"/>
    </row>
    <row r="86" spans="1:14" customFormat="1" x14ac:dyDescent="0.25">
      <c r="A86" s="82"/>
      <c r="B86" s="82"/>
      <c r="C86" s="82"/>
      <c r="D86" s="82"/>
      <c r="E86" s="82"/>
      <c r="F86" s="82"/>
      <c r="G86" s="82"/>
      <c r="H86" s="82"/>
      <c r="I86" s="82"/>
      <c r="J86" s="82"/>
      <c r="K86" s="82"/>
      <c r="L86" s="82"/>
      <c r="M86" s="82"/>
      <c r="N86" s="82"/>
    </row>
    <row r="87" spans="1:14" customFormat="1" x14ac:dyDescent="0.25">
      <c r="A87" s="82"/>
      <c r="B87" s="82"/>
      <c r="C87" s="82"/>
      <c r="D87" s="82"/>
      <c r="E87" s="82"/>
      <c r="F87" s="82"/>
      <c r="G87" s="82"/>
      <c r="H87" s="82"/>
      <c r="I87" s="82"/>
      <c r="J87" s="82"/>
      <c r="K87" s="82"/>
      <c r="L87" s="82"/>
      <c r="M87" s="82"/>
      <c r="N87" s="82"/>
    </row>
    <row r="88" spans="1:14" customFormat="1" x14ac:dyDescent="0.25">
      <c r="A88" s="82"/>
      <c r="B88" s="82"/>
      <c r="C88" s="82"/>
      <c r="D88" s="82"/>
      <c r="E88" s="82"/>
      <c r="F88" s="82"/>
      <c r="G88" s="82"/>
      <c r="H88" s="82"/>
      <c r="I88" s="82"/>
      <c r="J88" s="82"/>
      <c r="K88" s="82"/>
      <c r="L88" s="82"/>
      <c r="M88" s="82"/>
      <c r="N88" s="82"/>
    </row>
    <row r="89" spans="1:14" customFormat="1" x14ac:dyDescent="0.25">
      <c r="A89" s="82"/>
      <c r="B89" s="82"/>
      <c r="C89" s="82"/>
      <c r="D89" s="82"/>
      <c r="E89" s="82"/>
      <c r="F89" s="82"/>
      <c r="G89" s="82"/>
      <c r="H89" s="82"/>
      <c r="I89" s="82"/>
      <c r="J89" s="82"/>
      <c r="K89" s="82"/>
      <c r="L89" s="82"/>
      <c r="M89" s="82"/>
      <c r="N89" s="82"/>
    </row>
    <row r="90" spans="1:14" customFormat="1" x14ac:dyDescent="0.25">
      <c r="A90" s="82"/>
      <c r="B90" s="82"/>
      <c r="C90" s="82"/>
      <c r="D90" s="82"/>
      <c r="E90" s="82"/>
      <c r="F90" s="82"/>
      <c r="G90" s="82"/>
      <c r="H90" s="82"/>
      <c r="I90" s="82"/>
      <c r="J90" s="82"/>
      <c r="K90" s="82"/>
      <c r="L90" s="82"/>
      <c r="M90" s="82"/>
      <c r="N90" s="82"/>
    </row>
    <row r="91" spans="1:14" customFormat="1" x14ac:dyDescent="0.25">
      <c r="A91" s="82"/>
      <c r="B91" s="82"/>
      <c r="C91" s="82"/>
      <c r="D91" s="82"/>
      <c r="E91" s="82"/>
      <c r="F91" s="82"/>
      <c r="G91" s="82"/>
      <c r="H91" s="82"/>
      <c r="I91" s="82"/>
      <c r="J91" s="82"/>
      <c r="K91" s="82"/>
      <c r="L91" s="82"/>
      <c r="M91" s="82"/>
      <c r="N91" s="82"/>
    </row>
    <row r="92" spans="1:14" customFormat="1" x14ac:dyDescent="0.25">
      <c r="A92" s="82"/>
      <c r="B92" s="82"/>
      <c r="C92" s="82"/>
      <c r="D92" s="82"/>
      <c r="E92" s="82"/>
      <c r="F92" s="82"/>
      <c r="G92" s="82"/>
      <c r="H92" s="82"/>
      <c r="I92" s="82"/>
      <c r="J92" s="82"/>
      <c r="K92" s="82"/>
      <c r="L92" s="82"/>
      <c r="M92" s="82"/>
      <c r="N92" s="82"/>
    </row>
    <row r="93" spans="1:14" customFormat="1" x14ac:dyDescent="0.25">
      <c r="A93" s="82"/>
      <c r="B93" s="82"/>
      <c r="C93" s="82"/>
      <c r="D93" s="82"/>
      <c r="E93" s="82"/>
      <c r="F93" s="82"/>
      <c r="G93" s="82"/>
      <c r="H93" s="82"/>
      <c r="I93" s="82"/>
      <c r="J93" s="82"/>
      <c r="K93" s="82"/>
      <c r="L93" s="82"/>
      <c r="M93" s="82"/>
      <c r="N93" s="82"/>
    </row>
    <row r="94" spans="1:14" customFormat="1" x14ac:dyDescent="0.25">
      <c r="A94" s="82"/>
      <c r="B94" s="82"/>
      <c r="C94" s="82"/>
      <c r="D94" s="82"/>
      <c r="E94" s="82"/>
      <c r="F94" s="82"/>
      <c r="G94" s="82"/>
      <c r="H94" s="82"/>
      <c r="I94" s="82"/>
      <c r="J94" s="82"/>
      <c r="K94" s="82"/>
      <c r="L94" s="82"/>
      <c r="M94" s="82"/>
      <c r="N94" s="82"/>
    </row>
    <row r="95" spans="1:14" customFormat="1" x14ac:dyDescent="0.25">
      <c r="A95" s="82"/>
      <c r="B95" s="82"/>
      <c r="C95" s="82"/>
      <c r="D95" s="82"/>
      <c r="E95" s="82"/>
      <c r="F95" s="82"/>
      <c r="G95" s="82"/>
      <c r="H95" s="82"/>
      <c r="I95" s="82"/>
      <c r="J95" s="82"/>
      <c r="K95" s="82"/>
      <c r="L95" s="82"/>
      <c r="M95" s="82"/>
      <c r="N95" s="82"/>
    </row>
    <row r="96" spans="1:14" customFormat="1" x14ac:dyDescent="0.25">
      <c r="A96" s="82"/>
      <c r="B96" s="82"/>
      <c r="C96" s="82"/>
      <c r="D96" s="82"/>
      <c r="E96" s="82"/>
      <c r="F96" s="82"/>
      <c r="G96" s="82"/>
      <c r="H96" s="82"/>
      <c r="I96" s="82"/>
      <c r="J96" s="82"/>
      <c r="K96" s="82"/>
      <c r="L96" s="82"/>
      <c r="M96" s="82"/>
      <c r="N96" s="82"/>
    </row>
    <row r="97" spans="1:14" customFormat="1" x14ac:dyDescent="0.25">
      <c r="A97" s="82"/>
      <c r="B97" s="82"/>
      <c r="C97" s="82"/>
      <c r="D97" s="82"/>
      <c r="E97" s="82"/>
      <c r="F97" s="82"/>
      <c r="G97" s="82"/>
      <c r="H97" s="82"/>
      <c r="I97" s="82"/>
      <c r="J97" s="82"/>
      <c r="K97" s="82"/>
      <c r="L97" s="82"/>
      <c r="M97" s="82"/>
      <c r="N97" s="82"/>
    </row>
    <row r="98" spans="1:14" customFormat="1" x14ac:dyDescent="0.25">
      <c r="A98" s="82"/>
      <c r="B98" s="82"/>
      <c r="C98" s="82"/>
      <c r="D98" s="82"/>
      <c r="E98" s="82"/>
      <c r="F98" s="82"/>
      <c r="G98" s="82"/>
      <c r="H98" s="82"/>
      <c r="I98" s="82"/>
      <c r="J98" s="82"/>
      <c r="K98" s="82"/>
      <c r="L98" s="82"/>
      <c r="M98" s="82"/>
      <c r="N98" s="82"/>
    </row>
    <row r="99" spans="1:14" customFormat="1" x14ac:dyDescent="0.25">
      <c r="A99" s="82"/>
      <c r="B99" s="82"/>
      <c r="C99" s="82"/>
      <c r="D99" s="82"/>
      <c r="E99" s="82"/>
      <c r="F99" s="82"/>
      <c r="G99" s="82"/>
      <c r="H99" s="82"/>
      <c r="I99" s="82"/>
      <c r="J99" s="82"/>
      <c r="K99" s="82"/>
      <c r="L99" s="82"/>
      <c r="M99" s="82"/>
      <c r="N99" s="82"/>
    </row>
    <row r="100" spans="1:14" customFormat="1" x14ac:dyDescent="0.25">
      <c r="A100" s="82"/>
      <c r="B100" s="82"/>
      <c r="C100" s="82"/>
      <c r="D100" s="82"/>
      <c r="E100" s="82"/>
      <c r="F100" s="82"/>
      <c r="G100" s="82"/>
      <c r="H100" s="82"/>
      <c r="I100" s="82"/>
      <c r="J100" s="82"/>
      <c r="K100" s="82"/>
      <c r="L100" s="82"/>
      <c r="M100" s="82"/>
      <c r="N100" s="82"/>
    </row>
    <row r="101" spans="1:14" customFormat="1" x14ac:dyDescent="0.25">
      <c r="A101" s="82"/>
      <c r="B101" s="82"/>
      <c r="C101" s="82"/>
      <c r="D101" s="82"/>
      <c r="E101" s="82"/>
      <c r="F101" s="82"/>
      <c r="G101" s="82"/>
      <c r="H101" s="82"/>
      <c r="I101" s="82"/>
      <c r="J101" s="82"/>
      <c r="K101" s="82"/>
      <c r="L101" s="82"/>
      <c r="M101" s="82"/>
      <c r="N101" s="82"/>
    </row>
    <row r="102" spans="1:14" customFormat="1" x14ac:dyDescent="0.25">
      <c r="A102" s="82"/>
      <c r="B102" s="82"/>
      <c r="C102" s="82"/>
      <c r="D102" s="82"/>
      <c r="E102" s="82"/>
      <c r="F102" s="82"/>
      <c r="G102" s="82"/>
      <c r="H102" s="82"/>
      <c r="I102" s="82"/>
      <c r="J102" s="82"/>
      <c r="K102" s="82"/>
      <c r="L102" s="82"/>
      <c r="M102" s="82"/>
      <c r="N102" s="82"/>
    </row>
    <row r="103" spans="1:14" customFormat="1" x14ac:dyDescent="0.25">
      <c r="A103" s="82"/>
      <c r="B103" s="82"/>
      <c r="C103" s="82"/>
      <c r="D103" s="82"/>
      <c r="E103" s="82"/>
      <c r="F103" s="82"/>
      <c r="G103" s="82"/>
      <c r="H103" s="82"/>
      <c r="I103" s="82"/>
      <c r="J103" s="82"/>
      <c r="K103" s="82"/>
      <c r="L103" s="82"/>
      <c r="M103" s="82"/>
      <c r="N103" s="82"/>
    </row>
    <row r="104" spans="1:14" customFormat="1" x14ac:dyDescent="0.25">
      <c r="A104" s="82"/>
      <c r="B104" s="82"/>
      <c r="C104" s="82"/>
      <c r="D104" s="82"/>
      <c r="E104" s="82"/>
      <c r="F104" s="82"/>
      <c r="G104" s="82"/>
      <c r="H104" s="82"/>
      <c r="I104" s="82"/>
      <c r="J104" s="82"/>
      <c r="K104" s="82"/>
      <c r="L104" s="82"/>
      <c r="M104" s="82"/>
      <c r="N104" s="82"/>
    </row>
    <row r="105" spans="1:14" customFormat="1" x14ac:dyDescent="0.25">
      <c r="A105" s="82"/>
      <c r="B105" s="82"/>
      <c r="C105" s="82"/>
      <c r="D105" s="82"/>
      <c r="E105" s="82"/>
      <c r="F105" s="82"/>
      <c r="G105" s="82"/>
      <c r="H105" s="82"/>
      <c r="I105" s="82"/>
      <c r="J105" s="82"/>
      <c r="K105" s="82"/>
      <c r="L105" s="82"/>
      <c r="M105" s="82"/>
      <c r="N105" s="82"/>
    </row>
    <row r="106" spans="1:14" customFormat="1" x14ac:dyDescent="0.25">
      <c r="A106" s="82"/>
      <c r="B106" s="82"/>
      <c r="C106" s="82"/>
      <c r="D106" s="82"/>
      <c r="E106" s="82"/>
      <c r="F106" s="82"/>
      <c r="G106" s="82"/>
      <c r="H106" s="82"/>
      <c r="I106" s="82"/>
      <c r="J106" s="82"/>
      <c r="K106" s="82"/>
      <c r="L106" s="82"/>
      <c r="M106" s="82"/>
      <c r="N106" s="82"/>
    </row>
    <row r="107" spans="1:14" customFormat="1" x14ac:dyDescent="0.25">
      <c r="A107" s="82"/>
      <c r="B107" s="82"/>
      <c r="C107" s="82"/>
      <c r="D107" s="82"/>
      <c r="E107" s="82"/>
      <c r="F107" s="82"/>
      <c r="G107" s="82"/>
      <c r="H107" s="82"/>
      <c r="I107" s="82"/>
      <c r="J107" s="82"/>
      <c r="K107" s="82"/>
      <c r="L107" s="82"/>
      <c r="M107" s="82"/>
      <c r="N107" s="82"/>
    </row>
    <row r="108" spans="1:14" customFormat="1" x14ac:dyDescent="0.25">
      <c r="A108" s="82"/>
      <c r="B108" s="82"/>
      <c r="C108" s="82"/>
      <c r="D108" s="82"/>
      <c r="E108" s="82"/>
      <c r="F108" s="82"/>
      <c r="G108" s="82"/>
      <c r="H108" s="82"/>
      <c r="I108" s="82"/>
      <c r="J108" s="82"/>
      <c r="K108" s="82"/>
      <c r="L108" s="82"/>
      <c r="M108" s="82"/>
      <c r="N108" s="82"/>
    </row>
    <row r="109" spans="1:14" customFormat="1" x14ac:dyDescent="0.25">
      <c r="A109" s="82"/>
      <c r="B109" s="82"/>
      <c r="C109" s="82"/>
      <c r="D109" s="82"/>
      <c r="E109" s="82"/>
      <c r="F109" s="82"/>
      <c r="G109" s="82"/>
      <c r="H109" s="82"/>
      <c r="I109" s="82"/>
      <c r="J109" s="82"/>
      <c r="K109" s="82"/>
      <c r="L109" s="82"/>
      <c r="M109" s="82"/>
      <c r="N109" s="82"/>
    </row>
    <row r="110" spans="1:14" customFormat="1" x14ac:dyDescent="0.25">
      <c r="A110" s="82"/>
      <c r="B110" s="82"/>
      <c r="C110" s="82"/>
      <c r="D110" s="82"/>
      <c r="E110" s="82"/>
      <c r="F110" s="82"/>
      <c r="G110" s="82"/>
      <c r="H110" s="82"/>
      <c r="I110" s="82"/>
      <c r="J110" s="82"/>
      <c r="K110" s="82"/>
      <c r="L110" s="82"/>
      <c r="M110" s="82"/>
      <c r="N110" s="82"/>
    </row>
    <row r="111" spans="1:14" customFormat="1" x14ac:dyDescent="0.25">
      <c r="A111" s="82"/>
      <c r="B111" s="82"/>
      <c r="C111" s="82"/>
      <c r="D111" s="82"/>
      <c r="E111" s="82"/>
      <c r="F111" s="82"/>
      <c r="G111" s="82"/>
      <c r="H111" s="82"/>
      <c r="I111" s="82"/>
      <c r="J111" s="82"/>
      <c r="K111" s="82"/>
      <c r="L111" s="82"/>
      <c r="M111" s="82"/>
      <c r="N111" s="82"/>
    </row>
    <row r="112" spans="1:14" customFormat="1" x14ac:dyDescent="0.25">
      <c r="A112" s="82"/>
      <c r="B112" s="82"/>
      <c r="C112" s="82"/>
      <c r="D112" s="82"/>
      <c r="E112" s="82"/>
      <c r="F112" s="82"/>
      <c r="G112" s="82"/>
      <c r="H112" s="82"/>
      <c r="I112" s="82"/>
      <c r="J112" s="82"/>
      <c r="K112" s="82"/>
      <c r="L112" s="82"/>
      <c r="M112" s="82"/>
      <c r="N112" s="82"/>
    </row>
    <row r="113" spans="1:14" customFormat="1" x14ac:dyDescent="0.25">
      <c r="A113" s="82"/>
      <c r="B113" s="82"/>
      <c r="C113" s="82"/>
      <c r="D113" s="82"/>
      <c r="E113" s="82"/>
      <c r="F113" s="82"/>
      <c r="G113" s="82"/>
      <c r="H113" s="82"/>
      <c r="I113" s="82"/>
      <c r="J113" s="82"/>
      <c r="K113" s="82"/>
      <c r="L113" s="82"/>
      <c r="M113" s="82"/>
      <c r="N113" s="82"/>
    </row>
    <row r="114" spans="1:14" customFormat="1" x14ac:dyDescent="0.25">
      <c r="A114" s="82"/>
      <c r="B114" s="82"/>
      <c r="C114" s="82"/>
      <c r="D114" s="82"/>
      <c r="E114" s="82"/>
      <c r="F114" s="82"/>
      <c r="G114" s="82"/>
      <c r="H114" s="82"/>
      <c r="I114" s="82"/>
      <c r="J114" s="82"/>
      <c r="K114" s="82"/>
      <c r="L114" s="82"/>
      <c r="M114" s="82"/>
      <c r="N114" s="82"/>
    </row>
    <row r="115" spans="1:14" customFormat="1" x14ac:dyDescent="0.25">
      <c r="A115" s="82"/>
      <c r="B115" s="82"/>
      <c r="C115" s="82"/>
      <c r="D115" s="82"/>
      <c r="E115" s="82"/>
      <c r="F115" s="82"/>
      <c r="G115" s="82"/>
      <c r="H115" s="82"/>
      <c r="I115" s="82"/>
      <c r="J115" s="82"/>
      <c r="K115" s="82"/>
      <c r="L115" s="82"/>
      <c r="M115" s="82"/>
      <c r="N115" s="82"/>
    </row>
    <row r="116" spans="1:14" customFormat="1" x14ac:dyDescent="0.25">
      <c r="A116" s="82"/>
      <c r="B116" s="82"/>
      <c r="C116" s="82"/>
      <c r="D116" s="82"/>
      <c r="E116" s="82"/>
      <c r="F116" s="82"/>
      <c r="G116" s="82"/>
      <c r="H116" s="82"/>
      <c r="I116" s="82"/>
      <c r="J116" s="82"/>
      <c r="K116" s="82"/>
      <c r="L116" s="82"/>
      <c r="M116" s="82"/>
      <c r="N116" s="82"/>
    </row>
    <row r="117" spans="1:14" customFormat="1" x14ac:dyDescent="0.25">
      <c r="A117" s="82"/>
      <c r="B117" s="82"/>
      <c r="C117" s="82"/>
      <c r="D117" s="82"/>
      <c r="E117" s="82"/>
      <c r="F117" s="82"/>
      <c r="G117" s="82"/>
      <c r="H117" s="82"/>
      <c r="I117" s="82"/>
      <c r="J117" s="82"/>
      <c r="K117" s="82"/>
      <c r="L117" s="82"/>
      <c r="M117" s="82"/>
      <c r="N117" s="82"/>
    </row>
    <row r="118" spans="1:14" customFormat="1" x14ac:dyDescent="0.25">
      <c r="A118" s="82"/>
      <c r="B118" s="82"/>
      <c r="C118" s="82"/>
      <c r="D118" s="82"/>
      <c r="E118" s="82"/>
      <c r="F118" s="82"/>
      <c r="G118" s="82"/>
      <c r="H118" s="82"/>
      <c r="I118" s="82"/>
      <c r="J118" s="82"/>
      <c r="K118" s="82"/>
      <c r="L118" s="82"/>
      <c r="M118" s="82"/>
      <c r="N118" s="82"/>
    </row>
    <row r="119" spans="1:14" customFormat="1" x14ac:dyDescent="0.25">
      <c r="A119" s="82"/>
      <c r="B119" s="82"/>
      <c r="C119" s="82"/>
      <c r="D119" s="82"/>
      <c r="E119" s="82"/>
      <c r="F119" s="82"/>
      <c r="G119" s="82"/>
      <c r="H119" s="82"/>
      <c r="I119" s="82"/>
      <c r="J119" s="82"/>
      <c r="K119" s="82"/>
      <c r="L119" s="82"/>
      <c r="M119" s="82"/>
      <c r="N119" s="82"/>
    </row>
    <row r="120" spans="1:14" customFormat="1" x14ac:dyDescent="0.25">
      <c r="A120" s="82"/>
      <c r="B120" s="82"/>
      <c r="C120" s="82"/>
      <c r="D120" s="82"/>
      <c r="E120" s="82"/>
      <c r="F120" s="82"/>
      <c r="G120" s="82"/>
      <c r="H120" s="82"/>
      <c r="I120" s="82"/>
      <c r="J120" s="82"/>
      <c r="K120" s="82"/>
      <c r="L120" s="82"/>
      <c r="M120" s="82"/>
      <c r="N120" s="82"/>
    </row>
    <row r="121" spans="1:14" customFormat="1" x14ac:dyDescent="0.25">
      <c r="A121" s="82"/>
      <c r="B121" s="82"/>
      <c r="C121" s="82"/>
      <c r="D121" s="82"/>
      <c r="E121" s="82"/>
      <c r="F121" s="82"/>
      <c r="G121" s="82"/>
      <c r="H121" s="82"/>
      <c r="I121" s="82"/>
      <c r="J121" s="82"/>
      <c r="K121" s="82"/>
      <c r="L121" s="82"/>
      <c r="M121" s="82"/>
      <c r="N121" s="82"/>
    </row>
    <row r="122" spans="1:14" customFormat="1" x14ac:dyDescent="0.25">
      <c r="A122" s="82"/>
      <c r="B122" s="82"/>
      <c r="C122" s="82"/>
      <c r="D122" s="82"/>
      <c r="E122" s="82"/>
      <c r="F122" s="82"/>
      <c r="G122" s="82"/>
      <c r="H122" s="82"/>
      <c r="I122" s="82"/>
      <c r="J122" s="82"/>
      <c r="K122" s="82"/>
      <c r="L122" s="82"/>
      <c r="M122" s="82"/>
      <c r="N122" s="82"/>
    </row>
    <row r="123" spans="1:14" customFormat="1" x14ac:dyDescent="0.25">
      <c r="A123" s="82"/>
      <c r="B123" s="82"/>
      <c r="C123" s="82"/>
      <c r="D123" s="82"/>
      <c r="E123" s="82"/>
      <c r="F123" s="82"/>
      <c r="G123" s="82"/>
      <c r="H123" s="82"/>
      <c r="I123" s="82"/>
      <c r="J123" s="82"/>
      <c r="K123" s="82"/>
      <c r="L123" s="82"/>
      <c r="M123" s="82"/>
      <c r="N123" s="82"/>
    </row>
    <row r="124" spans="1:14" customFormat="1" x14ac:dyDescent="0.25">
      <c r="A124" s="82"/>
      <c r="B124" s="82"/>
      <c r="C124" s="82"/>
      <c r="D124" s="82"/>
      <c r="E124" s="82"/>
      <c r="F124" s="82"/>
      <c r="G124" s="82"/>
      <c r="H124" s="82"/>
      <c r="I124" s="82"/>
      <c r="J124" s="82"/>
      <c r="K124" s="82"/>
      <c r="L124" s="82"/>
      <c r="M124" s="82"/>
      <c r="N124" s="82"/>
    </row>
    <row r="125" spans="1:14" customFormat="1" x14ac:dyDescent="0.25">
      <c r="A125" s="82"/>
      <c r="B125" s="82"/>
      <c r="C125" s="82"/>
      <c r="D125" s="82"/>
      <c r="E125" s="82"/>
      <c r="F125" s="82"/>
      <c r="G125" s="82"/>
      <c r="H125" s="82"/>
      <c r="I125" s="82"/>
      <c r="J125" s="82"/>
      <c r="K125" s="82"/>
      <c r="L125" s="82"/>
      <c r="M125" s="82"/>
      <c r="N125" s="82"/>
    </row>
    <row r="126" spans="1:14" customFormat="1" x14ac:dyDescent="0.25">
      <c r="A126" s="82"/>
      <c r="B126" s="82"/>
      <c r="C126" s="82"/>
      <c r="D126" s="82"/>
      <c r="E126" s="82"/>
      <c r="F126" s="82"/>
      <c r="G126" s="82"/>
      <c r="H126" s="82"/>
      <c r="I126" s="82"/>
      <c r="J126" s="82"/>
      <c r="K126" s="82"/>
      <c r="L126" s="82"/>
      <c r="M126" s="82"/>
      <c r="N126" s="82"/>
    </row>
    <row r="127" spans="1:14" customFormat="1" x14ac:dyDescent="0.25">
      <c r="A127" s="82"/>
      <c r="B127" s="82"/>
      <c r="C127" s="82"/>
      <c r="D127" s="82"/>
      <c r="E127" s="82"/>
      <c r="F127" s="82"/>
      <c r="G127" s="82"/>
      <c r="H127" s="82"/>
      <c r="I127" s="82"/>
      <c r="J127" s="82"/>
      <c r="K127" s="82"/>
      <c r="L127" s="82"/>
      <c r="M127" s="82"/>
      <c r="N127" s="82"/>
    </row>
    <row r="128" spans="1:14" customFormat="1" x14ac:dyDescent="0.25">
      <c r="A128" s="82"/>
      <c r="B128" s="82"/>
      <c r="C128" s="82"/>
      <c r="D128" s="82"/>
      <c r="E128" s="82"/>
      <c r="F128" s="82"/>
      <c r="G128" s="82"/>
      <c r="H128" s="82"/>
      <c r="I128" s="82"/>
      <c r="J128" s="82"/>
      <c r="K128" s="82"/>
      <c r="L128" s="82"/>
      <c r="M128" s="82"/>
      <c r="N128" s="82"/>
    </row>
    <row r="129" spans="1:14" customFormat="1" x14ac:dyDescent="0.25">
      <c r="A129" s="82"/>
      <c r="B129" s="82"/>
      <c r="C129" s="82"/>
      <c r="D129" s="82"/>
      <c r="E129" s="82"/>
      <c r="F129" s="82"/>
      <c r="G129" s="82"/>
      <c r="H129" s="82"/>
      <c r="I129" s="82"/>
      <c r="J129" s="82"/>
      <c r="K129" s="82"/>
      <c r="L129" s="82"/>
      <c r="M129" s="82"/>
      <c r="N129" s="82"/>
    </row>
    <row r="130" spans="1:14" customFormat="1" x14ac:dyDescent="0.25">
      <c r="A130" s="82"/>
      <c r="B130" s="82"/>
      <c r="C130" s="82"/>
      <c r="D130" s="82"/>
      <c r="E130" s="82"/>
      <c r="F130" s="82"/>
      <c r="G130" s="82"/>
      <c r="H130" s="82"/>
      <c r="I130" s="82"/>
      <c r="J130" s="82"/>
      <c r="K130" s="82"/>
      <c r="L130" s="82"/>
      <c r="M130" s="82"/>
      <c r="N130" s="82"/>
    </row>
    <row r="131" spans="1:14" customFormat="1" x14ac:dyDescent="0.25">
      <c r="A131" s="82"/>
      <c r="B131" s="82"/>
      <c r="C131" s="82"/>
      <c r="D131" s="82"/>
      <c r="E131" s="82"/>
      <c r="F131" s="82"/>
      <c r="G131" s="82"/>
      <c r="H131" s="82"/>
      <c r="I131" s="82"/>
      <c r="J131" s="82"/>
      <c r="K131" s="82"/>
      <c r="L131" s="82"/>
      <c r="M131" s="82"/>
      <c r="N131" s="82"/>
    </row>
    <row r="132" spans="1:14" customFormat="1" x14ac:dyDescent="0.25">
      <c r="A132" s="82"/>
      <c r="B132" s="82"/>
      <c r="C132" s="82"/>
      <c r="D132" s="82"/>
      <c r="E132" s="82"/>
      <c r="F132" s="82"/>
      <c r="G132" s="82"/>
      <c r="H132" s="82"/>
      <c r="I132" s="82"/>
      <c r="J132" s="82"/>
      <c r="K132" s="82"/>
      <c r="L132" s="82"/>
      <c r="M132" s="82"/>
      <c r="N132" s="82"/>
    </row>
    <row r="133" spans="1:14" customFormat="1" x14ac:dyDescent="0.25">
      <c r="A133" s="82"/>
      <c r="B133" s="82"/>
      <c r="C133" s="82"/>
      <c r="D133" s="82"/>
      <c r="E133" s="82"/>
      <c r="F133" s="82"/>
      <c r="G133" s="82"/>
      <c r="H133" s="82"/>
      <c r="I133" s="82"/>
      <c r="J133" s="82"/>
      <c r="K133" s="82"/>
      <c r="L133" s="82"/>
      <c r="M133" s="82"/>
      <c r="N133" s="82"/>
    </row>
    <row r="134" spans="1:14" customFormat="1" x14ac:dyDescent="0.25">
      <c r="A134" s="82"/>
      <c r="B134" s="82"/>
      <c r="C134" s="82"/>
      <c r="D134" s="82"/>
      <c r="E134" s="82"/>
      <c r="F134" s="82"/>
      <c r="G134" s="82"/>
      <c r="H134" s="82"/>
      <c r="I134" s="82"/>
      <c r="J134" s="82"/>
      <c r="K134" s="82"/>
      <c r="L134" s="82"/>
      <c r="M134" s="82"/>
      <c r="N134" s="82"/>
    </row>
    <row r="135" spans="1:14" customFormat="1" x14ac:dyDescent="0.25">
      <c r="A135" s="82"/>
      <c r="B135" s="82"/>
      <c r="C135" s="82"/>
      <c r="D135" s="82"/>
      <c r="E135" s="82"/>
      <c r="F135" s="82"/>
      <c r="G135" s="82"/>
      <c r="H135" s="82"/>
      <c r="I135" s="82"/>
      <c r="J135" s="82"/>
      <c r="K135" s="82"/>
      <c r="L135" s="82"/>
      <c r="M135" s="82"/>
      <c r="N135" s="82"/>
    </row>
    <row r="136" spans="1:14" customFormat="1" x14ac:dyDescent="0.25">
      <c r="A136" s="82"/>
      <c r="B136" s="82"/>
      <c r="C136" s="82"/>
      <c r="D136" s="82"/>
      <c r="E136" s="82"/>
      <c r="F136" s="82"/>
      <c r="G136" s="82"/>
      <c r="H136" s="82"/>
      <c r="I136" s="82"/>
      <c r="J136" s="82"/>
      <c r="K136" s="82"/>
      <c r="L136" s="82"/>
      <c r="M136" s="82"/>
      <c r="N136" s="82"/>
    </row>
    <row r="137" spans="1:14" customFormat="1" x14ac:dyDescent="0.25">
      <c r="A137" s="82"/>
      <c r="B137" s="82"/>
      <c r="C137" s="82"/>
      <c r="D137" s="82"/>
      <c r="E137" s="82"/>
      <c r="F137" s="82"/>
      <c r="G137" s="82"/>
      <c r="H137" s="82"/>
      <c r="I137" s="82"/>
      <c r="J137" s="82"/>
      <c r="K137" s="82"/>
      <c r="L137" s="82"/>
      <c r="M137" s="82"/>
      <c r="N137" s="82"/>
    </row>
    <row r="138" spans="1:14" customFormat="1" x14ac:dyDescent="0.25">
      <c r="A138" s="82"/>
      <c r="B138" s="82"/>
      <c r="C138" s="82"/>
      <c r="D138" s="82"/>
      <c r="E138" s="82"/>
      <c r="F138" s="82"/>
      <c r="G138" s="82"/>
      <c r="H138" s="82"/>
      <c r="I138" s="82"/>
      <c r="J138" s="82"/>
      <c r="K138" s="82"/>
      <c r="L138" s="82"/>
      <c r="M138" s="82"/>
      <c r="N138" s="82"/>
    </row>
    <row r="139" spans="1:14" customFormat="1" x14ac:dyDescent="0.25">
      <c r="A139" s="82"/>
      <c r="B139" s="82"/>
      <c r="C139" s="82"/>
      <c r="D139" s="82"/>
      <c r="E139" s="82"/>
      <c r="F139" s="82"/>
      <c r="G139" s="82"/>
      <c r="H139" s="82"/>
      <c r="I139" s="82"/>
      <c r="J139" s="82"/>
      <c r="K139" s="82"/>
      <c r="L139" s="82"/>
      <c r="M139" s="82"/>
      <c r="N139" s="82"/>
    </row>
    <row r="140" spans="1:14" customFormat="1" x14ac:dyDescent="0.25">
      <c r="A140" s="82"/>
      <c r="B140" s="82"/>
      <c r="C140" s="82"/>
      <c r="D140" s="82"/>
      <c r="E140" s="82"/>
      <c r="F140" s="82"/>
      <c r="G140" s="82"/>
      <c r="H140" s="82"/>
      <c r="I140" s="82"/>
      <c r="J140" s="82"/>
      <c r="K140" s="82"/>
      <c r="L140" s="82"/>
      <c r="M140" s="82"/>
      <c r="N140" s="82"/>
    </row>
    <row r="141" spans="1:14" customFormat="1" x14ac:dyDescent="0.25">
      <c r="A141" s="82"/>
      <c r="B141" s="82"/>
      <c r="C141" s="82"/>
      <c r="D141" s="82"/>
      <c r="E141" s="82"/>
      <c r="F141" s="82"/>
      <c r="G141" s="82"/>
      <c r="H141" s="82"/>
      <c r="I141" s="82"/>
      <c r="J141" s="82"/>
      <c r="K141" s="82"/>
      <c r="L141" s="82"/>
      <c r="M141" s="82"/>
      <c r="N141" s="82"/>
    </row>
    <row r="142" spans="1:14" customFormat="1" x14ac:dyDescent="0.25">
      <c r="A142" s="82"/>
      <c r="B142" s="82"/>
      <c r="C142" s="82"/>
      <c r="D142" s="82"/>
      <c r="E142" s="82"/>
      <c r="F142" s="82"/>
      <c r="G142" s="82"/>
      <c r="H142" s="82"/>
      <c r="I142" s="82"/>
      <c r="J142" s="82"/>
      <c r="K142" s="82"/>
      <c r="L142" s="82"/>
      <c r="M142" s="82"/>
      <c r="N142" s="82"/>
    </row>
    <row r="143" spans="1:14" customFormat="1" x14ac:dyDescent="0.25">
      <c r="A143" s="82"/>
      <c r="B143" s="82"/>
      <c r="C143" s="82"/>
      <c r="D143" s="82"/>
      <c r="E143" s="82"/>
      <c r="F143" s="82"/>
      <c r="G143" s="82"/>
      <c r="H143" s="82"/>
      <c r="I143" s="82"/>
      <c r="J143" s="82"/>
      <c r="K143" s="82"/>
      <c r="L143" s="82"/>
      <c r="M143" s="82"/>
      <c r="N143" s="82"/>
    </row>
    <row r="144" spans="1:14" customFormat="1" x14ac:dyDescent="0.25">
      <c r="A144" s="82"/>
      <c r="B144" s="82"/>
      <c r="C144" s="82"/>
      <c r="D144" s="82"/>
      <c r="E144" s="82"/>
      <c r="F144" s="82"/>
      <c r="G144" s="82"/>
      <c r="H144" s="82"/>
      <c r="I144" s="82"/>
      <c r="J144" s="82"/>
      <c r="K144" s="82"/>
      <c r="L144" s="82"/>
      <c r="M144" s="82"/>
      <c r="N144" s="82"/>
    </row>
    <row r="145" spans="1:14" customFormat="1" x14ac:dyDescent="0.25">
      <c r="A145" s="82"/>
      <c r="B145" s="82"/>
      <c r="C145" s="82"/>
      <c r="D145" s="82"/>
      <c r="E145" s="82"/>
      <c r="F145" s="82"/>
      <c r="G145" s="82"/>
      <c r="H145" s="82"/>
      <c r="I145" s="82"/>
      <c r="J145" s="82"/>
      <c r="K145" s="82"/>
      <c r="L145" s="82"/>
      <c r="M145" s="82"/>
      <c r="N145" s="82"/>
    </row>
  </sheetData>
  <printOptions horizontalCentered="1"/>
  <pageMargins left="0.7" right="0.7" top="0.75" bottom="0.75" header="0.3" footer="0.3"/>
  <pageSetup scale="85" orientation="landscape" blackAndWhite="1" horizontalDpi="300" verticalDpi="300" r:id="rId1"/>
  <headerFooter>
    <oddFooter>&amp;L&amp;F
&amp;A&amp;C&amp;P&amp;R&amp;D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45"/>
  <sheetViews>
    <sheetView zoomScale="90" zoomScaleNormal="90" workbookViewId="0">
      <selection activeCell="I26" sqref="I26"/>
    </sheetView>
  </sheetViews>
  <sheetFormatPr defaultColWidth="8.7109375" defaultRowHeight="15" outlineLevelCol="1" x14ac:dyDescent="0.25"/>
  <cols>
    <col min="1" max="1" width="3.5703125" style="620" customWidth="1"/>
    <col min="2" max="2" width="2.5703125" style="620" customWidth="1"/>
    <col min="3" max="3" width="31.140625" style="620" customWidth="1"/>
    <col min="4" max="4" width="9.140625" style="620" bestFit="1" customWidth="1"/>
    <col min="5" max="5" width="13.7109375" style="620" customWidth="1"/>
    <col min="6" max="12" width="12.85546875" style="620" customWidth="1"/>
    <col min="13" max="13" width="8.7109375" style="620"/>
    <col min="14" max="14" width="9.140625" style="620" customWidth="1" outlineLevel="1"/>
    <col min="15" max="15" width="9.140625" customWidth="1"/>
    <col min="16" max="16384" width="8.7109375" style="620"/>
  </cols>
  <sheetData>
    <row r="1" spans="1:15" x14ac:dyDescent="0.25">
      <c r="B1" s="676" t="s">
        <v>0</v>
      </c>
      <c r="C1" s="676"/>
      <c r="D1" s="676"/>
      <c r="E1" s="676"/>
      <c r="F1" s="676"/>
      <c r="G1" s="676"/>
      <c r="H1" s="676"/>
      <c r="I1" s="676"/>
      <c r="J1" s="676"/>
      <c r="K1" s="676"/>
      <c r="L1" s="676"/>
    </row>
    <row r="2" spans="1:15" s="7" customFormat="1" x14ac:dyDescent="0.25">
      <c r="A2" s="814"/>
      <c r="B2" s="245" t="str">
        <f>'CRM Rates'!$A$2</f>
        <v>2022 Gas Schedule 149 Cost Recovery Mechanism For Pipeline Replacement (CRM) Filing (PRELIMINARY - August Filing)</v>
      </c>
      <c r="C2" s="245"/>
      <c r="D2" s="245"/>
      <c r="E2" s="245"/>
      <c r="F2" s="245"/>
      <c r="G2" s="245"/>
      <c r="H2" s="245"/>
      <c r="I2" s="245"/>
      <c r="J2" s="245"/>
      <c r="K2" s="245"/>
      <c r="L2" s="245"/>
      <c r="M2" s="814"/>
      <c r="N2" s="814"/>
    </row>
    <row r="3" spans="1:15" s="7" customFormat="1" x14ac:dyDescent="0.25">
      <c r="A3" s="814"/>
      <c r="B3" s="815" t="s">
        <v>349</v>
      </c>
      <c r="C3" s="815"/>
      <c r="D3" s="815"/>
      <c r="E3" s="815"/>
      <c r="F3" s="815"/>
      <c r="G3" s="815"/>
      <c r="H3" s="815"/>
      <c r="I3" s="815"/>
      <c r="J3" s="815"/>
      <c r="K3" s="815"/>
      <c r="L3" s="815"/>
      <c r="M3" s="814"/>
      <c r="N3" s="814"/>
    </row>
    <row r="4" spans="1:15" s="218" customFormat="1" x14ac:dyDescent="0.25">
      <c r="A4" s="449"/>
      <c r="B4" s="821"/>
      <c r="C4" s="449"/>
      <c r="D4" s="449"/>
      <c r="E4" s="449"/>
      <c r="F4" s="449"/>
      <c r="G4" s="449"/>
      <c r="H4" s="449"/>
      <c r="I4" s="449"/>
      <c r="J4" s="449"/>
      <c r="K4" s="449"/>
      <c r="L4" s="449"/>
      <c r="M4" s="449"/>
      <c r="N4" s="449"/>
    </row>
    <row r="5" spans="1:15" s="218" customFormat="1" x14ac:dyDescent="0.25">
      <c r="A5" s="449"/>
      <c r="B5" s="449"/>
      <c r="C5" s="449"/>
      <c r="D5" s="449"/>
      <c r="E5" s="449"/>
      <c r="F5" s="822"/>
      <c r="G5" s="822" t="s">
        <v>115</v>
      </c>
      <c r="H5" s="822" t="s">
        <v>116</v>
      </c>
      <c r="I5" s="822"/>
      <c r="J5" s="822" t="s">
        <v>117</v>
      </c>
      <c r="K5" s="822" t="s">
        <v>118</v>
      </c>
      <c r="L5" s="822"/>
      <c r="M5" s="449"/>
      <c r="N5" s="449"/>
    </row>
    <row r="6" spans="1:15" s="218" customFormat="1" x14ac:dyDescent="0.25">
      <c r="A6" s="449"/>
      <c r="B6" s="449"/>
      <c r="C6" s="449"/>
      <c r="D6" s="822" t="s">
        <v>119</v>
      </c>
      <c r="E6" s="449"/>
      <c r="F6" s="822" t="s">
        <v>134</v>
      </c>
      <c r="G6" s="822" t="s">
        <v>121</v>
      </c>
      <c r="H6" s="822" t="s">
        <v>122</v>
      </c>
      <c r="I6" s="822" t="s">
        <v>123</v>
      </c>
      <c r="J6" s="822" t="s">
        <v>124</v>
      </c>
      <c r="K6" s="822" t="s">
        <v>125</v>
      </c>
      <c r="L6" s="822"/>
      <c r="M6" s="449"/>
      <c r="N6" s="449"/>
    </row>
    <row r="7" spans="1:15" s="218" customFormat="1" x14ac:dyDescent="0.25">
      <c r="A7" s="449"/>
      <c r="B7" s="449"/>
      <c r="C7" s="449"/>
      <c r="D7" s="823" t="s">
        <v>126</v>
      </c>
      <c r="E7" s="823" t="s">
        <v>90</v>
      </c>
      <c r="F7" s="823" t="s">
        <v>127</v>
      </c>
      <c r="G7" s="823" t="s">
        <v>128</v>
      </c>
      <c r="H7" s="823" t="s">
        <v>129</v>
      </c>
      <c r="I7" s="823" t="s">
        <v>130</v>
      </c>
      <c r="J7" s="823" t="s">
        <v>130</v>
      </c>
      <c r="K7" s="823" t="s">
        <v>130</v>
      </c>
      <c r="L7" s="823" t="s">
        <v>131</v>
      </c>
      <c r="M7" s="449"/>
      <c r="N7" s="74" t="s">
        <v>104</v>
      </c>
      <c r="O7" s="74" t="s">
        <v>254</v>
      </c>
    </row>
    <row r="8" spans="1:15" s="218" customFormat="1" x14ac:dyDescent="0.25">
      <c r="A8" s="449"/>
      <c r="B8" s="449" t="s">
        <v>135</v>
      </c>
      <c r="C8" s="449"/>
      <c r="D8" s="449"/>
      <c r="E8" s="629"/>
      <c r="F8" s="629"/>
      <c r="G8" s="629"/>
      <c r="H8" s="629"/>
      <c r="I8" s="629"/>
      <c r="J8" s="629"/>
      <c r="K8" s="629"/>
      <c r="L8" s="629"/>
      <c r="M8" s="449"/>
      <c r="N8" s="799"/>
    </row>
    <row r="9" spans="1:15" s="218" customFormat="1" x14ac:dyDescent="0.25">
      <c r="A9" s="449"/>
      <c r="B9" s="449"/>
      <c r="C9" s="449" t="s">
        <v>227</v>
      </c>
      <c r="D9" s="677">
        <v>376</v>
      </c>
      <c r="E9" s="800">
        <f>('2019 CRM'!$H$29+'2019 CRM'!$H$35)*'CRM CAP Forecast(from2019filin)'!E14</f>
        <v>4628376.843508427</v>
      </c>
      <c r="F9" s="824">
        <f>$E$9*'Allocation Factors'!E12</f>
        <v>3044879.6785885841</v>
      </c>
      <c r="G9" s="824">
        <f>$E$9*'Allocation Factors'!F12</f>
        <v>1108842.8628796877</v>
      </c>
      <c r="H9" s="824">
        <f>$E$9*'Allocation Factors'!G12</f>
        <v>243949.44799653967</v>
      </c>
      <c r="I9" s="824">
        <f>$E$9*'Allocation Factors'!H12</f>
        <v>118821.80547528062</v>
      </c>
      <c r="J9" s="824">
        <f>$E$9*'Allocation Factors'!I12</f>
        <v>12795.624906510999</v>
      </c>
      <c r="K9" s="824">
        <f>$E$9*'Allocation Factors'!J12</f>
        <v>92950.997957322877</v>
      </c>
      <c r="L9" s="824">
        <f>$E$9*'Allocation Factors'!K12</f>
        <v>6136.4257045005779</v>
      </c>
      <c r="M9" s="449"/>
      <c r="N9" s="799">
        <f t="shared" ref="N9:N16" si="0">SUM(F9:L9)-E9</f>
        <v>0</v>
      </c>
    </row>
    <row r="10" spans="1:15" s="218" customFormat="1" x14ac:dyDescent="0.25">
      <c r="A10" s="449"/>
      <c r="B10" s="449"/>
      <c r="C10" s="449" t="s">
        <v>228</v>
      </c>
      <c r="D10" s="677">
        <v>380</v>
      </c>
      <c r="E10" s="800">
        <f>('2019 CRM'!$H$29+'2019 CRM'!$H$35)*'CRM CAP Forecast(from2019filin)'!E15</f>
        <v>8244.9139021276405</v>
      </c>
      <c r="F10" s="824">
        <f>$E$10*'Allocation Factors'!E17</f>
        <v>4744.7914470989954</v>
      </c>
      <c r="G10" s="824">
        <f>$E$10*'Allocation Factors'!F17</f>
        <v>3353.1234885997787</v>
      </c>
      <c r="H10" s="824">
        <f>$E$10*'Allocation Factors'!G17</f>
        <v>59.569942066490221</v>
      </c>
      <c r="I10" s="824">
        <f>$E$10*'Allocation Factors'!H17</f>
        <v>59.800080768025886</v>
      </c>
      <c r="J10" s="824">
        <f>$E$10*'Allocation Factors'!I17</f>
        <v>9.4255365612200119</v>
      </c>
      <c r="K10" s="824">
        <f>$E$10*'Allocation Factors'!J17</f>
        <v>7.6959590453677649</v>
      </c>
      <c r="L10" s="824">
        <f>$E$10*'Allocation Factors'!K17</f>
        <v>10.507447987764607</v>
      </c>
      <c r="M10" s="449"/>
      <c r="N10" s="799">
        <f t="shared" si="0"/>
        <v>0</v>
      </c>
    </row>
    <row r="11" spans="1:15" s="218" customFormat="1" x14ac:dyDescent="0.25">
      <c r="A11" s="449"/>
      <c r="B11" s="449"/>
      <c r="C11" s="449" t="s">
        <v>90</v>
      </c>
      <c r="D11" s="677"/>
      <c r="E11" s="678">
        <f>SUM(E9:E10)</f>
        <v>4636621.7574105542</v>
      </c>
      <c r="F11" s="678">
        <f t="shared" ref="F11:L11" si="1">SUM(F9:F10)</f>
        <v>3049624.4700356829</v>
      </c>
      <c r="G11" s="678">
        <f t="shared" si="1"/>
        <v>1112195.9863682874</v>
      </c>
      <c r="H11" s="678">
        <f t="shared" si="1"/>
        <v>244009.01793860618</v>
      </c>
      <c r="I11" s="678">
        <f t="shared" si="1"/>
        <v>118881.60555604864</v>
      </c>
      <c r="J11" s="678">
        <f t="shared" si="1"/>
        <v>12805.050443072219</v>
      </c>
      <c r="K11" s="678">
        <f t="shared" si="1"/>
        <v>92958.69391636824</v>
      </c>
      <c r="L11" s="678">
        <f t="shared" si="1"/>
        <v>6146.9331524883428</v>
      </c>
      <c r="M11" s="449"/>
      <c r="N11" s="799">
        <f t="shared" si="0"/>
        <v>0</v>
      </c>
      <c r="O11" s="799">
        <f>E11-'2019 CRM'!H29-'2019 CRM'!H35</f>
        <v>0</v>
      </c>
    </row>
    <row r="12" spans="1:15" s="218" customFormat="1" x14ac:dyDescent="0.25">
      <c r="A12" s="449"/>
      <c r="B12" s="449"/>
      <c r="C12" s="449"/>
      <c r="D12" s="677"/>
      <c r="E12" s="629"/>
      <c r="F12" s="629"/>
      <c r="G12" s="629"/>
      <c r="H12" s="629"/>
      <c r="I12" s="629"/>
      <c r="J12" s="629"/>
      <c r="K12" s="629"/>
      <c r="L12" s="629"/>
      <c r="M12" s="449"/>
      <c r="N12" s="799"/>
    </row>
    <row r="13" spans="1:15" s="449" customFormat="1" x14ac:dyDescent="0.25">
      <c r="B13" s="449" t="s">
        <v>53</v>
      </c>
      <c r="D13" s="677"/>
      <c r="E13" s="622"/>
      <c r="F13" s="622"/>
      <c r="G13" s="622"/>
      <c r="H13" s="622"/>
      <c r="I13" s="622"/>
      <c r="J13" s="622"/>
      <c r="K13" s="622"/>
      <c r="L13" s="622"/>
      <c r="N13" s="799"/>
    </row>
    <row r="14" spans="1:15" s="449" customFormat="1" x14ac:dyDescent="0.25">
      <c r="C14" s="449" t="s">
        <v>227</v>
      </c>
      <c r="D14" s="677">
        <v>376</v>
      </c>
      <c r="E14" s="803">
        <f>'2019 CRM'!$H$27*'CRM CAP Forecast(from2019filin)'!E23</f>
        <v>1478824.9839915903</v>
      </c>
      <c r="F14" s="92">
        <f>$E$14*'Allocation Factors'!E12</f>
        <v>972877.59709121089</v>
      </c>
      <c r="G14" s="92">
        <f>$E$14*'Allocation Factors'!F12</f>
        <v>354289.32958368293</v>
      </c>
      <c r="H14" s="92">
        <f>$E$14*'Allocation Factors'!G12</f>
        <v>77944.936362350301</v>
      </c>
      <c r="I14" s="92">
        <f>$E$14*'Allocation Factors'!H12</f>
        <v>37965.07080582402</v>
      </c>
      <c r="J14" s="92">
        <f>$E$14*'Allocation Factors'!I12</f>
        <v>4088.3641149647169</v>
      </c>
      <c r="K14" s="92">
        <f>$E$14*'Allocation Factors'!J12</f>
        <v>29699.020350737799</v>
      </c>
      <c r="L14" s="92">
        <f>$E$14*'Allocation Factors'!K12</f>
        <v>1960.6656828195514</v>
      </c>
      <c r="N14" s="799">
        <f t="shared" si="0"/>
        <v>0</v>
      </c>
    </row>
    <row r="15" spans="1:15" s="449" customFormat="1" x14ac:dyDescent="0.25">
      <c r="C15" s="449" t="s">
        <v>228</v>
      </c>
      <c r="D15" s="677">
        <v>380</v>
      </c>
      <c r="E15" s="803">
        <f>'2019 CRM'!$H$27*'CRM CAP Forecast(from2019filin)'!E24</f>
        <v>3445.1923915506541</v>
      </c>
      <c r="F15" s="92">
        <f>$E$15*'Allocation Factors'!E17</f>
        <v>1982.6428252721626</v>
      </c>
      <c r="G15" s="92">
        <f>$E$15*'Allocation Factors'!F17</f>
        <v>1401.1250654628004</v>
      </c>
      <c r="H15" s="92">
        <f>$E$15*'Allocation Factors'!G17</f>
        <v>24.891698519692824</v>
      </c>
      <c r="I15" s="92">
        <f>$E$15*'Allocation Factors'!H17</f>
        <v>24.987863514615015</v>
      </c>
      <c r="J15" s="92">
        <f>$E$15*'Allocation Factors'!I17</f>
        <v>3.9385234621574323</v>
      </c>
      <c r="K15" s="92">
        <f>$E$15*'Allocation Factors'!J17</f>
        <v>3.215807934870536</v>
      </c>
      <c r="L15" s="92">
        <f>$E$15*'Allocation Factors'!K17</f>
        <v>4.3906073843559748</v>
      </c>
      <c r="N15" s="799">
        <f t="shared" si="0"/>
        <v>0</v>
      </c>
    </row>
    <row r="16" spans="1:15" s="449" customFormat="1" x14ac:dyDescent="0.25">
      <c r="C16" s="449" t="s">
        <v>90</v>
      </c>
      <c r="E16" s="678">
        <f>SUM(E14:E15)</f>
        <v>1482270.176383141</v>
      </c>
      <c r="F16" s="678">
        <f t="shared" ref="F16:L16" si="2">SUM(F14:F15)</f>
        <v>974860.23991648306</v>
      </c>
      <c r="G16" s="678">
        <f t="shared" si="2"/>
        <v>355690.45464914571</v>
      </c>
      <c r="H16" s="678">
        <f t="shared" si="2"/>
        <v>77969.828060870001</v>
      </c>
      <c r="I16" s="678">
        <f t="shared" si="2"/>
        <v>37990.058669338636</v>
      </c>
      <c r="J16" s="678">
        <f t="shared" si="2"/>
        <v>4092.3026384268742</v>
      </c>
      <c r="K16" s="678">
        <f t="shared" si="2"/>
        <v>29702.236158672669</v>
      </c>
      <c r="L16" s="678">
        <f t="shared" si="2"/>
        <v>1965.0562902039073</v>
      </c>
      <c r="N16" s="799">
        <f t="shared" si="0"/>
        <v>0</v>
      </c>
      <c r="O16" s="799">
        <f>E16-'2019 CRM'!H27</f>
        <v>0</v>
      </c>
    </row>
    <row r="17" spans="1:15" s="449" customFormat="1" x14ac:dyDescent="0.25">
      <c r="E17" s="629"/>
      <c r="F17" s="629"/>
      <c r="G17" s="629"/>
      <c r="H17" s="629"/>
      <c r="I17" s="629"/>
      <c r="J17" s="629"/>
      <c r="K17" s="629"/>
      <c r="L17" s="629"/>
      <c r="N17" s="74"/>
      <c r="O17" s="799"/>
    </row>
    <row r="18" spans="1:15" s="449" customFormat="1" x14ac:dyDescent="0.25">
      <c r="E18" s="622"/>
      <c r="F18" s="622"/>
      <c r="G18" s="622"/>
      <c r="H18" s="622"/>
      <c r="I18" s="622"/>
      <c r="J18" s="622"/>
      <c r="K18" s="622"/>
      <c r="L18" s="622"/>
      <c r="N18" s="74"/>
    </row>
    <row r="19" spans="1:15" s="449" customFormat="1" x14ac:dyDescent="0.25">
      <c r="B19" s="449" t="s">
        <v>136</v>
      </c>
      <c r="E19" s="622">
        <f>E11+E16</f>
        <v>6118891.9337936956</v>
      </c>
      <c r="F19" s="622">
        <f t="shared" ref="F19:L19" si="3">F11+F16</f>
        <v>4024484.7099521658</v>
      </c>
      <c r="G19" s="622">
        <f t="shared" si="3"/>
        <v>1467886.4410174331</v>
      </c>
      <c r="H19" s="622">
        <f t="shared" si="3"/>
        <v>321978.84599947615</v>
      </c>
      <c r="I19" s="622">
        <f t="shared" si="3"/>
        <v>156871.66422538727</v>
      </c>
      <c r="J19" s="622">
        <f t="shared" si="3"/>
        <v>16897.353081499095</v>
      </c>
      <c r="K19" s="622">
        <f t="shared" si="3"/>
        <v>122660.9300750409</v>
      </c>
      <c r="L19" s="622">
        <f t="shared" si="3"/>
        <v>8111.9894426922501</v>
      </c>
      <c r="N19" s="799">
        <f t="shared" ref="N19" si="4">SUM(F19:L19)-E19</f>
        <v>0</v>
      </c>
    </row>
    <row r="20" spans="1:15" s="449" customFormat="1" x14ac:dyDescent="0.25">
      <c r="B20" s="449" t="s">
        <v>137</v>
      </c>
      <c r="E20" s="806">
        <f>'2019 GRC'!J40</f>
        <v>0.95255299999999998</v>
      </c>
      <c r="F20" s="622"/>
      <c r="G20" s="622"/>
      <c r="H20" s="622"/>
      <c r="I20" s="622"/>
      <c r="J20" s="622"/>
      <c r="K20" s="622"/>
      <c r="L20" s="622"/>
      <c r="N20" s="74"/>
    </row>
    <row r="21" spans="1:15" s="449" customFormat="1" x14ac:dyDescent="0.25">
      <c r="B21" s="87" t="s">
        <v>138</v>
      </c>
      <c r="C21" s="87"/>
      <c r="D21" s="87"/>
      <c r="E21" s="93">
        <f>E19/$E$20</f>
        <v>6423676.0933971079</v>
      </c>
      <c r="F21" s="93">
        <f t="shared" ref="F21:L21" si="5">F19/$E$20</f>
        <v>4224945.709007442</v>
      </c>
      <c r="G21" s="93">
        <f t="shared" si="5"/>
        <v>1541002.3809881792</v>
      </c>
      <c r="H21" s="93">
        <f t="shared" si="5"/>
        <v>338016.72557797428</v>
      </c>
      <c r="I21" s="93">
        <f t="shared" si="5"/>
        <v>164685.4970016233</v>
      </c>
      <c r="J21" s="93">
        <f t="shared" si="5"/>
        <v>17739.016182300718</v>
      </c>
      <c r="K21" s="93">
        <f t="shared" si="5"/>
        <v>128770.71414928188</v>
      </c>
      <c r="L21" s="93">
        <f t="shared" si="5"/>
        <v>8516.0504903057899</v>
      </c>
      <c r="N21" s="799">
        <f t="shared" ref="N21" si="6">SUM(F21:L21)-E21</f>
        <v>0</v>
      </c>
      <c r="O21" s="799">
        <f>E21-'Summary - Revenue Requirement'!B10</f>
        <v>0</v>
      </c>
    </row>
    <row r="22" spans="1:15" s="449" customFormat="1" x14ac:dyDescent="0.25">
      <c r="F22" s="622"/>
      <c r="G22" s="622"/>
      <c r="H22" s="622"/>
      <c r="I22" s="622"/>
      <c r="J22" s="622"/>
      <c r="K22" s="622"/>
      <c r="L22" s="622"/>
      <c r="N22" s="74"/>
    </row>
    <row r="23" spans="1:15" s="218" customFormat="1" x14ac:dyDescent="0.25">
      <c r="A23" s="449"/>
      <c r="B23" s="449" t="s">
        <v>139</v>
      </c>
      <c r="C23" s="449"/>
      <c r="D23" s="449"/>
      <c r="E23" s="825">
        <f>SUM(F23:L23)</f>
        <v>1</v>
      </c>
      <c r="F23" s="825">
        <f>F21/$E21</f>
        <v>0.65771462439556394</v>
      </c>
      <c r="G23" s="825">
        <f t="shared" ref="G23:L23" si="7">G21/$E21</f>
        <v>0.23989416007014652</v>
      </c>
      <c r="H23" s="825">
        <f t="shared" si="7"/>
        <v>5.2620449827073541E-2</v>
      </c>
      <c r="I23" s="825">
        <f t="shared" si="7"/>
        <v>2.5637266668987777E-2</v>
      </c>
      <c r="J23" s="825">
        <f t="shared" si="7"/>
        <v>2.7615053941674674E-3</v>
      </c>
      <c r="K23" s="825">
        <f t="shared" si="7"/>
        <v>2.0046265141177525E-2</v>
      </c>
      <c r="L23" s="825">
        <f t="shared" si="7"/>
        <v>1.325728502883175E-3</v>
      </c>
      <c r="M23" s="449"/>
      <c r="N23" s="449"/>
      <c r="O23" s="449"/>
    </row>
    <row r="24" spans="1:15" customFormat="1" x14ac:dyDescent="0.25">
      <c r="A24" s="620"/>
      <c r="B24" s="620"/>
      <c r="C24" s="620"/>
      <c r="D24" s="620"/>
      <c r="E24" s="620"/>
      <c r="F24" s="679"/>
      <c r="G24" s="679"/>
      <c r="H24" s="679"/>
      <c r="I24" s="679"/>
      <c r="J24" s="679"/>
      <c r="K24" s="679"/>
      <c r="L24" s="679"/>
      <c r="M24" s="620"/>
      <c r="N24" s="620"/>
      <c r="O24" s="169"/>
    </row>
    <row r="25" spans="1:15" customFormat="1" x14ac:dyDescent="0.25">
      <c r="A25" s="620"/>
      <c r="B25" s="620"/>
      <c r="C25" s="620"/>
      <c r="D25" s="620"/>
      <c r="E25" s="620"/>
      <c r="F25" s="620"/>
      <c r="G25" s="620"/>
      <c r="H25" s="620"/>
      <c r="I25" s="620"/>
      <c r="J25" s="620"/>
      <c r="K25" s="620"/>
      <c r="L25" s="620"/>
      <c r="M25" s="620"/>
      <c r="N25" s="620"/>
      <c r="O25" s="449"/>
    </row>
    <row r="26" spans="1:15" customFormat="1" x14ac:dyDescent="0.25">
      <c r="A26" s="620"/>
      <c r="B26" s="620"/>
      <c r="C26" s="620"/>
      <c r="D26" s="620"/>
      <c r="E26" s="620"/>
      <c r="F26" s="620"/>
      <c r="G26" s="620"/>
      <c r="H26" s="620"/>
      <c r="I26" s="620"/>
      <c r="J26" s="620"/>
      <c r="K26" s="620"/>
      <c r="L26" s="620"/>
      <c r="M26" s="620"/>
      <c r="N26" s="620"/>
      <c r="O26" s="449"/>
    </row>
    <row r="27" spans="1:15" customFormat="1" x14ac:dyDescent="0.25">
      <c r="A27" s="620"/>
      <c r="B27" s="620"/>
      <c r="C27" s="620"/>
      <c r="D27" s="620"/>
      <c r="E27" s="620"/>
      <c r="F27" s="620"/>
      <c r="G27" s="620"/>
      <c r="H27" s="620"/>
      <c r="I27" s="620"/>
      <c r="J27" s="620"/>
      <c r="K27" s="620"/>
      <c r="L27" s="620"/>
      <c r="M27" s="620"/>
      <c r="N27" s="620"/>
      <c r="O27" s="449"/>
    </row>
    <row r="28" spans="1:15" customFormat="1" x14ac:dyDescent="0.25">
      <c r="A28" s="620"/>
      <c r="B28" s="620"/>
      <c r="C28" s="620"/>
      <c r="D28" s="620"/>
      <c r="E28" s="620"/>
      <c r="F28" s="620"/>
      <c r="G28" s="620"/>
      <c r="H28" s="620"/>
      <c r="I28" s="620"/>
      <c r="J28" s="620"/>
      <c r="K28" s="620"/>
      <c r="L28" s="620"/>
      <c r="M28" s="620"/>
      <c r="N28" s="620"/>
    </row>
    <row r="29" spans="1:15" customFormat="1" x14ac:dyDescent="0.25">
      <c r="A29" s="620"/>
      <c r="B29" s="620"/>
      <c r="C29" s="620"/>
      <c r="D29" s="620"/>
      <c r="E29" s="620"/>
      <c r="F29" s="620"/>
      <c r="G29" s="620"/>
      <c r="H29" s="620"/>
      <c r="I29" s="620"/>
      <c r="J29" s="620"/>
      <c r="K29" s="620"/>
      <c r="L29" s="620"/>
      <c r="M29" s="620"/>
      <c r="N29" s="620"/>
    </row>
    <row r="30" spans="1:15" customFormat="1" x14ac:dyDescent="0.25">
      <c r="A30" s="620"/>
      <c r="B30" s="620"/>
      <c r="C30" s="620"/>
      <c r="D30" s="620"/>
      <c r="E30" s="620"/>
      <c r="F30" s="620"/>
      <c r="G30" s="620"/>
      <c r="H30" s="620"/>
      <c r="I30" s="620"/>
      <c r="J30" s="620"/>
      <c r="K30" s="620"/>
      <c r="L30" s="620"/>
      <c r="M30" s="620"/>
      <c r="N30" s="620"/>
    </row>
    <row r="31" spans="1:15" customFormat="1" x14ac:dyDescent="0.25">
      <c r="A31" s="620"/>
      <c r="B31" s="620"/>
      <c r="C31" s="620"/>
      <c r="D31" s="620"/>
      <c r="E31" s="620"/>
      <c r="F31" s="620"/>
      <c r="G31" s="620"/>
      <c r="H31" s="620"/>
      <c r="I31" s="620"/>
      <c r="J31" s="620"/>
      <c r="K31" s="620"/>
      <c r="L31" s="620"/>
      <c r="M31" s="620"/>
      <c r="N31" s="620"/>
    </row>
    <row r="32" spans="1:15" customFormat="1" x14ac:dyDescent="0.25">
      <c r="A32" s="620"/>
      <c r="B32" s="620"/>
      <c r="C32" s="620"/>
      <c r="D32" s="620"/>
      <c r="E32" s="620"/>
      <c r="F32" s="620"/>
      <c r="G32" s="620"/>
      <c r="H32" s="620"/>
      <c r="I32" s="620"/>
      <c r="J32" s="620"/>
      <c r="K32" s="620"/>
      <c r="L32" s="620"/>
      <c r="M32" s="620"/>
      <c r="N32" s="620"/>
    </row>
    <row r="33" spans="1:14" customFormat="1" x14ac:dyDescent="0.25">
      <c r="A33" s="620"/>
      <c r="B33" s="620"/>
      <c r="C33" s="620"/>
      <c r="D33" s="620"/>
      <c r="E33" s="620"/>
      <c r="F33" s="620"/>
      <c r="G33" s="620"/>
      <c r="H33" s="620"/>
      <c r="I33" s="620"/>
      <c r="J33" s="620"/>
      <c r="K33" s="620"/>
      <c r="L33" s="620"/>
      <c r="M33" s="620"/>
      <c r="N33" s="620"/>
    </row>
    <row r="34" spans="1:14" customFormat="1" x14ac:dyDescent="0.25">
      <c r="A34" s="620"/>
      <c r="B34" s="620"/>
      <c r="C34" s="620"/>
      <c r="D34" s="620"/>
      <c r="E34" s="620"/>
      <c r="F34" s="620"/>
      <c r="G34" s="620"/>
      <c r="H34" s="620"/>
      <c r="I34" s="620"/>
      <c r="J34" s="620"/>
      <c r="K34" s="620"/>
      <c r="L34" s="620"/>
      <c r="M34" s="620"/>
      <c r="N34" s="620"/>
    </row>
    <row r="35" spans="1:14" customFormat="1" x14ac:dyDescent="0.25">
      <c r="A35" s="620"/>
      <c r="B35" s="620"/>
      <c r="C35" s="620"/>
      <c r="D35" s="620"/>
      <c r="E35" s="620"/>
      <c r="F35" s="620"/>
      <c r="G35" s="620"/>
      <c r="H35" s="620"/>
      <c r="I35" s="620"/>
      <c r="J35" s="620"/>
      <c r="K35" s="620"/>
      <c r="L35" s="620"/>
      <c r="M35" s="620"/>
      <c r="N35" s="620"/>
    </row>
    <row r="36" spans="1:14" customFormat="1" x14ac:dyDescent="0.25">
      <c r="A36" s="620"/>
      <c r="B36" s="620"/>
      <c r="C36" s="620"/>
      <c r="D36" s="620"/>
      <c r="E36" s="620"/>
      <c r="F36" s="620"/>
      <c r="G36" s="620"/>
      <c r="H36" s="620"/>
      <c r="I36" s="620"/>
      <c r="J36" s="620"/>
      <c r="K36" s="620"/>
      <c r="L36" s="620"/>
      <c r="M36" s="620"/>
      <c r="N36" s="620"/>
    </row>
    <row r="37" spans="1:14" customFormat="1" x14ac:dyDescent="0.25">
      <c r="A37" s="620"/>
      <c r="B37" s="620"/>
      <c r="C37" s="620"/>
      <c r="D37" s="620"/>
      <c r="E37" s="620"/>
      <c r="F37" s="620"/>
      <c r="G37" s="620"/>
      <c r="H37" s="620"/>
      <c r="I37" s="620"/>
      <c r="J37" s="620"/>
      <c r="K37" s="620"/>
      <c r="L37" s="620"/>
      <c r="M37" s="620"/>
      <c r="N37" s="620"/>
    </row>
    <row r="38" spans="1:14" customFormat="1" x14ac:dyDescent="0.25">
      <c r="A38" s="620"/>
      <c r="B38" s="620"/>
      <c r="C38" s="620"/>
      <c r="D38" s="620"/>
      <c r="E38" s="620"/>
      <c r="F38" s="620"/>
      <c r="G38" s="620"/>
      <c r="H38" s="620"/>
      <c r="I38" s="620"/>
      <c r="J38" s="620"/>
      <c r="K38" s="620"/>
      <c r="L38" s="620"/>
      <c r="M38" s="620"/>
      <c r="N38" s="620"/>
    </row>
    <row r="39" spans="1:14" customFormat="1" x14ac:dyDescent="0.25">
      <c r="A39" s="620"/>
      <c r="B39" s="620"/>
      <c r="C39" s="620"/>
      <c r="D39" s="620"/>
      <c r="E39" s="620"/>
      <c r="F39" s="620"/>
      <c r="G39" s="620"/>
      <c r="H39" s="620"/>
      <c r="I39" s="620"/>
      <c r="J39" s="620"/>
      <c r="K39" s="620"/>
      <c r="L39" s="620"/>
      <c r="M39" s="620"/>
      <c r="N39" s="620"/>
    </row>
    <row r="40" spans="1:14" customFormat="1" x14ac:dyDescent="0.25">
      <c r="A40" s="620"/>
      <c r="B40" s="620"/>
      <c r="C40" s="620"/>
      <c r="D40" s="620"/>
      <c r="E40" s="620"/>
      <c r="F40" s="620"/>
      <c r="G40" s="620"/>
      <c r="H40" s="620"/>
      <c r="I40" s="620"/>
      <c r="J40" s="620"/>
      <c r="K40" s="620"/>
      <c r="L40" s="620"/>
      <c r="M40" s="620"/>
      <c r="N40" s="620"/>
    </row>
    <row r="41" spans="1:14" customFormat="1" x14ac:dyDescent="0.25">
      <c r="A41" s="620"/>
      <c r="B41" s="620"/>
      <c r="C41" s="620"/>
      <c r="D41" s="620"/>
      <c r="E41" s="620"/>
      <c r="F41" s="620"/>
      <c r="G41" s="620"/>
      <c r="H41" s="620"/>
      <c r="I41" s="620"/>
      <c r="J41" s="620"/>
      <c r="K41" s="620"/>
      <c r="L41" s="620"/>
      <c r="M41" s="620"/>
      <c r="N41" s="620"/>
    </row>
    <row r="42" spans="1:14" customFormat="1" x14ac:dyDescent="0.25">
      <c r="A42" s="620"/>
      <c r="B42" s="620"/>
      <c r="C42" s="620"/>
      <c r="D42" s="620"/>
      <c r="E42" s="620"/>
      <c r="F42" s="620"/>
      <c r="G42" s="620"/>
      <c r="H42" s="620"/>
      <c r="I42" s="620"/>
      <c r="J42" s="620"/>
      <c r="K42" s="620"/>
      <c r="L42" s="620"/>
      <c r="M42" s="620"/>
      <c r="N42" s="620"/>
    </row>
    <row r="43" spans="1:14" customFormat="1" x14ac:dyDescent="0.25">
      <c r="A43" s="620"/>
      <c r="B43" s="620"/>
      <c r="C43" s="620"/>
      <c r="D43" s="620"/>
      <c r="E43" s="620"/>
      <c r="F43" s="620"/>
      <c r="G43" s="620"/>
      <c r="H43" s="620"/>
      <c r="I43" s="620"/>
      <c r="J43" s="620"/>
      <c r="K43" s="620"/>
      <c r="L43" s="620"/>
      <c r="M43" s="620"/>
      <c r="N43" s="620"/>
    </row>
    <row r="44" spans="1:14" customFormat="1" x14ac:dyDescent="0.25">
      <c r="A44" s="620"/>
      <c r="B44" s="620"/>
      <c r="C44" s="620"/>
      <c r="D44" s="620"/>
      <c r="E44" s="620"/>
      <c r="F44" s="620"/>
      <c r="G44" s="620"/>
      <c r="H44" s="620"/>
      <c r="I44" s="620"/>
      <c r="J44" s="620"/>
      <c r="K44" s="620"/>
      <c r="L44" s="620"/>
      <c r="M44" s="620"/>
      <c r="N44" s="620"/>
    </row>
    <row r="45" spans="1:14" customFormat="1" x14ac:dyDescent="0.25">
      <c r="A45" s="620"/>
      <c r="B45" s="620"/>
      <c r="C45" s="620"/>
      <c r="D45" s="620"/>
      <c r="E45" s="620"/>
      <c r="F45" s="620"/>
      <c r="G45" s="620"/>
      <c r="H45" s="620"/>
      <c r="I45" s="620"/>
      <c r="J45" s="620"/>
      <c r="K45" s="620"/>
      <c r="L45" s="620"/>
      <c r="M45" s="620"/>
      <c r="N45" s="620"/>
    </row>
    <row r="46" spans="1:14" customFormat="1" x14ac:dyDescent="0.25">
      <c r="A46" s="620"/>
      <c r="B46" s="620"/>
      <c r="C46" s="620"/>
      <c r="D46" s="620"/>
      <c r="E46" s="620"/>
      <c r="F46" s="620"/>
      <c r="G46" s="620"/>
      <c r="H46" s="620"/>
      <c r="I46" s="620"/>
      <c r="J46" s="620"/>
      <c r="K46" s="620"/>
      <c r="L46" s="620"/>
      <c r="M46" s="620"/>
      <c r="N46" s="620"/>
    </row>
    <row r="47" spans="1:14" customFormat="1" x14ac:dyDescent="0.25">
      <c r="A47" s="620"/>
      <c r="B47" s="620"/>
      <c r="C47" s="620"/>
      <c r="D47" s="620"/>
      <c r="E47" s="620"/>
      <c r="F47" s="620"/>
      <c r="G47" s="620"/>
      <c r="H47" s="620"/>
      <c r="I47" s="620"/>
      <c r="J47" s="620"/>
      <c r="K47" s="620"/>
      <c r="L47" s="620"/>
      <c r="M47" s="620"/>
      <c r="N47" s="620"/>
    </row>
    <row r="48" spans="1:14" customFormat="1" x14ac:dyDescent="0.25">
      <c r="A48" s="620"/>
      <c r="B48" s="620"/>
      <c r="C48" s="620"/>
      <c r="D48" s="620"/>
      <c r="E48" s="620"/>
      <c r="F48" s="620"/>
      <c r="G48" s="620"/>
      <c r="H48" s="620"/>
      <c r="I48" s="620"/>
      <c r="J48" s="620"/>
      <c r="K48" s="620"/>
      <c r="L48" s="620"/>
      <c r="M48" s="620"/>
      <c r="N48" s="620"/>
    </row>
    <row r="49" spans="1:14" customFormat="1" x14ac:dyDescent="0.25">
      <c r="A49" s="620"/>
      <c r="B49" s="620"/>
      <c r="C49" s="620"/>
      <c r="D49" s="620"/>
      <c r="E49" s="620"/>
      <c r="F49" s="620"/>
      <c r="G49" s="620"/>
      <c r="H49" s="620"/>
      <c r="I49" s="620"/>
      <c r="J49" s="620"/>
      <c r="K49" s="620"/>
      <c r="L49" s="620"/>
      <c r="M49" s="620"/>
      <c r="N49" s="620"/>
    </row>
    <row r="50" spans="1:14" customFormat="1" x14ac:dyDescent="0.25">
      <c r="A50" s="620"/>
      <c r="B50" s="620"/>
      <c r="C50" s="620"/>
      <c r="D50" s="620"/>
      <c r="E50" s="620"/>
      <c r="F50" s="620"/>
      <c r="G50" s="620"/>
      <c r="H50" s="620"/>
      <c r="I50" s="620"/>
      <c r="J50" s="620"/>
      <c r="K50" s="620"/>
      <c r="L50" s="620"/>
      <c r="M50" s="620"/>
      <c r="N50" s="620"/>
    </row>
    <row r="51" spans="1:14" customFormat="1" x14ac:dyDescent="0.25">
      <c r="A51" s="620"/>
      <c r="B51" s="620"/>
      <c r="C51" s="620"/>
      <c r="D51" s="620"/>
      <c r="E51" s="620"/>
      <c r="F51" s="620"/>
      <c r="G51" s="620"/>
      <c r="H51" s="620"/>
      <c r="I51" s="620"/>
      <c r="J51" s="620"/>
      <c r="K51" s="620"/>
      <c r="L51" s="620"/>
      <c r="M51" s="620"/>
      <c r="N51" s="620"/>
    </row>
    <row r="52" spans="1:14" customFormat="1" x14ac:dyDescent="0.25">
      <c r="A52" s="620"/>
      <c r="B52" s="620"/>
      <c r="C52" s="620"/>
      <c r="D52" s="620"/>
      <c r="E52" s="620"/>
      <c r="F52" s="620"/>
      <c r="G52" s="620"/>
      <c r="H52" s="620"/>
      <c r="I52" s="620"/>
      <c r="J52" s="620"/>
      <c r="K52" s="620"/>
      <c r="L52" s="620"/>
      <c r="M52" s="620"/>
      <c r="N52" s="620"/>
    </row>
    <row r="53" spans="1:14" customFormat="1" x14ac:dyDescent="0.25">
      <c r="A53" s="620"/>
      <c r="B53" s="620"/>
      <c r="C53" s="620"/>
      <c r="D53" s="620"/>
      <c r="E53" s="620"/>
      <c r="F53" s="620"/>
      <c r="G53" s="620"/>
      <c r="H53" s="620"/>
      <c r="I53" s="620"/>
      <c r="J53" s="620"/>
      <c r="K53" s="620"/>
      <c r="L53" s="620"/>
      <c r="M53" s="620"/>
      <c r="N53" s="620"/>
    </row>
    <row r="54" spans="1:14" customFormat="1" x14ac:dyDescent="0.25">
      <c r="A54" s="620"/>
      <c r="B54" s="620"/>
      <c r="C54" s="620"/>
      <c r="D54" s="620"/>
      <c r="E54" s="620"/>
      <c r="F54" s="620"/>
      <c r="G54" s="620"/>
      <c r="H54" s="620"/>
      <c r="I54" s="620"/>
      <c r="J54" s="620"/>
      <c r="K54" s="620"/>
      <c r="L54" s="620"/>
      <c r="M54" s="620"/>
      <c r="N54" s="620"/>
    </row>
    <row r="55" spans="1:14" customFormat="1" x14ac:dyDescent="0.25">
      <c r="A55" s="620"/>
      <c r="B55" s="620"/>
      <c r="C55" s="620"/>
      <c r="D55" s="620"/>
      <c r="E55" s="620"/>
      <c r="F55" s="620"/>
      <c r="G55" s="620"/>
      <c r="H55" s="620"/>
      <c r="I55" s="620"/>
      <c r="J55" s="620"/>
      <c r="K55" s="620"/>
      <c r="L55" s="620"/>
      <c r="M55" s="620"/>
      <c r="N55" s="620"/>
    </row>
    <row r="56" spans="1:14" customFormat="1" x14ac:dyDescent="0.25">
      <c r="A56" s="620"/>
      <c r="B56" s="620"/>
      <c r="C56" s="620"/>
      <c r="D56" s="620"/>
      <c r="E56" s="620"/>
      <c r="F56" s="620"/>
      <c r="G56" s="620"/>
      <c r="H56" s="620"/>
      <c r="I56" s="620"/>
      <c r="J56" s="620"/>
      <c r="K56" s="620"/>
      <c r="L56" s="620"/>
      <c r="M56" s="620"/>
      <c r="N56" s="620"/>
    </row>
    <row r="57" spans="1:14" customFormat="1" x14ac:dyDescent="0.25">
      <c r="A57" s="620"/>
      <c r="B57" s="620"/>
      <c r="C57" s="620"/>
      <c r="D57" s="620"/>
      <c r="E57" s="620"/>
      <c r="F57" s="620"/>
      <c r="G57" s="620"/>
      <c r="H57" s="620"/>
      <c r="I57" s="620"/>
      <c r="J57" s="620"/>
      <c r="K57" s="620"/>
      <c r="L57" s="620"/>
      <c r="M57" s="620"/>
      <c r="N57" s="620"/>
    </row>
    <row r="58" spans="1:14" customFormat="1" x14ac:dyDescent="0.25">
      <c r="A58" s="620"/>
      <c r="B58" s="620"/>
      <c r="C58" s="620"/>
      <c r="D58" s="620"/>
      <c r="E58" s="620"/>
      <c r="F58" s="620"/>
      <c r="G58" s="620"/>
      <c r="H58" s="620"/>
      <c r="I58" s="620"/>
      <c r="J58" s="620"/>
      <c r="K58" s="620"/>
      <c r="L58" s="620"/>
      <c r="M58" s="620"/>
      <c r="N58" s="620"/>
    </row>
    <row r="59" spans="1:14" customFormat="1" x14ac:dyDescent="0.25">
      <c r="A59" s="620"/>
      <c r="B59" s="620"/>
      <c r="C59" s="620"/>
      <c r="D59" s="620"/>
      <c r="E59" s="620"/>
      <c r="F59" s="620"/>
      <c r="G59" s="620"/>
      <c r="H59" s="620"/>
      <c r="I59" s="620"/>
      <c r="J59" s="620"/>
      <c r="K59" s="620"/>
      <c r="L59" s="620"/>
      <c r="M59" s="620"/>
      <c r="N59" s="620"/>
    </row>
    <row r="60" spans="1:14" customFormat="1" x14ac:dyDescent="0.25">
      <c r="A60" s="620"/>
      <c r="B60" s="620"/>
      <c r="C60" s="620"/>
      <c r="D60" s="620"/>
      <c r="E60" s="620"/>
      <c r="F60" s="620"/>
      <c r="G60" s="620"/>
      <c r="H60" s="620"/>
      <c r="I60" s="620"/>
      <c r="J60" s="620"/>
      <c r="K60" s="620"/>
      <c r="L60" s="620"/>
      <c r="M60" s="620"/>
      <c r="N60" s="620"/>
    </row>
    <row r="61" spans="1:14" customFormat="1" x14ac:dyDescent="0.25">
      <c r="A61" s="620"/>
      <c r="B61" s="620"/>
      <c r="C61" s="620"/>
      <c r="D61" s="620"/>
      <c r="E61" s="620"/>
      <c r="F61" s="620"/>
      <c r="G61" s="620"/>
      <c r="H61" s="620"/>
      <c r="I61" s="620"/>
      <c r="J61" s="620"/>
      <c r="K61" s="620"/>
      <c r="L61" s="620"/>
      <c r="M61" s="620"/>
      <c r="N61" s="620"/>
    </row>
    <row r="62" spans="1:14" customFormat="1" x14ac:dyDescent="0.25">
      <c r="A62" s="620"/>
      <c r="B62" s="620"/>
      <c r="C62" s="620"/>
      <c r="D62" s="620"/>
      <c r="E62" s="620"/>
      <c r="F62" s="620"/>
      <c r="G62" s="620"/>
      <c r="H62" s="620"/>
      <c r="I62" s="620"/>
      <c r="J62" s="620"/>
      <c r="K62" s="620"/>
      <c r="L62" s="620"/>
      <c r="M62" s="620"/>
      <c r="N62" s="620"/>
    </row>
    <row r="63" spans="1:14" customFormat="1" x14ac:dyDescent="0.25">
      <c r="A63" s="620"/>
      <c r="B63" s="620"/>
      <c r="C63" s="620"/>
      <c r="D63" s="620"/>
      <c r="E63" s="620"/>
      <c r="F63" s="620"/>
      <c r="G63" s="620"/>
      <c r="H63" s="620"/>
      <c r="I63" s="620"/>
      <c r="J63" s="620"/>
      <c r="K63" s="620"/>
      <c r="L63" s="620"/>
      <c r="M63" s="620"/>
      <c r="N63" s="620"/>
    </row>
    <row r="64" spans="1:14" customFormat="1" x14ac:dyDescent="0.25">
      <c r="A64" s="620"/>
      <c r="B64" s="620"/>
      <c r="C64" s="620"/>
      <c r="D64" s="620"/>
      <c r="E64" s="620"/>
      <c r="F64" s="620"/>
      <c r="G64" s="620"/>
      <c r="H64" s="620"/>
      <c r="I64" s="620"/>
      <c r="J64" s="620"/>
      <c r="K64" s="620"/>
      <c r="L64" s="620"/>
      <c r="M64" s="620"/>
      <c r="N64" s="620"/>
    </row>
    <row r="65" spans="1:14" customFormat="1" x14ac:dyDescent="0.25">
      <c r="A65" s="620"/>
      <c r="B65" s="620"/>
      <c r="C65" s="620"/>
      <c r="D65" s="620"/>
      <c r="E65" s="620"/>
      <c r="F65" s="620"/>
      <c r="G65" s="620"/>
      <c r="H65" s="620"/>
      <c r="I65" s="620"/>
      <c r="J65" s="620"/>
      <c r="K65" s="620"/>
      <c r="L65" s="620"/>
      <c r="M65" s="620"/>
      <c r="N65" s="620"/>
    </row>
    <row r="66" spans="1:14" customFormat="1" x14ac:dyDescent="0.25">
      <c r="A66" s="620"/>
      <c r="B66" s="620"/>
      <c r="C66" s="620"/>
      <c r="D66" s="620"/>
      <c r="E66" s="620"/>
      <c r="F66" s="620"/>
      <c r="G66" s="620"/>
      <c r="H66" s="620"/>
      <c r="I66" s="620"/>
      <c r="J66" s="620"/>
      <c r="K66" s="620"/>
      <c r="L66" s="620"/>
      <c r="M66" s="620"/>
      <c r="N66" s="620"/>
    </row>
    <row r="67" spans="1:14" customFormat="1" x14ac:dyDescent="0.25">
      <c r="A67" s="620"/>
      <c r="B67" s="620"/>
      <c r="C67" s="620"/>
      <c r="D67" s="620"/>
      <c r="E67" s="620"/>
      <c r="F67" s="620"/>
      <c r="G67" s="620"/>
      <c r="H67" s="620"/>
      <c r="I67" s="620"/>
      <c r="J67" s="620"/>
      <c r="K67" s="620"/>
      <c r="L67" s="620"/>
      <c r="M67" s="620"/>
      <c r="N67" s="620"/>
    </row>
    <row r="68" spans="1:14" customFormat="1" x14ac:dyDescent="0.25">
      <c r="A68" s="620"/>
      <c r="B68" s="620"/>
      <c r="C68" s="620"/>
      <c r="D68" s="620"/>
      <c r="E68" s="620"/>
      <c r="F68" s="620"/>
      <c r="G68" s="620"/>
      <c r="H68" s="620"/>
      <c r="I68" s="620"/>
      <c r="J68" s="620"/>
      <c r="K68" s="620"/>
      <c r="L68" s="620"/>
      <c r="M68" s="620"/>
      <c r="N68" s="620"/>
    </row>
    <row r="69" spans="1:14" customFormat="1" x14ac:dyDescent="0.25">
      <c r="A69" s="620"/>
      <c r="B69" s="620"/>
      <c r="C69" s="620"/>
      <c r="D69" s="620"/>
      <c r="E69" s="620"/>
      <c r="F69" s="620"/>
      <c r="G69" s="620"/>
      <c r="H69" s="620"/>
      <c r="I69" s="620"/>
      <c r="J69" s="620"/>
      <c r="K69" s="620"/>
      <c r="L69" s="620"/>
      <c r="M69" s="620"/>
      <c r="N69" s="620"/>
    </row>
    <row r="70" spans="1:14" customFormat="1" x14ac:dyDescent="0.25">
      <c r="A70" s="620"/>
      <c r="B70" s="620"/>
      <c r="C70" s="620"/>
      <c r="D70" s="620"/>
      <c r="E70" s="620"/>
      <c r="F70" s="620"/>
      <c r="G70" s="620"/>
      <c r="H70" s="620"/>
      <c r="I70" s="620"/>
      <c r="J70" s="620"/>
      <c r="K70" s="620"/>
      <c r="L70" s="620"/>
      <c r="M70" s="620"/>
      <c r="N70" s="620"/>
    </row>
    <row r="71" spans="1:14" customFormat="1" x14ac:dyDescent="0.25">
      <c r="A71" s="620"/>
      <c r="B71" s="620"/>
      <c r="C71" s="620"/>
      <c r="D71" s="620"/>
      <c r="E71" s="620"/>
      <c r="F71" s="620"/>
      <c r="G71" s="620"/>
      <c r="H71" s="620"/>
      <c r="I71" s="620"/>
      <c r="J71" s="620"/>
      <c r="K71" s="620"/>
      <c r="L71" s="620"/>
      <c r="M71" s="620"/>
      <c r="N71" s="620"/>
    </row>
    <row r="72" spans="1:14" customFormat="1" x14ac:dyDescent="0.25">
      <c r="A72" s="620"/>
      <c r="B72" s="620"/>
      <c r="C72" s="620"/>
      <c r="D72" s="620"/>
      <c r="E72" s="620"/>
      <c r="F72" s="620"/>
      <c r="G72" s="620"/>
      <c r="H72" s="620"/>
      <c r="I72" s="620"/>
      <c r="J72" s="620"/>
      <c r="K72" s="620"/>
      <c r="L72" s="620"/>
      <c r="M72" s="620"/>
      <c r="N72" s="620"/>
    </row>
    <row r="73" spans="1:14" customFormat="1" x14ac:dyDescent="0.25">
      <c r="A73" s="620"/>
      <c r="B73" s="620"/>
      <c r="C73" s="620"/>
      <c r="D73" s="620"/>
      <c r="E73" s="620"/>
      <c r="F73" s="620"/>
      <c r="G73" s="620"/>
      <c r="H73" s="620"/>
      <c r="I73" s="620"/>
      <c r="J73" s="620"/>
      <c r="K73" s="620"/>
      <c r="L73" s="620"/>
      <c r="M73" s="620"/>
      <c r="N73" s="620"/>
    </row>
    <row r="74" spans="1:14" customFormat="1" x14ac:dyDescent="0.25">
      <c r="A74" s="620"/>
      <c r="B74" s="620"/>
      <c r="C74" s="620"/>
      <c r="D74" s="620"/>
      <c r="E74" s="620"/>
      <c r="F74" s="620"/>
      <c r="G74" s="620"/>
      <c r="H74" s="620"/>
      <c r="I74" s="620"/>
      <c r="J74" s="620"/>
      <c r="K74" s="620"/>
      <c r="L74" s="620"/>
      <c r="M74" s="620"/>
      <c r="N74" s="620"/>
    </row>
    <row r="75" spans="1:14" customFormat="1" x14ac:dyDescent="0.25">
      <c r="A75" s="620"/>
      <c r="B75" s="620"/>
      <c r="C75" s="620"/>
      <c r="D75" s="620"/>
      <c r="E75" s="620"/>
      <c r="F75" s="620"/>
      <c r="G75" s="620"/>
      <c r="H75" s="620"/>
      <c r="I75" s="620"/>
      <c r="J75" s="620"/>
      <c r="K75" s="620"/>
      <c r="L75" s="620"/>
      <c r="M75" s="620"/>
      <c r="N75" s="620"/>
    </row>
    <row r="76" spans="1:14" customFormat="1" x14ac:dyDescent="0.25">
      <c r="A76" s="620"/>
      <c r="B76" s="620"/>
      <c r="C76" s="620"/>
      <c r="D76" s="620"/>
      <c r="E76" s="620"/>
      <c r="F76" s="620"/>
      <c r="G76" s="620"/>
      <c r="H76" s="620"/>
      <c r="I76" s="620"/>
      <c r="J76" s="620"/>
      <c r="K76" s="620"/>
      <c r="L76" s="620"/>
      <c r="M76" s="620"/>
      <c r="N76" s="620"/>
    </row>
    <row r="77" spans="1:14" customFormat="1" x14ac:dyDescent="0.25">
      <c r="A77" s="620"/>
      <c r="B77" s="620"/>
      <c r="C77" s="620"/>
      <c r="D77" s="620"/>
      <c r="E77" s="620"/>
      <c r="F77" s="620"/>
      <c r="G77" s="620"/>
      <c r="H77" s="620"/>
      <c r="I77" s="620"/>
      <c r="J77" s="620"/>
      <c r="K77" s="620"/>
      <c r="L77" s="620"/>
      <c r="M77" s="620"/>
      <c r="N77" s="620"/>
    </row>
    <row r="78" spans="1:14" customFormat="1" x14ac:dyDescent="0.25">
      <c r="A78" s="620"/>
      <c r="B78" s="620"/>
      <c r="C78" s="620"/>
      <c r="D78" s="620"/>
      <c r="E78" s="620"/>
      <c r="F78" s="620"/>
      <c r="G78" s="620"/>
      <c r="H78" s="620"/>
      <c r="I78" s="620"/>
      <c r="J78" s="620"/>
      <c r="K78" s="620"/>
      <c r="L78" s="620"/>
      <c r="M78" s="620"/>
      <c r="N78" s="620"/>
    </row>
    <row r="79" spans="1:14" customFormat="1" x14ac:dyDescent="0.25">
      <c r="A79" s="620"/>
      <c r="B79" s="620"/>
      <c r="C79" s="620"/>
      <c r="D79" s="620"/>
      <c r="E79" s="620"/>
      <c r="F79" s="620"/>
      <c r="G79" s="620"/>
      <c r="H79" s="620"/>
      <c r="I79" s="620"/>
      <c r="J79" s="620"/>
      <c r="K79" s="620"/>
      <c r="L79" s="620"/>
      <c r="M79" s="620"/>
      <c r="N79" s="620"/>
    </row>
    <row r="80" spans="1:14" customFormat="1" x14ac:dyDescent="0.25">
      <c r="A80" s="620"/>
      <c r="B80" s="620"/>
      <c r="C80" s="620"/>
      <c r="D80" s="620"/>
      <c r="E80" s="620"/>
      <c r="F80" s="620"/>
      <c r="G80" s="620"/>
      <c r="H80" s="620"/>
      <c r="I80" s="620"/>
      <c r="J80" s="620"/>
      <c r="K80" s="620"/>
      <c r="L80" s="620"/>
      <c r="M80" s="620"/>
      <c r="N80" s="620"/>
    </row>
    <row r="81" spans="1:14" customFormat="1" x14ac:dyDescent="0.25">
      <c r="A81" s="620"/>
      <c r="B81" s="620"/>
      <c r="C81" s="620"/>
      <c r="D81" s="620"/>
      <c r="E81" s="620"/>
      <c r="F81" s="620"/>
      <c r="G81" s="620"/>
      <c r="H81" s="620"/>
      <c r="I81" s="620"/>
      <c r="J81" s="620"/>
      <c r="K81" s="620"/>
      <c r="L81" s="620"/>
      <c r="M81" s="620"/>
      <c r="N81" s="620"/>
    </row>
    <row r="82" spans="1:14" customFormat="1" x14ac:dyDescent="0.25">
      <c r="A82" s="620"/>
      <c r="B82" s="620"/>
      <c r="C82" s="620"/>
      <c r="D82" s="620"/>
      <c r="E82" s="620"/>
      <c r="F82" s="620"/>
      <c r="G82" s="620"/>
      <c r="H82" s="620"/>
      <c r="I82" s="620"/>
      <c r="J82" s="620"/>
      <c r="K82" s="620"/>
      <c r="L82" s="620"/>
      <c r="M82" s="620"/>
      <c r="N82" s="620"/>
    </row>
    <row r="83" spans="1:14" customFormat="1" x14ac:dyDescent="0.25">
      <c r="A83" s="620"/>
      <c r="B83" s="620"/>
      <c r="C83" s="620"/>
      <c r="D83" s="620"/>
      <c r="E83" s="620"/>
      <c r="F83" s="620"/>
      <c r="G83" s="620"/>
      <c r="H83" s="620"/>
      <c r="I83" s="620"/>
      <c r="J83" s="620"/>
      <c r="K83" s="620"/>
      <c r="L83" s="620"/>
      <c r="M83" s="620"/>
      <c r="N83" s="620"/>
    </row>
    <row r="84" spans="1:14" customFormat="1" x14ac:dyDescent="0.25">
      <c r="A84" s="620"/>
      <c r="B84" s="620"/>
      <c r="C84" s="620"/>
      <c r="D84" s="620"/>
      <c r="E84" s="620"/>
      <c r="F84" s="620"/>
      <c r="G84" s="620"/>
      <c r="H84" s="620"/>
      <c r="I84" s="620"/>
      <c r="J84" s="620"/>
      <c r="K84" s="620"/>
      <c r="L84" s="620"/>
      <c r="M84" s="620"/>
      <c r="N84" s="620"/>
    </row>
    <row r="85" spans="1:14" customFormat="1" x14ac:dyDescent="0.25">
      <c r="A85" s="620"/>
      <c r="B85" s="620"/>
      <c r="C85" s="620"/>
      <c r="D85" s="620"/>
      <c r="E85" s="620"/>
      <c r="F85" s="620"/>
      <c r="G85" s="620"/>
      <c r="H85" s="620"/>
      <c r="I85" s="620"/>
      <c r="J85" s="620"/>
      <c r="K85" s="620"/>
      <c r="L85" s="620"/>
      <c r="M85" s="620"/>
      <c r="N85" s="620"/>
    </row>
    <row r="86" spans="1:14" customFormat="1" x14ac:dyDescent="0.25">
      <c r="A86" s="620"/>
      <c r="B86" s="620"/>
      <c r="C86" s="620"/>
      <c r="D86" s="620"/>
      <c r="E86" s="620"/>
      <c r="F86" s="620"/>
      <c r="G86" s="620"/>
      <c r="H86" s="620"/>
      <c r="I86" s="620"/>
      <c r="J86" s="620"/>
      <c r="K86" s="620"/>
      <c r="L86" s="620"/>
      <c r="M86" s="620"/>
      <c r="N86" s="620"/>
    </row>
    <row r="87" spans="1:14" customFormat="1" x14ac:dyDescent="0.25">
      <c r="A87" s="620"/>
      <c r="B87" s="620"/>
      <c r="C87" s="620"/>
      <c r="D87" s="620"/>
      <c r="E87" s="620"/>
      <c r="F87" s="620"/>
      <c r="G87" s="620"/>
      <c r="H87" s="620"/>
      <c r="I87" s="620"/>
      <c r="J87" s="620"/>
      <c r="K87" s="620"/>
      <c r="L87" s="620"/>
      <c r="M87" s="620"/>
      <c r="N87" s="620"/>
    </row>
    <row r="88" spans="1:14" customFormat="1" x14ac:dyDescent="0.25">
      <c r="A88" s="620"/>
      <c r="B88" s="620"/>
      <c r="C88" s="620"/>
      <c r="D88" s="620"/>
      <c r="E88" s="620"/>
      <c r="F88" s="620"/>
      <c r="G88" s="620"/>
      <c r="H88" s="620"/>
      <c r="I88" s="620"/>
      <c r="J88" s="620"/>
      <c r="K88" s="620"/>
      <c r="L88" s="620"/>
      <c r="M88" s="620"/>
      <c r="N88" s="620"/>
    </row>
    <row r="89" spans="1:14" customFormat="1" x14ac:dyDescent="0.25">
      <c r="A89" s="620"/>
      <c r="B89" s="620"/>
      <c r="C89" s="620"/>
      <c r="D89" s="620"/>
      <c r="E89" s="620"/>
      <c r="F89" s="620"/>
      <c r="G89" s="620"/>
      <c r="H89" s="620"/>
      <c r="I89" s="620"/>
      <c r="J89" s="620"/>
      <c r="K89" s="620"/>
      <c r="L89" s="620"/>
      <c r="M89" s="620"/>
      <c r="N89" s="620"/>
    </row>
    <row r="90" spans="1:14" customFormat="1" x14ac:dyDescent="0.25">
      <c r="A90" s="620"/>
      <c r="B90" s="620"/>
      <c r="C90" s="620"/>
      <c r="D90" s="620"/>
      <c r="E90" s="620"/>
      <c r="F90" s="620"/>
      <c r="G90" s="620"/>
      <c r="H90" s="620"/>
      <c r="I90" s="620"/>
      <c r="J90" s="620"/>
      <c r="K90" s="620"/>
      <c r="L90" s="620"/>
      <c r="M90" s="620"/>
      <c r="N90" s="620"/>
    </row>
    <row r="91" spans="1:14" customFormat="1" x14ac:dyDescent="0.25">
      <c r="A91" s="620"/>
      <c r="B91" s="620"/>
      <c r="C91" s="620"/>
      <c r="D91" s="620"/>
      <c r="E91" s="620"/>
      <c r="F91" s="620"/>
      <c r="G91" s="620"/>
      <c r="H91" s="620"/>
      <c r="I91" s="620"/>
      <c r="J91" s="620"/>
      <c r="K91" s="620"/>
      <c r="L91" s="620"/>
      <c r="M91" s="620"/>
      <c r="N91" s="620"/>
    </row>
    <row r="92" spans="1:14" customFormat="1" x14ac:dyDescent="0.25">
      <c r="A92" s="620"/>
      <c r="B92" s="620"/>
      <c r="C92" s="620"/>
      <c r="D92" s="620"/>
      <c r="E92" s="620"/>
      <c r="F92" s="620"/>
      <c r="G92" s="620"/>
      <c r="H92" s="620"/>
      <c r="I92" s="620"/>
      <c r="J92" s="620"/>
      <c r="K92" s="620"/>
      <c r="L92" s="620"/>
      <c r="M92" s="620"/>
      <c r="N92" s="620"/>
    </row>
    <row r="93" spans="1:14" customFormat="1" x14ac:dyDescent="0.25">
      <c r="A93" s="620"/>
      <c r="B93" s="620"/>
      <c r="C93" s="620"/>
      <c r="D93" s="620"/>
      <c r="E93" s="620"/>
      <c r="F93" s="620"/>
      <c r="G93" s="620"/>
      <c r="H93" s="620"/>
      <c r="I93" s="620"/>
      <c r="J93" s="620"/>
      <c r="K93" s="620"/>
      <c r="L93" s="620"/>
      <c r="M93" s="620"/>
      <c r="N93" s="620"/>
    </row>
    <row r="94" spans="1:14" customFormat="1" x14ac:dyDescent="0.25">
      <c r="A94" s="620"/>
      <c r="B94" s="620"/>
      <c r="C94" s="620"/>
      <c r="D94" s="620"/>
      <c r="E94" s="620"/>
      <c r="F94" s="620"/>
      <c r="G94" s="620"/>
      <c r="H94" s="620"/>
      <c r="I94" s="620"/>
      <c r="J94" s="620"/>
      <c r="K94" s="620"/>
      <c r="L94" s="620"/>
      <c r="M94" s="620"/>
      <c r="N94" s="620"/>
    </row>
    <row r="95" spans="1:14" customFormat="1" x14ac:dyDescent="0.25">
      <c r="A95" s="620"/>
      <c r="B95" s="620"/>
      <c r="C95" s="620"/>
      <c r="D95" s="620"/>
      <c r="E95" s="620"/>
      <c r="F95" s="620"/>
      <c r="G95" s="620"/>
      <c r="H95" s="620"/>
      <c r="I95" s="620"/>
      <c r="J95" s="620"/>
      <c r="K95" s="620"/>
      <c r="L95" s="620"/>
      <c r="M95" s="620"/>
      <c r="N95" s="620"/>
    </row>
    <row r="96" spans="1:14" customFormat="1" x14ac:dyDescent="0.25">
      <c r="A96" s="620"/>
      <c r="B96" s="620"/>
      <c r="C96" s="620"/>
      <c r="D96" s="620"/>
      <c r="E96" s="620"/>
      <c r="F96" s="620"/>
      <c r="G96" s="620"/>
      <c r="H96" s="620"/>
      <c r="I96" s="620"/>
      <c r="J96" s="620"/>
      <c r="K96" s="620"/>
      <c r="L96" s="620"/>
      <c r="M96" s="620"/>
      <c r="N96" s="620"/>
    </row>
    <row r="97" spans="1:14" customFormat="1" x14ac:dyDescent="0.25">
      <c r="A97" s="620"/>
      <c r="B97" s="620"/>
      <c r="C97" s="620"/>
      <c r="D97" s="620"/>
      <c r="E97" s="620"/>
      <c r="F97" s="620"/>
      <c r="G97" s="620"/>
      <c r="H97" s="620"/>
      <c r="I97" s="620"/>
      <c r="J97" s="620"/>
      <c r="K97" s="620"/>
      <c r="L97" s="620"/>
      <c r="M97" s="620"/>
      <c r="N97" s="620"/>
    </row>
    <row r="98" spans="1:14" customFormat="1" x14ac:dyDescent="0.25">
      <c r="A98" s="620"/>
      <c r="B98" s="620"/>
      <c r="C98" s="620"/>
      <c r="D98" s="620"/>
      <c r="E98" s="620"/>
      <c r="F98" s="620"/>
      <c r="G98" s="620"/>
      <c r="H98" s="620"/>
      <c r="I98" s="620"/>
      <c r="J98" s="620"/>
      <c r="K98" s="620"/>
      <c r="L98" s="620"/>
      <c r="M98" s="620"/>
      <c r="N98" s="620"/>
    </row>
    <row r="99" spans="1:14" customFormat="1" x14ac:dyDescent="0.25">
      <c r="A99" s="620"/>
      <c r="B99" s="620"/>
      <c r="C99" s="620"/>
      <c r="D99" s="620"/>
      <c r="E99" s="620"/>
      <c r="F99" s="620"/>
      <c r="G99" s="620"/>
      <c r="H99" s="620"/>
      <c r="I99" s="620"/>
      <c r="J99" s="620"/>
      <c r="K99" s="620"/>
      <c r="L99" s="620"/>
      <c r="M99" s="620"/>
      <c r="N99" s="620"/>
    </row>
    <row r="100" spans="1:14" customFormat="1" x14ac:dyDescent="0.25">
      <c r="A100" s="620"/>
      <c r="B100" s="620"/>
      <c r="C100" s="620"/>
      <c r="D100" s="620"/>
      <c r="E100" s="620"/>
      <c r="F100" s="620"/>
      <c r="G100" s="620"/>
      <c r="H100" s="620"/>
      <c r="I100" s="620"/>
      <c r="J100" s="620"/>
      <c r="K100" s="620"/>
      <c r="L100" s="620"/>
      <c r="M100" s="620"/>
      <c r="N100" s="620"/>
    </row>
    <row r="101" spans="1:14" customFormat="1" x14ac:dyDescent="0.25">
      <c r="A101" s="620"/>
      <c r="B101" s="620"/>
      <c r="C101" s="620"/>
      <c r="D101" s="620"/>
      <c r="E101" s="620"/>
      <c r="F101" s="620"/>
      <c r="G101" s="620"/>
      <c r="H101" s="620"/>
      <c r="I101" s="620"/>
      <c r="J101" s="620"/>
      <c r="K101" s="620"/>
      <c r="L101" s="620"/>
      <c r="M101" s="620"/>
      <c r="N101" s="620"/>
    </row>
    <row r="102" spans="1:14" customFormat="1" x14ac:dyDescent="0.25">
      <c r="A102" s="620"/>
      <c r="B102" s="620"/>
      <c r="C102" s="620"/>
      <c r="D102" s="620"/>
      <c r="E102" s="620"/>
      <c r="F102" s="620"/>
      <c r="G102" s="620"/>
      <c r="H102" s="620"/>
      <c r="I102" s="620"/>
      <c r="J102" s="620"/>
      <c r="K102" s="620"/>
      <c r="L102" s="620"/>
      <c r="M102" s="620"/>
      <c r="N102" s="620"/>
    </row>
    <row r="103" spans="1:14" customFormat="1" x14ac:dyDescent="0.25">
      <c r="A103" s="620"/>
      <c r="B103" s="620"/>
      <c r="C103" s="620"/>
      <c r="D103" s="620"/>
      <c r="E103" s="620"/>
      <c r="F103" s="620"/>
      <c r="G103" s="620"/>
      <c r="H103" s="620"/>
      <c r="I103" s="620"/>
      <c r="J103" s="620"/>
      <c r="K103" s="620"/>
      <c r="L103" s="620"/>
      <c r="M103" s="620"/>
      <c r="N103" s="620"/>
    </row>
    <row r="104" spans="1:14" customFormat="1" x14ac:dyDescent="0.25">
      <c r="A104" s="620"/>
      <c r="B104" s="620"/>
      <c r="C104" s="620"/>
      <c r="D104" s="620"/>
      <c r="E104" s="620"/>
      <c r="F104" s="620"/>
      <c r="G104" s="620"/>
      <c r="H104" s="620"/>
      <c r="I104" s="620"/>
      <c r="J104" s="620"/>
      <c r="K104" s="620"/>
      <c r="L104" s="620"/>
      <c r="M104" s="620"/>
      <c r="N104" s="620"/>
    </row>
    <row r="105" spans="1:14" customFormat="1" x14ac:dyDescent="0.25">
      <c r="A105" s="620"/>
      <c r="B105" s="620"/>
      <c r="C105" s="620"/>
      <c r="D105" s="620"/>
      <c r="E105" s="620"/>
      <c r="F105" s="620"/>
      <c r="G105" s="620"/>
      <c r="H105" s="620"/>
      <c r="I105" s="620"/>
      <c r="J105" s="620"/>
      <c r="K105" s="620"/>
      <c r="L105" s="620"/>
      <c r="M105" s="620"/>
      <c r="N105" s="620"/>
    </row>
    <row r="106" spans="1:14" customFormat="1" x14ac:dyDescent="0.25">
      <c r="A106" s="620"/>
      <c r="B106" s="620"/>
      <c r="C106" s="620"/>
      <c r="D106" s="620"/>
      <c r="E106" s="620"/>
      <c r="F106" s="620"/>
      <c r="G106" s="620"/>
      <c r="H106" s="620"/>
      <c r="I106" s="620"/>
      <c r="J106" s="620"/>
      <c r="K106" s="620"/>
      <c r="L106" s="620"/>
      <c r="M106" s="620"/>
      <c r="N106" s="620"/>
    </row>
    <row r="107" spans="1:14" customFormat="1" x14ac:dyDescent="0.25">
      <c r="A107" s="620"/>
      <c r="B107" s="620"/>
      <c r="C107" s="620"/>
      <c r="D107" s="620"/>
      <c r="E107" s="620"/>
      <c r="F107" s="620"/>
      <c r="G107" s="620"/>
      <c r="H107" s="620"/>
      <c r="I107" s="620"/>
      <c r="J107" s="620"/>
      <c r="K107" s="620"/>
      <c r="L107" s="620"/>
      <c r="M107" s="620"/>
      <c r="N107" s="620"/>
    </row>
    <row r="108" spans="1:14" customFormat="1" x14ac:dyDescent="0.25">
      <c r="A108" s="620"/>
      <c r="B108" s="620"/>
      <c r="C108" s="620"/>
      <c r="D108" s="620"/>
      <c r="E108" s="620"/>
      <c r="F108" s="620"/>
      <c r="G108" s="620"/>
      <c r="H108" s="620"/>
      <c r="I108" s="620"/>
      <c r="J108" s="620"/>
      <c r="K108" s="620"/>
      <c r="L108" s="620"/>
      <c r="M108" s="620"/>
      <c r="N108" s="620"/>
    </row>
    <row r="109" spans="1:14" customFormat="1" x14ac:dyDescent="0.25">
      <c r="A109" s="620"/>
      <c r="B109" s="620"/>
      <c r="C109" s="620"/>
      <c r="D109" s="620"/>
      <c r="E109" s="620"/>
      <c r="F109" s="620"/>
      <c r="G109" s="620"/>
      <c r="H109" s="620"/>
      <c r="I109" s="620"/>
      <c r="J109" s="620"/>
      <c r="K109" s="620"/>
      <c r="L109" s="620"/>
      <c r="M109" s="620"/>
      <c r="N109" s="620"/>
    </row>
    <row r="110" spans="1:14" customFormat="1" x14ac:dyDescent="0.25">
      <c r="A110" s="620"/>
      <c r="B110" s="620"/>
      <c r="C110" s="620"/>
      <c r="D110" s="620"/>
      <c r="E110" s="620"/>
      <c r="F110" s="620"/>
      <c r="G110" s="620"/>
      <c r="H110" s="620"/>
      <c r="I110" s="620"/>
      <c r="J110" s="620"/>
      <c r="K110" s="620"/>
      <c r="L110" s="620"/>
      <c r="M110" s="620"/>
      <c r="N110" s="620"/>
    </row>
    <row r="111" spans="1:14" customFormat="1" x14ac:dyDescent="0.25">
      <c r="A111" s="620"/>
      <c r="B111" s="620"/>
      <c r="C111" s="620"/>
      <c r="D111" s="620"/>
      <c r="E111" s="620"/>
      <c r="F111" s="620"/>
      <c r="G111" s="620"/>
      <c r="H111" s="620"/>
      <c r="I111" s="620"/>
      <c r="J111" s="620"/>
      <c r="K111" s="620"/>
      <c r="L111" s="620"/>
      <c r="M111" s="620"/>
      <c r="N111" s="620"/>
    </row>
    <row r="112" spans="1:14" customFormat="1" x14ac:dyDescent="0.25">
      <c r="A112" s="620"/>
      <c r="B112" s="620"/>
      <c r="C112" s="620"/>
      <c r="D112" s="620"/>
      <c r="E112" s="620"/>
      <c r="F112" s="620"/>
      <c r="G112" s="620"/>
      <c r="H112" s="620"/>
      <c r="I112" s="620"/>
      <c r="J112" s="620"/>
      <c r="K112" s="620"/>
      <c r="L112" s="620"/>
      <c r="M112" s="620"/>
      <c r="N112" s="620"/>
    </row>
    <row r="113" spans="1:14" customFormat="1" x14ac:dyDescent="0.25">
      <c r="A113" s="620"/>
      <c r="B113" s="620"/>
      <c r="C113" s="620"/>
      <c r="D113" s="620"/>
      <c r="E113" s="620"/>
      <c r="F113" s="620"/>
      <c r="G113" s="620"/>
      <c r="H113" s="620"/>
      <c r="I113" s="620"/>
      <c r="J113" s="620"/>
      <c r="K113" s="620"/>
      <c r="L113" s="620"/>
      <c r="M113" s="620"/>
      <c r="N113" s="620"/>
    </row>
    <row r="114" spans="1:14" customFormat="1" x14ac:dyDescent="0.25">
      <c r="A114" s="620"/>
      <c r="B114" s="620"/>
      <c r="C114" s="620"/>
      <c r="D114" s="620"/>
      <c r="E114" s="620"/>
      <c r="F114" s="620"/>
      <c r="G114" s="620"/>
      <c r="H114" s="620"/>
      <c r="I114" s="620"/>
      <c r="J114" s="620"/>
      <c r="K114" s="620"/>
      <c r="L114" s="620"/>
      <c r="M114" s="620"/>
      <c r="N114" s="620"/>
    </row>
    <row r="115" spans="1:14" customFormat="1" x14ac:dyDescent="0.25">
      <c r="A115" s="620"/>
      <c r="B115" s="620"/>
      <c r="C115" s="620"/>
      <c r="D115" s="620"/>
      <c r="E115" s="620"/>
      <c r="F115" s="620"/>
      <c r="G115" s="620"/>
      <c r="H115" s="620"/>
      <c r="I115" s="620"/>
      <c r="J115" s="620"/>
      <c r="K115" s="620"/>
      <c r="L115" s="620"/>
      <c r="M115" s="620"/>
      <c r="N115" s="620"/>
    </row>
    <row r="116" spans="1:14" customFormat="1" x14ac:dyDescent="0.25">
      <c r="A116" s="620"/>
      <c r="B116" s="620"/>
      <c r="C116" s="620"/>
      <c r="D116" s="620"/>
      <c r="E116" s="620"/>
      <c r="F116" s="620"/>
      <c r="G116" s="620"/>
      <c r="H116" s="620"/>
      <c r="I116" s="620"/>
      <c r="J116" s="620"/>
      <c r="K116" s="620"/>
      <c r="L116" s="620"/>
      <c r="M116" s="620"/>
      <c r="N116" s="620"/>
    </row>
    <row r="117" spans="1:14" customFormat="1" x14ac:dyDescent="0.25">
      <c r="A117" s="620"/>
      <c r="B117" s="620"/>
      <c r="C117" s="620"/>
      <c r="D117" s="620"/>
      <c r="E117" s="620"/>
      <c r="F117" s="620"/>
      <c r="G117" s="620"/>
      <c r="H117" s="620"/>
      <c r="I117" s="620"/>
      <c r="J117" s="620"/>
      <c r="K117" s="620"/>
      <c r="L117" s="620"/>
      <c r="M117" s="620"/>
      <c r="N117" s="620"/>
    </row>
    <row r="118" spans="1:14" customFormat="1" x14ac:dyDescent="0.25">
      <c r="A118" s="620"/>
      <c r="B118" s="620"/>
      <c r="C118" s="620"/>
      <c r="D118" s="620"/>
      <c r="E118" s="620"/>
      <c r="F118" s="620"/>
      <c r="G118" s="620"/>
      <c r="H118" s="620"/>
      <c r="I118" s="620"/>
      <c r="J118" s="620"/>
      <c r="K118" s="620"/>
      <c r="L118" s="620"/>
      <c r="M118" s="620"/>
      <c r="N118" s="620"/>
    </row>
    <row r="119" spans="1:14" customFormat="1" x14ac:dyDescent="0.25">
      <c r="A119" s="620"/>
      <c r="B119" s="620"/>
      <c r="C119" s="620"/>
      <c r="D119" s="620"/>
      <c r="E119" s="620"/>
      <c r="F119" s="620"/>
      <c r="G119" s="620"/>
      <c r="H119" s="620"/>
      <c r="I119" s="620"/>
      <c r="J119" s="620"/>
      <c r="K119" s="620"/>
      <c r="L119" s="620"/>
      <c r="M119" s="620"/>
      <c r="N119" s="620"/>
    </row>
    <row r="120" spans="1:14" customFormat="1" x14ac:dyDescent="0.25">
      <c r="A120" s="620"/>
      <c r="B120" s="620"/>
      <c r="C120" s="620"/>
      <c r="D120" s="620"/>
      <c r="E120" s="620"/>
      <c r="F120" s="620"/>
      <c r="G120" s="620"/>
      <c r="H120" s="620"/>
      <c r="I120" s="620"/>
      <c r="J120" s="620"/>
      <c r="K120" s="620"/>
      <c r="L120" s="620"/>
      <c r="M120" s="620"/>
      <c r="N120" s="620"/>
    </row>
    <row r="121" spans="1:14" customFormat="1" x14ac:dyDescent="0.25">
      <c r="A121" s="620"/>
      <c r="B121" s="620"/>
      <c r="C121" s="620"/>
      <c r="D121" s="620"/>
      <c r="E121" s="620"/>
      <c r="F121" s="620"/>
      <c r="G121" s="620"/>
      <c r="H121" s="620"/>
      <c r="I121" s="620"/>
      <c r="J121" s="620"/>
      <c r="K121" s="620"/>
      <c r="L121" s="620"/>
      <c r="M121" s="620"/>
      <c r="N121" s="620"/>
    </row>
    <row r="122" spans="1:14" customFormat="1" x14ac:dyDescent="0.25">
      <c r="A122" s="620"/>
      <c r="B122" s="620"/>
      <c r="C122" s="620"/>
      <c r="D122" s="620"/>
      <c r="E122" s="620"/>
      <c r="F122" s="620"/>
      <c r="G122" s="620"/>
      <c r="H122" s="620"/>
      <c r="I122" s="620"/>
      <c r="J122" s="620"/>
      <c r="K122" s="620"/>
      <c r="L122" s="620"/>
      <c r="M122" s="620"/>
      <c r="N122" s="620"/>
    </row>
    <row r="123" spans="1:14" customFormat="1" x14ac:dyDescent="0.25">
      <c r="A123" s="620"/>
      <c r="B123" s="620"/>
      <c r="C123" s="620"/>
      <c r="D123" s="620"/>
      <c r="E123" s="620"/>
      <c r="F123" s="620"/>
      <c r="G123" s="620"/>
      <c r="H123" s="620"/>
      <c r="I123" s="620"/>
      <c r="J123" s="620"/>
      <c r="K123" s="620"/>
      <c r="L123" s="620"/>
      <c r="M123" s="620"/>
      <c r="N123" s="620"/>
    </row>
    <row r="124" spans="1:14" customFormat="1" x14ac:dyDescent="0.25">
      <c r="A124" s="620"/>
      <c r="B124" s="620"/>
      <c r="C124" s="620"/>
      <c r="D124" s="620"/>
      <c r="E124" s="620"/>
      <c r="F124" s="620"/>
      <c r="G124" s="620"/>
      <c r="H124" s="620"/>
      <c r="I124" s="620"/>
      <c r="J124" s="620"/>
      <c r="K124" s="620"/>
      <c r="L124" s="620"/>
      <c r="M124" s="620"/>
      <c r="N124" s="620"/>
    </row>
    <row r="125" spans="1:14" customFormat="1" x14ac:dyDescent="0.25">
      <c r="A125" s="620"/>
      <c r="B125" s="620"/>
      <c r="C125" s="620"/>
      <c r="D125" s="620"/>
      <c r="E125" s="620"/>
      <c r="F125" s="620"/>
      <c r="G125" s="620"/>
      <c r="H125" s="620"/>
      <c r="I125" s="620"/>
      <c r="J125" s="620"/>
      <c r="K125" s="620"/>
      <c r="L125" s="620"/>
      <c r="M125" s="620"/>
      <c r="N125" s="620"/>
    </row>
    <row r="126" spans="1:14" customFormat="1" x14ac:dyDescent="0.25">
      <c r="A126" s="620"/>
      <c r="B126" s="620"/>
      <c r="C126" s="620"/>
      <c r="D126" s="620"/>
      <c r="E126" s="620"/>
      <c r="F126" s="620"/>
      <c r="G126" s="620"/>
      <c r="H126" s="620"/>
      <c r="I126" s="620"/>
      <c r="J126" s="620"/>
      <c r="K126" s="620"/>
      <c r="L126" s="620"/>
      <c r="M126" s="620"/>
      <c r="N126" s="620"/>
    </row>
    <row r="127" spans="1:14" customFormat="1" x14ac:dyDescent="0.25">
      <c r="A127" s="620"/>
      <c r="B127" s="620"/>
      <c r="C127" s="620"/>
      <c r="D127" s="620"/>
      <c r="E127" s="620"/>
      <c r="F127" s="620"/>
      <c r="G127" s="620"/>
      <c r="H127" s="620"/>
      <c r="I127" s="620"/>
      <c r="J127" s="620"/>
      <c r="K127" s="620"/>
      <c r="L127" s="620"/>
      <c r="M127" s="620"/>
      <c r="N127" s="620"/>
    </row>
    <row r="128" spans="1:14" customFormat="1" x14ac:dyDescent="0.25">
      <c r="A128" s="620"/>
      <c r="B128" s="620"/>
      <c r="C128" s="620"/>
      <c r="D128" s="620"/>
      <c r="E128" s="620"/>
      <c r="F128" s="620"/>
      <c r="G128" s="620"/>
      <c r="H128" s="620"/>
      <c r="I128" s="620"/>
      <c r="J128" s="620"/>
      <c r="K128" s="620"/>
      <c r="L128" s="620"/>
      <c r="M128" s="620"/>
      <c r="N128" s="620"/>
    </row>
    <row r="129" spans="1:14" customFormat="1" x14ac:dyDescent="0.25">
      <c r="A129" s="620"/>
      <c r="B129" s="620"/>
      <c r="C129" s="620"/>
      <c r="D129" s="620"/>
      <c r="E129" s="620"/>
      <c r="F129" s="620"/>
      <c r="G129" s="620"/>
      <c r="H129" s="620"/>
      <c r="I129" s="620"/>
      <c r="J129" s="620"/>
      <c r="K129" s="620"/>
      <c r="L129" s="620"/>
      <c r="M129" s="620"/>
      <c r="N129" s="620"/>
    </row>
    <row r="130" spans="1:14" customFormat="1" x14ac:dyDescent="0.25">
      <c r="A130" s="620"/>
      <c r="B130" s="620"/>
      <c r="C130" s="620"/>
      <c r="D130" s="620"/>
      <c r="E130" s="620"/>
      <c r="F130" s="620"/>
      <c r="G130" s="620"/>
      <c r="H130" s="620"/>
      <c r="I130" s="620"/>
      <c r="J130" s="620"/>
      <c r="K130" s="620"/>
      <c r="L130" s="620"/>
      <c r="M130" s="620"/>
      <c r="N130" s="620"/>
    </row>
    <row r="131" spans="1:14" customFormat="1" x14ac:dyDescent="0.25">
      <c r="A131" s="620"/>
      <c r="B131" s="620"/>
      <c r="C131" s="620"/>
      <c r="D131" s="620"/>
      <c r="E131" s="620"/>
      <c r="F131" s="620"/>
      <c r="G131" s="620"/>
      <c r="H131" s="620"/>
      <c r="I131" s="620"/>
      <c r="J131" s="620"/>
      <c r="K131" s="620"/>
      <c r="L131" s="620"/>
      <c r="M131" s="620"/>
      <c r="N131" s="620"/>
    </row>
    <row r="132" spans="1:14" customFormat="1" x14ac:dyDescent="0.25">
      <c r="A132" s="620"/>
      <c r="B132" s="620"/>
      <c r="C132" s="620"/>
      <c r="D132" s="620"/>
      <c r="E132" s="620"/>
      <c r="F132" s="620"/>
      <c r="G132" s="620"/>
      <c r="H132" s="620"/>
      <c r="I132" s="620"/>
      <c r="J132" s="620"/>
      <c r="K132" s="620"/>
      <c r="L132" s="620"/>
      <c r="M132" s="620"/>
      <c r="N132" s="620"/>
    </row>
    <row r="133" spans="1:14" customFormat="1" x14ac:dyDescent="0.25">
      <c r="A133" s="620"/>
      <c r="B133" s="620"/>
      <c r="C133" s="620"/>
      <c r="D133" s="620"/>
      <c r="E133" s="620"/>
      <c r="F133" s="620"/>
      <c r="G133" s="620"/>
      <c r="H133" s="620"/>
      <c r="I133" s="620"/>
      <c r="J133" s="620"/>
      <c r="K133" s="620"/>
      <c r="L133" s="620"/>
      <c r="M133" s="620"/>
      <c r="N133" s="620"/>
    </row>
    <row r="134" spans="1:14" customFormat="1" x14ac:dyDescent="0.25">
      <c r="A134" s="620"/>
      <c r="B134" s="620"/>
      <c r="C134" s="620"/>
      <c r="D134" s="620"/>
      <c r="E134" s="620"/>
      <c r="F134" s="620"/>
      <c r="G134" s="620"/>
      <c r="H134" s="620"/>
      <c r="I134" s="620"/>
      <c r="J134" s="620"/>
      <c r="K134" s="620"/>
      <c r="L134" s="620"/>
      <c r="M134" s="620"/>
      <c r="N134" s="620"/>
    </row>
    <row r="135" spans="1:14" customFormat="1" x14ac:dyDescent="0.25">
      <c r="A135" s="620"/>
      <c r="B135" s="620"/>
      <c r="C135" s="620"/>
      <c r="D135" s="620"/>
      <c r="E135" s="620"/>
      <c r="F135" s="620"/>
      <c r="G135" s="620"/>
      <c r="H135" s="620"/>
      <c r="I135" s="620"/>
      <c r="J135" s="620"/>
      <c r="K135" s="620"/>
      <c r="L135" s="620"/>
      <c r="M135" s="620"/>
      <c r="N135" s="620"/>
    </row>
    <row r="136" spans="1:14" customFormat="1" x14ac:dyDescent="0.25">
      <c r="A136" s="620"/>
      <c r="B136" s="620"/>
      <c r="C136" s="620"/>
      <c r="D136" s="620"/>
      <c r="E136" s="620"/>
      <c r="F136" s="620"/>
      <c r="G136" s="620"/>
      <c r="H136" s="620"/>
      <c r="I136" s="620"/>
      <c r="J136" s="620"/>
      <c r="K136" s="620"/>
      <c r="L136" s="620"/>
      <c r="M136" s="620"/>
      <c r="N136" s="620"/>
    </row>
    <row r="137" spans="1:14" customFormat="1" x14ac:dyDescent="0.25">
      <c r="A137" s="620"/>
      <c r="B137" s="620"/>
      <c r="C137" s="620"/>
      <c r="D137" s="620"/>
      <c r="E137" s="620"/>
      <c r="F137" s="620"/>
      <c r="G137" s="620"/>
      <c r="H137" s="620"/>
      <c r="I137" s="620"/>
      <c r="J137" s="620"/>
      <c r="K137" s="620"/>
      <c r="L137" s="620"/>
      <c r="M137" s="620"/>
      <c r="N137" s="620"/>
    </row>
    <row r="138" spans="1:14" customFormat="1" x14ac:dyDescent="0.25">
      <c r="A138" s="620"/>
      <c r="B138" s="620"/>
      <c r="C138" s="620"/>
      <c r="D138" s="620"/>
      <c r="E138" s="620"/>
      <c r="F138" s="620"/>
      <c r="G138" s="620"/>
      <c r="H138" s="620"/>
      <c r="I138" s="620"/>
      <c r="J138" s="620"/>
      <c r="K138" s="620"/>
      <c r="L138" s="620"/>
      <c r="M138" s="620"/>
      <c r="N138" s="620"/>
    </row>
    <row r="139" spans="1:14" customFormat="1" x14ac:dyDescent="0.25">
      <c r="A139" s="620"/>
      <c r="B139" s="620"/>
      <c r="C139" s="620"/>
      <c r="D139" s="620"/>
      <c r="E139" s="620"/>
      <c r="F139" s="620"/>
      <c r="G139" s="620"/>
      <c r="H139" s="620"/>
      <c r="I139" s="620"/>
      <c r="J139" s="620"/>
      <c r="K139" s="620"/>
      <c r="L139" s="620"/>
      <c r="M139" s="620"/>
      <c r="N139" s="620"/>
    </row>
    <row r="140" spans="1:14" customFormat="1" x14ac:dyDescent="0.25">
      <c r="A140" s="620"/>
      <c r="B140" s="620"/>
      <c r="C140" s="620"/>
      <c r="D140" s="620"/>
      <c r="E140" s="620"/>
      <c r="F140" s="620"/>
      <c r="G140" s="620"/>
      <c r="H140" s="620"/>
      <c r="I140" s="620"/>
      <c r="J140" s="620"/>
      <c r="K140" s="620"/>
      <c r="L140" s="620"/>
      <c r="M140" s="620"/>
      <c r="N140" s="620"/>
    </row>
    <row r="141" spans="1:14" customFormat="1" x14ac:dyDescent="0.25">
      <c r="A141" s="620"/>
      <c r="B141" s="620"/>
      <c r="C141" s="620"/>
      <c r="D141" s="620"/>
      <c r="E141" s="620"/>
      <c r="F141" s="620"/>
      <c r="G141" s="620"/>
      <c r="H141" s="620"/>
      <c r="I141" s="620"/>
      <c r="J141" s="620"/>
      <c r="K141" s="620"/>
      <c r="L141" s="620"/>
      <c r="M141" s="620"/>
      <c r="N141" s="620"/>
    </row>
    <row r="142" spans="1:14" customFormat="1" x14ac:dyDescent="0.25">
      <c r="A142" s="620"/>
      <c r="B142" s="620"/>
      <c r="C142" s="620"/>
      <c r="D142" s="620"/>
      <c r="E142" s="620"/>
      <c r="F142" s="620"/>
      <c r="G142" s="620"/>
      <c r="H142" s="620"/>
      <c r="I142" s="620"/>
      <c r="J142" s="620"/>
      <c r="K142" s="620"/>
      <c r="L142" s="620"/>
      <c r="M142" s="620"/>
      <c r="N142" s="620"/>
    </row>
    <row r="143" spans="1:14" customFormat="1" x14ac:dyDescent="0.25">
      <c r="A143" s="620"/>
      <c r="B143" s="620"/>
      <c r="C143" s="620"/>
      <c r="D143" s="620"/>
      <c r="E143" s="620"/>
      <c r="F143" s="620"/>
      <c r="G143" s="620"/>
      <c r="H143" s="620"/>
      <c r="I143" s="620"/>
      <c r="J143" s="620"/>
      <c r="K143" s="620"/>
      <c r="L143" s="620"/>
      <c r="M143" s="620"/>
      <c r="N143" s="620"/>
    </row>
    <row r="144" spans="1:14" customFormat="1" x14ac:dyDescent="0.25">
      <c r="A144" s="620"/>
      <c r="B144" s="620"/>
      <c r="C144" s="620"/>
      <c r="D144" s="620"/>
      <c r="E144" s="620"/>
      <c r="F144" s="620"/>
      <c r="G144" s="620"/>
      <c r="H144" s="620"/>
      <c r="I144" s="620"/>
      <c r="J144" s="620"/>
      <c r="K144" s="620"/>
      <c r="L144" s="620"/>
      <c r="M144" s="620"/>
      <c r="N144" s="620"/>
    </row>
    <row r="145" spans="1:14" customFormat="1" x14ac:dyDescent="0.25">
      <c r="A145" s="620"/>
      <c r="B145" s="620"/>
      <c r="C145" s="620"/>
      <c r="D145" s="620"/>
      <c r="E145" s="620"/>
      <c r="F145" s="620"/>
      <c r="G145" s="620"/>
      <c r="H145" s="620"/>
      <c r="I145" s="620"/>
      <c r="J145" s="620"/>
      <c r="K145" s="620"/>
      <c r="L145" s="620"/>
      <c r="M145" s="620"/>
      <c r="N145" s="620"/>
    </row>
  </sheetData>
  <printOptions horizontalCentered="1"/>
  <pageMargins left="0.7" right="0.7" top="0.75" bottom="0.75" header="0.3" footer="0.3"/>
  <pageSetup scale="85" orientation="landscape" blackAndWhite="1" horizontalDpi="300" verticalDpi="300" r:id="rId1"/>
  <headerFooter>
    <oddFooter>&amp;L&amp;F
&amp;A&amp;C&amp;P&amp;R&amp;D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M35"/>
  <sheetViews>
    <sheetView zoomScale="90" zoomScaleNormal="90" workbookViewId="0">
      <selection activeCell="H38" sqref="H38"/>
    </sheetView>
  </sheetViews>
  <sheetFormatPr defaultColWidth="9.140625" defaultRowHeight="15" x14ac:dyDescent="0.25"/>
  <cols>
    <col min="1" max="1" width="2.85546875" style="82" customWidth="1"/>
    <col min="2" max="2" width="7.85546875" style="82" customWidth="1"/>
    <col min="3" max="3" width="27.42578125" style="82" customWidth="1"/>
    <col min="4" max="4" width="17.5703125" style="82" bestFit="1" customWidth="1"/>
    <col min="5" max="5" width="17" style="82" bestFit="1" customWidth="1"/>
    <col min="6" max="6" width="16.5703125" style="82" bestFit="1" customWidth="1"/>
    <col min="7" max="7" width="15.5703125" style="82" bestFit="1" customWidth="1"/>
    <col min="8" max="8" width="15.140625" style="82" bestFit="1" customWidth="1"/>
    <col min="9" max="9" width="14.42578125" style="82" bestFit="1" customWidth="1"/>
    <col min="10" max="10" width="14.7109375" style="82" bestFit="1" customWidth="1"/>
    <col min="11" max="11" width="14.42578125" style="82" bestFit="1" customWidth="1"/>
    <col min="12" max="16384" width="9.140625" style="82"/>
  </cols>
  <sheetData>
    <row r="1" spans="2:13" x14ac:dyDescent="0.25">
      <c r="B1" s="248" t="s">
        <v>0</v>
      </c>
      <c r="C1" s="248"/>
      <c r="D1" s="248"/>
      <c r="E1" s="248"/>
      <c r="F1" s="248"/>
      <c r="G1" s="248"/>
      <c r="H1" s="248"/>
      <c r="I1" s="248"/>
      <c r="J1" s="248"/>
      <c r="K1" s="248"/>
    </row>
    <row r="2" spans="2:13" x14ac:dyDescent="0.25">
      <c r="B2" s="439" t="str">
        <f>'CRM Rates'!$A$2</f>
        <v>2022 Gas Schedule 149 Cost Recovery Mechanism For Pipeline Replacement (CRM) Filing (PRELIMINARY - August Filing)</v>
      </c>
      <c r="C2" s="249"/>
      <c r="D2" s="249"/>
      <c r="E2" s="249"/>
      <c r="F2" s="249"/>
      <c r="G2" s="249"/>
      <c r="H2" s="249"/>
      <c r="I2" s="249"/>
      <c r="J2" s="249"/>
      <c r="K2" s="249"/>
      <c r="L2" s="243"/>
    </row>
    <row r="3" spans="2:13" x14ac:dyDescent="0.25">
      <c r="B3" s="248" t="s">
        <v>203</v>
      </c>
      <c r="C3" s="248"/>
      <c r="D3" s="248"/>
      <c r="E3" s="248"/>
      <c r="F3" s="248"/>
      <c r="G3" s="248"/>
      <c r="H3" s="248"/>
      <c r="I3" s="248"/>
      <c r="J3" s="248"/>
      <c r="K3" s="248"/>
    </row>
    <row r="5" spans="2:13" x14ac:dyDescent="0.25">
      <c r="D5" s="83"/>
      <c r="E5" s="83"/>
      <c r="F5" s="83" t="s">
        <v>115</v>
      </c>
      <c r="G5" s="83" t="s">
        <v>116</v>
      </c>
      <c r="H5" s="83"/>
      <c r="I5" s="83" t="s">
        <v>117</v>
      </c>
      <c r="J5" s="83" t="s">
        <v>118</v>
      </c>
      <c r="K5" s="83"/>
    </row>
    <row r="6" spans="2:13" x14ac:dyDescent="0.25">
      <c r="D6" s="83"/>
      <c r="E6" s="83" t="s">
        <v>134</v>
      </c>
      <c r="F6" s="83" t="s">
        <v>121</v>
      </c>
      <c r="G6" s="83" t="s">
        <v>122</v>
      </c>
      <c r="H6" s="83" t="s">
        <v>123</v>
      </c>
      <c r="I6" s="83" t="s">
        <v>124</v>
      </c>
      <c r="J6" s="83" t="s">
        <v>125</v>
      </c>
      <c r="K6" s="83"/>
    </row>
    <row r="7" spans="2:13" x14ac:dyDescent="0.25">
      <c r="B7" s="84" t="s">
        <v>140</v>
      </c>
      <c r="C7" s="84" t="s">
        <v>141</v>
      </c>
      <c r="D7" s="84" t="s">
        <v>90</v>
      </c>
      <c r="E7" s="84" t="s">
        <v>127</v>
      </c>
      <c r="F7" s="84" t="s">
        <v>128</v>
      </c>
      <c r="G7" s="84" t="s">
        <v>129</v>
      </c>
      <c r="H7" s="84" t="s">
        <v>130</v>
      </c>
      <c r="I7" s="84" t="s">
        <v>130</v>
      </c>
      <c r="J7" s="84" t="s">
        <v>130</v>
      </c>
      <c r="K7" s="84" t="s">
        <v>131</v>
      </c>
    </row>
    <row r="8" spans="2:13" x14ac:dyDescent="0.25">
      <c r="B8" s="95"/>
      <c r="C8" s="83"/>
      <c r="D8" s="83"/>
      <c r="E8" s="83"/>
      <c r="F8" s="83"/>
      <c r="G8" s="83"/>
      <c r="H8" s="83"/>
      <c r="I8" s="83"/>
      <c r="J8" s="83"/>
      <c r="K8" s="83"/>
    </row>
    <row r="9" spans="2:13" x14ac:dyDescent="0.25">
      <c r="B9" s="96">
        <v>376</v>
      </c>
      <c r="C9" s="82" t="s">
        <v>83</v>
      </c>
      <c r="D9" s="85">
        <f>SUM(E9:K9)</f>
        <v>1986075583.1600001</v>
      </c>
      <c r="E9" s="143">
        <v>1306583579.4651508</v>
      </c>
      <c r="F9" s="143">
        <v>475813834.95498216</v>
      </c>
      <c r="G9" s="143">
        <v>104680767.91777025</v>
      </c>
      <c r="H9" s="143">
        <v>50987439.999063767</v>
      </c>
      <c r="I9" s="143">
        <v>5490710.6869957671</v>
      </c>
      <c r="J9" s="143">
        <v>39886058.053444222</v>
      </c>
      <c r="K9" s="143">
        <v>2633192.0825931793</v>
      </c>
    </row>
    <row r="10" spans="2:13" x14ac:dyDescent="0.25">
      <c r="B10" s="96">
        <v>376</v>
      </c>
      <c r="C10" s="82" t="s">
        <v>145</v>
      </c>
      <c r="D10" s="85">
        <f>SUM(E10:K10)</f>
        <v>-724714305.39474654</v>
      </c>
      <c r="E10" s="143">
        <v>-476769272.66064942</v>
      </c>
      <c r="F10" s="143">
        <v>-173623348.38634926</v>
      </c>
      <c r="G10" s="143">
        <v>-38197765.811616585</v>
      </c>
      <c r="H10" s="143">
        <v>-18605196.839480493</v>
      </c>
      <c r="I10" s="143">
        <v>-2003547.4054408534</v>
      </c>
      <c r="J10" s="143">
        <v>-14554328.698379485</v>
      </c>
      <c r="K10" s="143">
        <v>-960845.59283045493</v>
      </c>
      <c r="M10" s="203" t="s">
        <v>255</v>
      </c>
    </row>
    <row r="11" spans="2:13" x14ac:dyDescent="0.25">
      <c r="B11" s="96">
        <v>376</v>
      </c>
      <c r="C11" s="82" t="s">
        <v>146</v>
      </c>
      <c r="D11" s="91">
        <f>SUM(E11:K11)</f>
        <v>1261361277.7652538</v>
      </c>
      <c r="E11" s="435">
        <f t="shared" ref="E11:K11" si="0">SUM(E9:E10)</f>
        <v>829814306.80450141</v>
      </c>
      <c r="F11" s="435">
        <f t="shared" si="0"/>
        <v>302190486.5686329</v>
      </c>
      <c r="G11" s="435">
        <f t="shared" si="0"/>
        <v>66483002.106153667</v>
      </c>
      <c r="H11" s="435">
        <f t="shared" si="0"/>
        <v>32382243.159583274</v>
      </c>
      <c r="I11" s="435">
        <f t="shared" si="0"/>
        <v>3487163.2815549136</v>
      </c>
      <c r="J11" s="435">
        <f t="shared" si="0"/>
        <v>25331729.355064735</v>
      </c>
      <c r="K11" s="435">
        <f t="shared" si="0"/>
        <v>1672346.4897627244</v>
      </c>
      <c r="M11" s="204">
        <f>SUM(D9:D10)-D11</f>
        <v>0</v>
      </c>
    </row>
    <row r="12" spans="2:13" x14ac:dyDescent="0.25">
      <c r="B12" s="96"/>
      <c r="C12" s="82" t="s">
        <v>144</v>
      </c>
      <c r="D12" s="94">
        <f>SUM(E12:K12)</f>
        <v>1</v>
      </c>
      <c r="E12" s="436">
        <f t="shared" ref="E12:K12" si="1">E11/$D11</f>
        <v>0.65787203193257882</v>
      </c>
      <c r="F12" s="436">
        <f t="shared" si="1"/>
        <v>0.23957488777840238</v>
      </c>
      <c r="G12" s="436">
        <f t="shared" si="1"/>
        <v>5.2707343469383494E-2</v>
      </c>
      <c r="H12" s="436">
        <f t="shared" si="1"/>
        <v>2.5672456995790058E-2</v>
      </c>
      <c r="I12" s="436">
        <f t="shared" si="1"/>
        <v>2.7646030863838628E-3</v>
      </c>
      <c r="J12" s="436">
        <f t="shared" si="1"/>
        <v>2.0082850014188487E-2</v>
      </c>
      <c r="K12" s="436">
        <f t="shared" si="1"/>
        <v>1.3258267232728205E-3</v>
      </c>
    </row>
    <row r="13" spans="2:13" x14ac:dyDescent="0.25">
      <c r="E13" s="437"/>
      <c r="F13" s="437"/>
      <c r="G13" s="437"/>
      <c r="H13" s="437"/>
      <c r="I13" s="437"/>
      <c r="J13" s="437"/>
      <c r="K13" s="437"/>
    </row>
    <row r="14" spans="2:13" x14ac:dyDescent="0.25">
      <c r="B14" s="96">
        <v>380</v>
      </c>
      <c r="C14" s="82" t="s">
        <v>84</v>
      </c>
      <c r="D14" s="85">
        <f>SUM(E14:K14)</f>
        <v>1176419999.9999998</v>
      </c>
      <c r="E14" s="143">
        <v>677007379.39249671</v>
      </c>
      <c r="F14" s="143">
        <v>478438171.8577565</v>
      </c>
      <c r="G14" s="143">
        <v>8499697.1560583673</v>
      </c>
      <c r="H14" s="143">
        <v>8532534.3420465346</v>
      </c>
      <c r="I14" s="143">
        <v>1344876.3507996157</v>
      </c>
      <c r="J14" s="143">
        <v>1098092.7451304488</v>
      </c>
      <c r="K14" s="143">
        <v>1499248.1557116287</v>
      </c>
    </row>
    <row r="15" spans="2:13" x14ac:dyDescent="0.25">
      <c r="B15" s="96">
        <v>380</v>
      </c>
      <c r="C15" s="82" t="s">
        <v>142</v>
      </c>
      <c r="D15" s="85">
        <f>SUM(E15:K15)</f>
        <v>-574607566.79999995</v>
      </c>
      <c r="E15" s="143">
        <v>-330675747.58875829</v>
      </c>
      <c r="F15" s="143">
        <v>-233687113.27198255</v>
      </c>
      <c r="G15" s="143">
        <v>-4151570.2736944109</v>
      </c>
      <c r="H15" s="143">
        <v>-4167609.1845776159</v>
      </c>
      <c r="I15" s="143">
        <v>-656887.95462490479</v>
      </c>
      <c r="J15" s="143">
        <v>-536349.60337306384</v>
      </c>
      <c r="K15" s="143">
        <v>-732288.92298910813</v>
      </c>
      <c r="M15" s="203" t="s">
        <v>255</v>
      </c>
    </row>
    <row r="16" spans="2:13" x14ac:dyDescent="0.25">
      <c r="B16" s="96">
        <v>380</v>
      </c>
      <c r="C16" s="82" t="s">
        <v>143</v>
      </c>
      <c r="D16" s="91">
        <f t="shared" ref="D16:D17" si="2">SUM(E16:K16)</f>
        <v>601812433.19999969</v>
      </c>
      <c r="E16" s="435">
        <f t="shared" ref="E16:K16" si="3">SUM(E14:E15)</f>
        <v>346331631.80373842</v>
      </c>
      <c r="F16" s="435">
        <f t="shared" si="3"/>
        <v>244751058.58577394</v>
      </c>
      <c r="G16" s="435">
        <f t="shared" si="3"/>
        <v>4348126.8823639564</v>
      </c>
      <c r="H16" s="435">
        <f t="shared" si="3"/>
        <v>4364925.1574689187</v>
      </c>
      <c r="I16" s="435">
        <f t="shared" si="3"/>
        <v>687988.39617471094</v>
      </c>
      <c r="J16" s="435">
        <f t="shared" si="3"/>
        <v>561743.14175738499</v>
      </c>
      <c r="K16" s="435">
        <f t="shared" si="3"/>
        <v>766959.2327225206</v>
      </c>
      <c r="M16" s="204">
        <f>SUM(D14:D15)-D16</f>
        <v>0</v>
      </c>
    </row>
    <row r="17" spans="2:13" x14ac:dyDescent="0.25">
      <c r="B17" s="96"/>
      <c r="C17" s="82" t="s">
        <v>144</v>
      </c>
      <c r="D17" s="94">
        <f t="shared" si="2"/>
        <v>1.0000000000000002</v>
      </c>
      <c r="E17" s="436">
        <f t="shared" ref="E17:K17" si="4">E16/$D16</f>
        <v>0.5754810181674036</v>
      </c>
      <c r="F17" s="436">
        <f t="shared" si="4"/>
        <v>0.40668993374624429</v>
      </c>
      <c r="G17" s="436">
        <f t="shared" si="4"/>
        <v>7.2250532599397923E-3</v>
      </c>
      <c r="H17" s="436">
        <f t="shared" si="4"/>
        <v>7.2529660682804928E-3</v>
      </c>
      <c r="I17" s="436">
        <f t="shared" si="4"/>
        <v>1.1431940555240614E-3</v>
      </c>
      <c r="J17" s="436">
        <f t="shared" si="4"/>
        <v>9.3341897037660816E-4</v>
      </c>
      <c r="K17" s="436">
        <f t="shared" si="4"/>
        <v>1.2744157322313709E-3</v>
      </c>
    </row>
    <row r="18" spans="2:13" x14ac:dyDescent="0.25">
      <c r="B18" s="96"/>
      <c r="E18" s="438"/>
      <c r="F18" s="438"/>
      <c r="G18" s="438"/>
      <c r="H18" s="438"/>
      <c r="I18" s="438"/>
      <c r="J18" s="438"/>
      <c r="K18" s="438"/>
      <c r="M18" s="203"/>
    </row>
    <row r="19" spans="2:13" x14ac:dyDescent="0.25">
      <c r="B19" s="96">
        <v>874</v>
      </c>
      <c r="C19" s="161" t="s">
        <v>204</v>
      </c>
      <c r="D19" s="85">
        <f>SUM(E19:K19)</f>
        <v>18158259.387260605</v>
      </c>
      <c r="E19" s="143">
        <v>11389283.621756714</v>
      </c>
      <c r="F19" s="143">
        <v>5479076.5725610275</v>
      </c>
      <c r="G19" s="143">
        <v>649853.94867423992</v>
      </c>
      <c r="H19" s="143">
        <v>341748.81968658749</v>
      </c>
      <c r="I19" s="143">
        <v>39248.232679730892</v>
      </c>
      <c r="J19" s="143">
        <v>235320.75267707065</v>
      </c>
      <c r="K19" s="143">
        <v>23727.439225231425</v>
      </c>
      <c r="M19" s="204"/>
    </row>
    <row r="20" spans="2:13" x14ac:dyDescent="0.25">
      <c r="C20" s="161" t="s">
        <v>144</v>
      </c>
      <c r="D20" s="94">
        <f>SUM(E20:K20)</f>
        <v>0.99999999999999967</v>
      </c>
      <c r="E20" s="436">
        <f>E19/$D19</f>
        <v>0.62722331358187111</v>
      </c>
      <c r="F20" s="436">
        <f t="shared" ref="F20:K20" si="5">F19/$D19</f>
        <v>0.30174018641924538</v>
      </c>
      <c r="G20" s="436">
        <f t="shared" si="5"/>
        <v>3.5788339334449741E-2</v>
      </c>
      <c r="H20" s="436">
        <f t="shared" si="5"/>
        <v>1.8820571531561567E-2</v>
      </c>
      <c r="I20" s="436">
        <f t="shared" si="5"/>
        <v>2.1614534654828483E-3</v>
      </c>
      <c r="J20" s="436">
        <f t="shared" si="5"/>
        <v>1.2959433371800272E-2</v>
      </c>
      <c r="K20" s="436">
        <f t="shared" si="5"/>
        <v>1.3067022955888614E-3</v>
      </c>
    </row>
    <row r="21" spans="2:13" x14ac:dyDescent="0.25">
      <c r="E21" s="437"/>
      <c r="F21" s="437"/>
      <c r="G21" s="437"/>
      <c r="H21" s="437"/>
      <c r="I21" s="437"/>
      <c r="J21" s="437"/>
      <c r="K21" s="437"/>
    </row>
    <row r="22" spans="2:13" x14ac:dyDescent="0.25">
      <c r="B22" s="250">
        <v>878</v>
      </c>
      <c r="C22" s="251" t="s">
        <v>205</v>
      </c>
      <c r="D22" s="252">
        <f>SUM(E22:K22)</f>
        <v>2973291.5607245164</v>
      </c>
      <c r="E22" s="143">
        <v>2354360.0167112835</v>
      </c>
      <c r="F22" s="143">
        <v>606772.57417975529</v>
      </c>
      <c r="G22" s="143">
        <v>12028.212115445152</v>
      </c>
      <c r="H22" s="143">
        <v>68.268365354355169</v>
      </c>
      <c r="I22" s="143">
        <v>39.733230892989994</v>
      </c>
      <c r="J22" s="143">
        <v>0</v>
      </c>
      <c r="K22" s="143">
        <v>22.756121784785059</v>
      </c>
    </row>
    <row r="23" spans="2:13" x14ac:dyDescent="0.25">
      <c r="B23" s="250">
        <v>878</v>
      </c>
      <c r="C23" s="251" t="s">
        <v>144</v>
      </c>
      <c r="D23" s="253">
        <f>SUM(E23:K23)</f>
        <v>0.99999999999999978</v>
      </c>
      <c r="E23" s="436">
        <f>E22/$D22</f>
        <v>0.79183624230164129</v>
      </c>
      <c r="F23" s="436">
        <f t="shared" ref="F23:K23" si="6">F22/$D22</f>
        <v>0.20407436061598347</v>
      </c>
      <c r="G23" s="436">
        <f t="shared" si="6"/>
        <v>4.0454196535351476E-3</v>
      </c>
      <c r="H23" s="436">
        <f t="shared" si="6"/>
        <v>2.2960535137603488E-5</v>
      </c>
      <c r="I23" s="436">
        <f t="shared" si="6"/>
        <v>1.3363381989793159E-5</v>
      </c>
      <c r="J23" s="436">
        <f t="shared" si="6"/>
        <v>0</v>
      </c>
      <c r="K23" s="436">
        <f t="shared" si="6"/>
        <v>7.6535117125344954E-6</v>
      </c>
    </row>
    <row r="24" spans="2:13" x14ac:dyDescent="0.25">
      <c r="E24" s="437"/>
      <c r="F24" s="437"/>
      <c r="G24" s="437"/>
      <c r="H24" s="437"/>
      <c r="I24" s="437"/>
      <c r="J24" s="437"/>
      <c r="K24" s="437"/>
    </row>
    <row r="25" spans="2:13" x14ac:dyDescent="0.25">
      <c r="B25" s="96">
        <v>887</v>
      </c>
      <c r="C25" s="82" t="s">
        <v>270</v>
      </c>
      <c r="D25" s="85">
        <f>SUM(E25:K25)</f>
        <v>8777737.9699345045</v>
      </c>
      <c r="E25" s="143">
        <v>5774628.3140525632</v>
      </c>
      <c r="F25" s="143">
        <v>2102925.5890952814</v>
      </c>
      <c r="G25" s="143">
        <v>462651.25006558705</v>
      </c>
      <c r="H25" s="143">
        <v>225346.10055345713</v>
      </c>
      <c r="I25" s="143">
        <v>24266.96148314976</v>
      </c>
      <c r="J25" s="143">
        <v>176281.99511404205</v>
      </c>
      <c r="K25" s="143">
        <v>11637.759570425686</v>
      </c>
    </row>
    <row r="26" spans="2:13" x14ac:dyDescent="0.25">
      <c r="B26" s="96">
        <v>887</v>
      </c>
      <c r="C26" s="161" t="s">
        <v>144</v>
      </c>
      <c r="D26" s="94">
        <f>SUM(E26:K26)</f>
        <v>1.0000000000000002</v>
      </c>
      <c r="E26" s="436">
        <f>E25/$D25</f>
        <v>0.65787203193257893</v>
      </c>
      <c r="F26" s="436">
        <f t="shared" ref="F26:K26" si="7">F25/$D25</f>
        <v>0.2395748877784025</v>
      </c>
      <c r="G26" s="436">
        <f t="shared" si="7"/>
        <v>5.2707343469383508E-2</v>
      </c>
      <c r="H26" s="436">
        <f t="shared" si="7"/>
        <v>2.5672456995790061E-2</v>
      </c>
      <c r="I26" s="436">
        <f t="shared" si="7"/>
        <v>2.7646030863838636E-3</v>
      </c>
      <c r="J26" s="436">
        <f t="shared" si="7"/>
        <v>2.0082850014188493E-2</v>
      </c>
      <c r="K26" s="436">
        <f t="shared" si="7"/>
        <v>1.3258267232728208E-3</v>
      </c>
    </row>
    <row r="27" spans="2:13" x14ac:dyDescent="0.25">
      <c r="E27" s="437"/>
      <c r="F27" s="437"/>
      <c r="G27" s="437"/>
      <c r="H27" s="437"/>
      <c r="I27" s="437"/>
      <c r="J27" s="437"/>
      <c r="K27" s="437"/>
    </row>
    <row r="28" spans="2:13" x14ac:dyDescent="0.25">
      <c r="B28" s="96">
        <v>892</v>
      </c>
      <c r="C28" s="82" t="s">
        <v>283</v>
      </c>
      <c r="D28" s="85">
        <v>4898591.6298621129</v>
      </c>
      <c r="E28" s="143">
        <v>2819046.4987393692</v>
      </c>
      <c r="F28" s="143">
        <v>1992207.9053985288</v>
      </c>
      <c r="G28" s="143">
        <v>35392.585424449033</v>
      </c>
      <c r="H28" s="143">
        <v>35529.318873752731</v>
      </c>
      <c r="I28" s="143">
        <v>5600.0408316982894</v>
      </c>
      <c r="J28" s="143">
        <v>4572.4383554413616</v>
      </c>
      <c r="K28" s="143">
        <v>6242.8422388731869</v>
      </c>
    </row>
    <row r="29" spans="2:13" x14ac:dyDescent="0.25">
      <c r="B29" s="96">
        <v>892</v>
      </c>
      <c r="C29" s="161" t="s">
        <v>144</v>
      </c>
      <c r="D29" s="94">
        <f>SUM(E29:K29)</f>
        <v>1</v>
      </c>
      <c r="E29" s="436">
        <f>E28/$D28</f>
        <v>0.57548101816740349</v>
      </c>
      <c r="F29" s="436">
        <f t="shared" ref="F29:K29" si="8">F28/$D28</f>
        <v>0.40668993374624413</v>
      </c>
      <c r="G29" s="436">
        <f t="shared" si="8"/>
        <v>7.2250532599397906E-3</v>
      </c>
      <c r="H29" s="436">
        <f t="shared" si="8"/>
        <v>7.2529660682804911E-3</v>
      </c>
      <c r="I29" s="436">
        <f t="shared" si="8"/>
        <v>1.1431940555240612E-3</v>
      </c>
      <c r="J29" s="436">
        <f t="shared" si="8"/>
        <v>9.3341897037660761E-4</v>
      </c>
      <c r="K29" s="436">
        <f t="shared" si="8"/>
        <v>1.2744157322313705E-3</v>
      </c>
    </row>
    <row r="30" spans="2:13" x14ac:dyDescent="0.25">
      <c r="C30" s="251"/>
      <c r="D30" s="94"/>
      <c r="E30" s="436"/>
      <c r="F30" s="436"/>
      <c r="G30" s="436"/>
      <c r="H30" s="436"/>
      <c r="I30" s="436"/>
      <c r="J30" s="436"/>
      <c r="K30" s="436"/>
    </row>
    <row r="31" spans="2:13" x14ac:dyDescent="0.25">
      <c r="B31" s="96">
        <v>893</v>
      </c>
      <c r="C31" s="82" t="s">
        <v>285</v>
      </c>
      <c r="D31" s="85">
        <v>1085653.5718860903</v>
      </c>
      <c r="E31" s="143">
        <v>859659.84480363666</v>
      </c>
      <c r="F31" s="143">
        <v>221554.05853311255</v>
      </c>
      <c r="G31" s="143">
        <v>4391.9242966386228</v>
      </c>
      <c r="H31" s="143">
        <v>24.927186984555306</v>
      </c>
      <c r="I31" s="143">
        <v>14.50800338969719</v>
      </c>
      <c r="J31" s="143">
        <v>0</v>
      </c>
      <c r="K31" s="143">
        <v>8.309062328185103</v>
      </c>
    </row>
    <row r="32" spans="2:13" x14ac:dyDescent="0.25">
      <c r="B32" s="96">
        <v>893</v>
      </c>
      <c r="C32" s="161" t="s">
        <v>144</v>
      </c>
      <c r="D32" s="94">
        <f>SUM(E32:K32)</f>
        <v>0.99999999999999989</v>
      </c>
      <c r="E32" s="94">
        <f>E31/$D31</f>
        <v>0.7918362423016414</v>
      </c>
      <c r="F32" s="94">
        <f t="shared" ref="F32:K32" si="9">F31/$D31</f>
        <v>0.2040743606159835</v>
      </c>
      <c r="G32" s="94">
        <f t="shared" si="9"/>
        <v>4.0454196535351476E-3</v>
      </c>
      <c r="H32" s="94">
        <f t="shared" si="9"/>
        <v>2.2960535137603484E-5</v>
      </c>
      <c r="I32" s="94">
        <f t="shared" si="9"/>
        <v>1.3363381989793157E-5</v>
      </c>
      <c r="J32" s="94">
        <f t="shared" si="9"/>
        <v>0</v>
      </c>
      <c r="K32" s="94">
        <f t="shared" si="9"/>
        <v>7.6535117125344954E-6</v>
      </c>
    </row>
    <row r="33" spans="2:11" x14ac:dyDescent="0.25">
      <c r="C33" s="251"/>
      <c r="D33" s="94"/>
      <c r="E33" s="94"/>
      <c r="F33" s="94"/>
      <c r="G33" s="94"/>
      <c r="H33" s="94"/>
      <c r="I33" s="94"/>
      <c r="J33" s="94"/>
      <c r="K33" s="94"/>
    </row>
    <row r="34" spans="2:11" x14ac:dyDescent="0.25">
      <c r="C34" s="251"/>
      <c r="D34" s="94"/>
      <c r="E34" s="94"/>
      <c r="F34" s="94"/>
      <c r="G34" s="94"/>
      <c r="H34" s="94"/>
      <c r="I34" s="94"/>
      <c r="J34" s="94"/>
      <c r="K34" s="94"/>
    </row>
    <row r="35" spans="2:11" x14ac:dyDescent="0.25">
      <c r="B35" s="437" t="s">
        <v>459</v>
      </c>
    </row>
  </sheetData>
  <printOptions horizontalCentered="1"/>
  <pageMargins left="0.7" right="0.7" top="0.75" bottom="0.75" header="0.3" footer="0.3"/>
  <pageSetup scale="77" orientation="landscape" blackAndWhite="1" horizontalDpi="300" verticalDpi="300" r:id="rId1"/>
  <headerFooter>
    <oddFooter>&amp;L&amp;F
&amp;A&amp;C&amp;P&amp;R&amp;D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31"/>
  <sheetViews>
    <sheetView zoomScale="90" zoomScaleNormal="90" workbookViewId="0">
      <selection activeCell="N8" sqref="N8:N10"/>
    </sheetView>
  </sheetViews>
  <sheetFormatPr defaultColWidth="9.140625" defaultRowHeight="15" x14ac:dyDescent="0.25"/>
  <cols>
    <col min="1" max="1" width="18.5703125" style="97" customWidth="1"/>
    <col min="2" max="7" width="11" style="97" bestFit="1" customWidth="1"/>
    <col min="8" max="13" width="10" style="97" bestFit="1" customWidth="1"/>
    <col min="14" max="14" width="12.5703125" style="97" bestFit="1" customWidth="1"/>
    <col min="15" max="15" width="9.140625" style="97"/>
    <col min="16" max="16" width="11.42578125" style="97" bestFit="1" customWidth="1"/>
    <col min="17" max="16384" width="9.140625" style="97"/>
  </cols>
  <sheetData>
    <row r="1" spans="1:16" x14ac:dyDescent="0.25">
      <c r="A1" s="98" t="s">
        <v>0</v>
      </c>
      <c r="B1" s="98"/>
      <c r="C1" s="98"/>
      <c r="D1" s="98"/>
      <c r="E1" s="98"/>
      <c r="F1" s="98"/>
      <c r="G1" s="98"/>
      <c r="H1" s="98"/>
      <c r="I1" s="98"/>
      <c r="J1" s="98"/>
      <c r="K1" s="98"/>
      <c r="L1" s="98"/>
      <c r="M1" s="98"/>
      <c r="N1" s="98"/>
    </row>
    <row r="2" spans="1:16" x14ac:dyDescent="0.25">
      <c r="A2" s="245" t="str">
        <f>'CRM Rates'!$A$2</f>
        <v>2022 Gas Schedule 149 Cost Recovery Mechanism For Pipeline Replacement (CRM) Filing (PRELIMINARY - August Filing)</v>
      </c>
      <c r="B2" s="439"/>
      <c r="C2" s="439"/>
      <c r="D2" s="439"/>
      <c r="E2" s="439"/>
      <c r="F2" s="439"/>
      <c r="G2" s="439"/>
      <c r="H2" s="439"/>
      <c r="I2" s="439"/>
      <c r="J2" s="439"/>
      <c r="K2" s="439"/>
      <c r="L2" s="439"/>
      <c r="M2" s="244"/>
      <c r="N2" s="244"/>
    </row>
    <row r="3" spans="1:16" x14ac:dyDescent="0.25">
      <c r="A3" s="440" t="s">
        <v>161</v>
      </c>
      <c r="B3" s="440"/>
      <c r="C3" s="440"/>
      <c r="D3" s="440"/>
      <c r="E3" s="440"/>
      <c r="F3" s="440"/>
      <c r="G3" s="440"/>
      <c r="H3" s="440"/>
      <c r="I3" s="440"/>
      <c r="J3" s="440"/>
      <c r="K3" s="440"/>
      <c r="L3" s="440"/>
      <c r="M3" s="98"/>
      <c r="N3" s="98"/>
    </row>
    <row r="4" spans="1:16" s="274" customFormat="1" x14ac:dyDescent="0.25">
      <c r="A4" s="440" t="str">
        <f>TEXT(B7,"MMMM YYYY")&amp;" - "&amp;TEXT(M7,"MMMM YYYY")</f>
        <v>November 2022 - October 2023</v>
      </c>
      <c r="B4" s="440"/>
      <c r="C4" s="440"/>
      <c r="D4" s="440"/>
      <c r="E4" s="440"/>
      <c r="F4" s="440"/>
      <c r="G4" s="440"/>
      <c r="H4" s="440"/>
      <c r="I4" s="440"/>
      <c r="J4" s="440"/>
      <c r="K4" s="440"/>
      <c r="L4" s="440"/>
      <c r="M4" s="273"/>
      <c r="N4" s="273"/>
    </row>
    <row r="5" spans="1:16" x14ac:dyDescent="0.25">
      <c r="A5" s="98"/>
      <c r="B5" s="98"/>
      <c r="C5" s="98"/>
      <c r="D5" s="98"/>
      <c r="E5" s="98"/>
      <c r="F5" s="98"/>
      <c r="G5" s="98"/>
      <c r="H5" s="98"/>
      <c r="I5" s="98"/>
      <c r="J5" s="98"/>
      <c r="K5" s="98"/>
      <c r="L5" s="98"/>
    </row>
    <row r="6" spans="1:16" x14ac:dyDescent="0.25">
      <c r="A6" s="98"/>
      <c r="B6" s="98"/>
      <c r="C6" s="98"/>
      <c r="D6" s="98"/>
      <c r="E6" s="98"/>
      <c r="F6" s="98"/>
      <c r="G6" s="98"/>
      <c r="H6" s="98"/>
      <c r="I6" s="98"/>
      <c r="J6" s="98"/>
      <c r="K6" s="98"/>
      <c r="L6" s="98"/>
    </row>
    <row r="7" spans="1:16" x14ac:dyDescent="0.25">
      <c r="A7" s="97" t="s">
        <v>162</v>
      </c>
      <c r="B7" s="271">
        <v>44866</v>
      </c>
      <c r="C7" s="272">
        <f>EDATE(B7,1)</f>
        <v>44896</v>
      </c>
      <c r="D7" s="272">
        <f t="shared" ref="D7:M7" si="0">EDATE(C7,1)</f>
        <v>44927</v>
      </c>
      <c r="E7" s="272">
        <f t="shared" si="0"/>
        <v>44958</v>
      </c>
      <c r="F7" s="272">
        <f t="shared" si="0"/>
        <v>44986</v>
      </c>
      <c r="G7" s="272">
        <f t="shared" si="0"/>
        <v>45017</v>
      </c>
      <c r="H7" s="272">
        <f t="shared" si="0"/>
        <v>45047</v>
      </c>
      <c r="I7" s="272">
        <f t="shared" si="0"/>
        <v>45078</v>
      </c>
      <c r="J7" s="272">
        <f t="shared" si="0"/>
        <v>45108</v>
      </c>
      <c r="K7" s="272">
        <f t="shared" si="0"/>
        <v>45139</v>
      </c>
      <c r="L7" s="272">
        <f t="shared" si="0"/>
        <v>45170</v>
      </c>
      <c r="M7" s="272">
        <f t="shared" si="0"/>
        <v>45200</v>
      </c>
      <c r="N7" s="99" t="s">
        <v>90</v>
      </c>
    </row>
    <row r="8" spans="1:16" x14ac:dyDescent="0.25">
      <c r="A8" s="100">
        <v>16</v>
      </c>
      <c r="B8" s="434">
        <v>589</v>
      </c>
      <c r="C8" s="434">
        <v>589</v>
      </c>
      <c r="D8" s="434">
        <v>589</v>
      </c>
      <c r="E8" s="434">
        <v>589</v>
      </c>
      <c r="F8" s="434">
        <v>589</v>
      </c>
      <c r="G8" s="434">
        <v>589</v>
      </c>
      <c r="H8" s="434">
        <v>589</v>
      </c>
      <c r="I8" s="434">
        <v>589</v>
      </c>
      <c r="J8" s="434">
        <v>589</v>
      </c>
      <c r="K8" s="434">
        <v>589</v>
      </c>
      <c r="L8" s="434">
        <v>589</v>
      </c>
      <c r="M8" s="434">
        <v>589</v>
      </c>
      <c r="N8" s="101">
        <f t="shared" ref="N8:N21" si="1">SUM(B8:M8)</f>
        <v>7068</v>
      </c>
      <c r="P8" s="101"/>
    </row>
    <row r="9" spans="1:16" x14ac:dyDescent="0.25">
      <c r="A9" s="100">
        <v>23</v>
      </c>
      <c r="B9" s="434">
        <v>71510105</v>
      </c>
      <c r="C9" s="434">
        <v>93363533</v>
      </c>
      <c r="D9" s="434">
        <v>91157352</v>
      </c>
      <c r="E9" s="434">
        <v>79642432</v>
      </c>
      <c r="F9" s="434">
        <v>73078363</v>
      </c>
      <c r="G9" s="434">
        <v>50199903</v>
      </c>
      <c r="H9" s="434">
        <v>28209513</v>
      </c>
      <c r="I9" s="434">
        <v>18430547</v>
      </c>
      <c r="J9" s="434">
        <v>13296329</v>
      </c>
      <c r="K9" s="434">
        <v>12799549</v>
      </c>
      <c r="L9" s="434">
        <v>18485479</v>
      </c>
      <c r="M9" s="434">
        <v>42611904</v>
      </c>
      <c r="N9" s="101">
        <f t="shared" si="1"/>
        <v>592785009</v>
      </c>
    </row>
    <row r="10" spans="1:16" x14ac:dyDescent="0.25">
      <c r="A10" s="100">
        <v>53</v>
      </c>
      <c r="B10" s="434">
        <v>0</v>
      </c>
      <c r="C10" s="434">
        <v>0</v>
      </c>
      <c r="D10" s="434">
        <v>0</v>
      </c>
      <c r="E10" s="434">
        <v>0</v>
      </c>
      <c r="F10" s="434">
        <v>0</v>
      </c>
      <c r="G10" s="434">
        <v>0</v>
      </c>
      <c r="H10" s="434">
        <v>0</v>
      </c>
      <c r="I10" s="434">
        <v>0</v>
      </c>
      <c r="J10" s="434">
        <v>0</v>
      </c>
      <c r="K10" s="434">
        <v>0</v>
      </c>
      <c r="L10" s="434">
        <v>0</v>
      </c>
      <c r="M10" s="434">
        <v>0</v>
      </c>
      <c r="N10" s="101">
        <f t="shared" si="1"/>
        <v>0</v>
      </c>
    </row>
    <row r="11" spans="1:16" x14ac:dyDescent="0.25">
      <c r="A11" s="100">
        <v>31</v>
      </c>
      <c r="B11" s="434">
        <v>27796819</v>
      </c>
      <c r="C11" s="434">
        <v>34723815</v>
      </c>
      <c r="D11" s="434">
        <v>31107887</v>
      </c>
      <c r="E11" s="434">
        <v>27944916</v>
      </c>
      <c r="F11" s="434">
        <v>25031743</v>
      </c>
      <c r="G11" s="434">
        <v>18276075</v>
      </c>
      <c r="H11" s="434">
        <v>13348322</v>
      </c>
      <c r="I11" s="434">
        <v>10772903</v>
      </c>
      <c r="J11" s="434">
        <v>9272634</v>
      </c>
      <c r="K11" s="434">
        <v>9999282</v>
      </c>
      <c r="L11" s="434">
        <v>11696231</v>
      </c>
      <c r="M11" s="434">
        <v>19346533</v>
      </c>
      <c r="N11" s="101">
        <f t="shared" si="1"/>
        <v>239317160</v>
      </c>
    </row>
    <row r="12" spans="1:16" x14ac:dyDescent="0.25">
      <c r="A12" s="100">
        <v>41</v>
      </c>
      <c r="B12" s="434">
        <v>7592067</v>
      </c>
      <c r="C12" s="434">
        <v>8313250</v>
      </c>
      <c r="D12" s="434">
        <v>7405161</v>
      </c>
      <c r="E12" s="434">
        <v>7068900</v>
      </c>
      <c r="F12" s="434">
        <v>6549005</v>
      </c>
      <c r="G12" s="434">
        <v>5111853</v>
      </c>
      <c r="H12" s="434">
        <v>4105933</v>
      </c>
      <c r="I12" s="434">
        <v>3502707</v>
      </c>
      <c r="J12" s="434">
        <v>2902125</v>
      </c>
      <c r="K12" s="434">
        <v>3161567</v>
      </c>
      <c r="L12" s="434">
        <v>3759483</v>
      </c>
      <c r="M12" s="434">
        <v>5805117</v>
      </c>
      <c r="N12" s="101">
        <f t="shared" si="1"/>
        <v>65277168</v>
      </c>
    </row>
    <row r="13" spans="1:16" x14ac:dyDescent="0.25">
      <c r="A13" s="100">
        <v>85</v>
      </c>
      <c r="B13" s="434">
        <v>1252245</v>
      </c>
      <c r="C13" s="434">
        <v>1529720</v>
      </c>
      <c r="D13" s="434">
        <v>1306618</v>
      </c>
      <c r="E13" s="434">
        <v>1284218</v>
      </c>
      <c r="F13" s="434">
        <v>1228239</v>
      </c>
      <c r="G13" s="434">
        <v>1033613</v>
      </c>
      <c r="H13" s="434">
        <v>970474</v>
      </c>
      <c r="I13" s="434">
        <v>808858</v>
      </c>
      <c r="J13" s="434">
        <v>770936</v>
      </c>
      <c r="K13" s="434">
        <v>832251</v>
      </c>
      <c r="L13" s="434">
        <v>779550</v>
      </c>
      <c r="M13" s="434">
        <v>1067853</v>
      </c>
      <c r="N13" s="101">
        <f t="shared" si="1"/>
        <v>12864575</v>
      </c>
    </row>
    <row r="14" spans="1:16" x14ac:dyDescent="0.25">
      <c r="A14" s="100">
        <v>86</v>
      </c>
      <c r="B14" s="434">
        <v>568845</v>
      </c>
      <c r="C14" s="434">
        <v>840776</v>
      </c>
      <c r="D14" s="434">
        <v>718407</v>
      </c>
      <c r="E14" s="434">
        <v>692620</v>
      </c>
      <c r="F14" s="434">
        <v>651358</v>
      </c>
      <c r="G14" s="434">
        <v>463304</v>
      </c>
      <c r="H14" s="434">
        <v>397877</v>
      </c>
      <c r="I14" s="434">
        <v>257135</v>
      </c>
      <c r="J14" s="434">
        <v>184922</v>
      </c>
      <c r="K14" s="434">
        <v>152007</v>
      </c>
      <c r="L14" s="434">
        <v>166978</v>
      </c>
      <c r="M14" s="434">
        <v>363562</v>
      </c>
      <c r="N14" s="101">
        <f t="shared" si="1"/>
        <v>5457791</v>
      </c>
    </row>
    <row r="15" spans="1:16" x14ac:dyDescent="0.25">
      <c r="A15" s="100">
        <v>87</v>
      </c>
      <c r="B15" s="434">
        <v>1656822</v>
      </c>
      <c r="C15" s="434">
        <v>2033762</v>
      </c>
      <c r="D15" s="434">
        <v>1521398</v>
      </c>
      <c r="E15" s="434">
        <v>1477173</v>
      </c>
      <c r="F15" s="434">
        <v>1401402</v>
      </c>
      <c r="G15" s="434">
        <v>1071596</v>
      </c>
      <c r="H15" s="434">
        <v>1088262</v>
      </c>
      <c r="I15" s="434">
        <v>910333</v>
      </c>
      <c r="J15" s="434">
        <v>929795</v>
      </c>
      <c r="K15" s="434">
        <v>1005946</v>
      </c>
      <c r="L15" s="434">
        <v>1004039</v>
      </c>
      <c r="M15" s="434">
        <v>1534262</v>
      </c>
      <c r="N15" s="101">
        <f t="shared" si="1"/>
        <v>15634790</v>
      </c>
    </row>
    <row r="16" spans="1:16" x14ac:dyDescent="0.25">
      <c r="A16" s="100" t="s">
        <v>163</v>
      </c>
      <c r="B16" s="434">
        <v>3971</v>
      </c>
      <c r="C16" s="434">
        <v>4350</v>
      </c>
      <c r="D16" s="434">
        <v>3638</v>
      </c>
      <c r="E16" s="434">
        <v>4142</v>
      </c>
      <c r="F16" s="434">
        <v>3396</v>
      </c>
      <c r="G16" s="434">
        <v>3003</v>
      </c>
      <c r="H16" s="434">
        <v>2289</v>
      </c>
      <c r="I16" s="434">
        <v>1975</v>
      </c>
      <c r="J16" s="434">
        <v>1678</v>
      </c>
      <c r="K16" s="434">
        <v>1835</v>
      </c>
      <c r="L16" s="434">
        <v>2343</v>
      </c>
      <c r="M16" s="434">
        <v>2751</v>
      </c>
      <c r="N16" s="101">
        <f t="shared" si="1"/>
        <v>35371</v>
      </c>
    </row>
    <row r="17" spans="1:14" x14ac:dyDescent="0.25">
      <c r="A17" s="100" t="s">
        <v>164</v>
      </c>
      <c r="B17" s="434">
        <v>1967978</v>
      </c>
      <c r="C17" s="434">
        <v>1938149</v>
      </c>
      <c r="D17" s="434">
        <v>1898192</v>
      </c>
      <c r="E17" s="434">
        <v>2250888</v>
      </c>
      <c r="F17" s="434">
        <v>2003089</v>
      </c>
      <c r="G17" s="434">
        <v>2170389</v>
      </c>
      <c r="H17" s="434">
        <v>2048013</v>
      </c>
      <c r="I17" s="434">
        <v>1974473</v>
      </c>
      <c r="J17" s="434">
        <v>1749202</v>
      </c>
      <c r="K17" s="434">
        <v>1775579</v>
      </c>
      <c r="L17" s="434">
        <v>2017119</v>
      </c>
      <c r="M17" s="434">
        <v>1757599</v>
      </c>
      <c r="N17" s="101">
        <f t="shared" si="1"/>
        <v>23550670</v>
      </c>
    </row>
    <row r="18" spans="1:14" x14ac:dyDescent="0.25">
      <c r="A18" s="100" t="s">
        <v>165</v>
      </c>
      <c r="B18" s="434">
        <v>5849336</v>
      </c>
      <c r="C18" s="434">
        <v>5735536</v>
      </c>
      <c r="D18" s="434">
        <v>5284730</v>
      </c>
      <c r="E18" s="434">
        <v>6633683</v>
      </c>
      <c r="F18" s="434">
        <v>5858974</v>
      </c>
      <c r="G18" s="434">
        <v>6601220</v>
      </c>
      <c r="H18" s="434">
        <v>6609285</v>
      </c>
      <c r="I18" s="434">
        <v>6420495</v>
      </c>
      <c r="J18" s="434">
        <v>5925902</v>
      </c>
      <c r="K18" s="434">
        <v>5952306</v>
      </c>
      <c r="L18" s="434">
        <v>6882341</v>
      </c>
      <c r="M18" s="434">
        <v>5593547</v>
      </c>
      <c r="N18" s="101">
        <f t="shared" si="1"/>
        <v>73347355</v>
      </c>
    </row>
    <row r="19" spans="1:14" x14ac:dyDescent="0.25">
      <c r="A19" s="100" t="s">
        <v>166</v>
      </c>
      <c r="B19" s="434">
        <v>94814</v>
      </c>
      <c r="C19" s="434">
        <v>92907</v>
      </c>
      <c r="D19" s="434">
        <v>88619</v>
      </c>
      <c r="E19" s="434">
        <v>122475</v>
      </c>
      <c r="F19" s="434">
        <v>101578</v>
      </c>
      <c r="G19" s="434">
        <v>112412</v>
      </c>
      <c r="H19" s="434">
        <v>114421</v>
      </c>
      <c r="I19" s="434">
        <v>116067</v>
      </c>
      <c r="J19" s="434">
        <v>106552</v>
      </c>
      <c r="K19" s="434">
        <v>100786</v>
      </c>
      <c r="L19" s="434">
        <v>131542</v>
      </c>
      <c r="M19" s="434">
        <v>98743</v>
      </c>
      <c r="N19" s="101">
        <f t="shared" si="1"/>
        <v>1280916</v>
      </c>
    </row>
    <row r="20" spans="1:14" x14ac:dyDescent="0.25">
      <c r="A20" s="100" t="s">
        <v>167</v>
      </c>
      <c r="B20" s="434">
        <v>7393649</v>
      </c>
      <c r="C20" s="434">
        <v>8345897</v>
      </c>
      <c r="D20" s="434">
        <v>7156555</v>
      </c>
      <c r="E20" s="434">
        <v>9579531</v>
      </c>
      <c r="F20" s="434">
        <v>8230984</v>
      </c>
      <c r="G20" s="434">
        <v>8666713</v>
      </c>
      <c r="H20" s="434">
        <v>9477545</v>
      </c>
      <c r="I20" s="434">
        <v>9039484</v>
      </c>
      <c r="J20" s="434">
        <v>9489194</v>
      </c>
      <c r="K20" s="434">
        <v>8922464</v>
      </c>
      <c r="L20" s="434">
        <v>10013921</v>
      </c>
      <c r="M20" s="434">
        <v>7479343</v>
      </c>
      <c r="N20" s="101">
        <f t="shared" si="1"/>
        <v>103795280</v>
      </c>
    </row>
    <row r="21" spans="1:14" x14ac:dyDescent="0.25">
      <c r="A21" s="100">
        <v>99</v>
      </c>
      <c r="B21" s="434">
        <v>3339028</v>
      </c>
      <c r="C21" s="434">
        <v>3867436</v>
      </c>
      <c r="D21" s="434">
        <v>3542589</v>
      </c>
      <c r="E21" s="434">
        <v>4673686</v>
      </c>
      <c r="F21" s="434">
        <v>3395825</v>
      </c>
      <c r="G21" s="434">
        <v>3248720</v>
      </c>
      <c r="H21" s="434">
        <v>2851176</v>
      </c>
      <c r="I21" s="434">
        <v>2492595</v>
      </c>
      <c r="J21" s="434">
        <v>2211174</v>
      </c>
      <c r="K21" s="434">
        <v>2072278</v>
      </c>
      <c r="L21" s="434">
        <v>2587516</v>
      </c>
      <c r="M21" s="434">
        <v>2629021</v>
      </c>
      <c r="N21" s="101">
        <f t="shared" si="1"/>
        <v>36911044</v>
      </c>
    </row>
    <row r="22" spans="1:14" x14ac:dyDescent="0.25">
      <c r="A22" s="100" t="s">
        <v>90</v>
      </c>
      <c r="B22" s="102">
        <f>SUM(B8:B21)</f>
        <v>129026268</v>
      </c>
      <c r="C22" s="102">
        <f t="shared" ref="C22:M22" si="2">SUM(C8:C21)</f>
        <v>160789720</v>
      </c>
      <c r="D22" s="102">
        <f t="shared" si="2"/>
        <v>151191735</v>
      </c>
      <c r="E22" s="102">
        <f t="shared" si="2"/>
        <v>141375253</v>
      </c>
      <c r="F22" s="102">
        <f t="shared" si="2"/>
        <v>127534545</v>
      </c>
      <c r="G22" s="102">
        <f t="shared" si="2"/>
        <v>96959390</v>
      </c>
      <c r="H22" s="102">
        <f t="shared" si="2"/>
        <v>69223699</v>
      </c>
      <c r="I22" s="102">
        <f t="shared" si="2"/>
        <v>54728161</v>
      </c>
      <c r="J22" s="102">
        <f t="shared" si="2"/>
        <v>46841032</v>
      </c>
      <c r="K22" s="102">
        <f t="shared" si="2"/>
        <v>46776439</v>
      </c>
      <c r="L22" s="102">
        <f t="shared" si="2"/>
        <v>57527131</v>
      </c>
      <c r="M22" s="102">
        <f t="shared" si="2"/>
        <v>88290824</v>
      </c>
      <c r="N22" s="102">
        <f>SUM(N8:N21)</f>
        <v>1170264197</v>
      </c>
    </row>
    <row r="23" spans="1:14" x14ac:dyDescent="0.25">
      <c r="A23" s="100"/>
      <c r="B23" s="256"/>
      <c r="C23" s="256"/>
      <c r="D23" s="256"/>
      <c r="E23" s="256"/>
      <c r="F23" s="256"/>
      <c r="G23" s="256"/>
      <c r="H23" s="256"/>
      <c r="I23" s="256"/>
      <c r="J23" s="256"/>
      <c r="K23" s="256"/>
      <c r="L23" s="256"/>
      <c r="M23" s="256"/>
      <c r="N23" s="101"/>
    </row>
    <row r="24" spans="1:14" x14ac:dyDescent="0.25">
      <c r="A24" s="100" t="s">
        <v>168</v>
      </c>
      <c r="B24" s="101">
        <f>SUM(B8:B12)</f>
        <v>106899580</v>
      </c>
      <c r="C24" s="101">
        <f t="shared" ref="C24:M24" si="3">SUM(C8:C12)</f>
        <v>136401187</v>
      </c>
      <c r="D24" s="101">
        <f t="shared" si="3"/>
        <v>129670989</v>
      </c>
      <c r="E24" s="101">
        <f t="shared" si="3"/>
        <v>114656837</v>
      </c>
      <c r="F24" s="101">
        <f t="shared" si="3"/>
        <v>104659700</v>
      </c>
      <c r="G24" s="101">
        <f t="shared" si="3"/>
        <v>73588420</v>
      </c>
      <c r="H24" s="101">
        <f t="shared" si="3"/>
        <v>45664357</v>
      </c>
      <c r="I24" s="101">
        <f t="shared" si="3"/>
        <v>32706746</v>
      </c>
      <c r="J24" s="101">
        <f t="shared" si="3"/>
        <v>25471677</v>
      </c>
      <c r="K24" s="101">
        <f t="shared" si="3"/>
        <v>25960987</v>
      </c>
      <c r="L24" s="101">
        <f t="shared" si="3"/>
        <v>33941782</v>
      </c>
      <c r="M24" s="101">
        <f t="shared" si="3"/>
        <v>67764143</v>
      </c>
      <c r="N24" s="101">
        <f>SUM(B24:M24)</f>
        <v>897386405</v>
      </c>
    </row>
    <row r="25" spans="1:14" x14ac:dyDescent="0.25">
      <c r="A25" s="100" t="s">
        <v>169</v>
      </c>
      <c r="B25" s="101">
        <f>SUM(B13:B15)</f>
        <v>3477912</v>
      </c>
      <c r="C25" s="101">
        <f t="shared" ref="C25:M25" si="4">SUM(C13:C15)</f>
        <v>4404258</v>
      </c>
      <c r="D25" s="101">
        <f t="shared" si="4"/>
        <v>3546423</v>
      </c>
      <c r="E25" s="101">
        <f t="shared" si="4"/>
        <v>3454011</v>
      </c>
      <c r="F25" s="101">
        <f t="shared" si="4"/>
        <v>3280999</v>
      </c>
      <c r="G25" s="101">
        <f t="shared" si="4"/>
        <v>2568513</v>
      </c>
      <c r="H25" s="101">
        <f t="shared" si="4"/>
        <v>2456613</v>
      </c>
      <c r="I25" s="101">
        <f t="shared" si="4"/>
        <v>1976326</v>
      </c>
      <c r="J25" s="101">
        <f t="shared" si="4"/>
        <v>1885653</v>
      </c>
      <c r="K25" s="101">
        <f t="shared" si="4"/>
        <v>1990204</v>
      </c>
      <c r="L25" s="101">
        <f t="shared" si="4"/>
        <v>1950567</v>
      </c>
      <c r="M25" s="101">
        <f t="shared" si="4"/>
        <v>2965677</v>
      </c>
      <c r="N25" s="101">
        <f>SUM(B25:M25)</f>
        <v>33957156</v>
      </c>
    </row>
    <row r="26" spans="1:14" x14ac:dyDescent="0.25">
      <c r="A26" s="100" t="s">
        <v>170</v>
      </c>
      <c r="B26" s="103">
        <f>SUM(B16:B21)</f>
        <v>18648776</v>
      </c>
      <c r="C26" s="103">
        <f t="shared" ref="C26:M26" si="5">SUM(C16:C21)</f>
        <v>19984275</v>
      </c>
      <c r="D26" s="103">
        <f t="shared" si="5"/>
        <v>17974323</v>
      </c>
      <c r="E26" s="103">
        <f t="shared" si="5"/>
        <v>23264405</v>
      </c>
      <c r="F26" s="103">
        <f t="shared" si="5"/>
        <v>19593846</v>
      </c>
      <c r="G26" s="103">
        <f t="shared" si="5"/>
        <v>20802457</v>
      </c>
      <c r="H26" s="103">
        <f t="shared" si="5"/>
        <v>21102729</v>
      </c>
      <c r="I26" s="103">
        <f t="shared" si="5"/>
        <v>20045089</v>
      </c>
      <c r="J26" s="103">
        <f t="shared" si="5"/>
        <v>19483702</v>
      </c>
      <c r="K26" s="103">
        <f t="shared" si="5"/>
        <v>18825248</v>
      </c>
      <c r="L26" s="103">
        <f t="shared" si="5"/>
        <v>21634782</v>
      </c>
      <c r="M26" s="103">
        <f t="shared" si="5"/>
        <v>17561004</v>
      </c>
      <c r="N26" s="103">
        <f>SUM(B26:M26)</f>
        <v>238920636</v>
      </c>
    </row>
    <row r="27" spans="1:14" x14ac:dyDescent="0.25">
      <c r="A27" s="100" t="s">
        <v>171</v>
      </c>
      <c r="B27" s="101">
        <f t="shared" ref="B27:M27" si="6">SUM(B24:B26)</f>
        <v>129026268</v>
      </c>
      <c r="C27" s="101">
        <f t="shared" si="6"/>
        <v>160789720</v>
      </c>
      <c r="D27" s="101">
        <f t="shared" si="6"/>
        <v>151191735</v>
      </c>
      <c r="E27" s="101">
        <f t="shared" si="6"/>
        <v>141375253</v>
      </c>
      <c r="F27" s="101">
        <f t="shared" si="6"/>
        <v>127534545</v>
      </c>
      <c r="G27" s="101">
        <f t="shared" si="6"/>
        <v>96959390</v>
      </c>
      <c r="H27" s="101">
        <f t="shared" si="6"/>
        <v>69223699</v>
      </c>
      <c r="I27" s="101">
        <f t="shared" si="6"/>
        <v>54728161</v>
      </c>
      <c r="J27" s="101">
        <f t="shared" si="6"/>
        <v>46841032</v>
      </c>
      <c r="K27" s="101">
        <f t="shared" si="6"/>
        <v>46776439</v>
      </c>
      <c r="L27" s="101">
        <f t="shared" si="6"/>
        <v>57527131</v>
      </c>
      <c r="M27" s="101">
        <f t="shared" si="6"/>
        <v>88290824</v>
      </c>
      <c r="N27" s="101">
        <f>SUM(B27:M27)</f>
        <v>1170264197</v>
      </c>
    </row>
    <row r="28" spans="1:14" x14ac:dyDescent="0.25">
      <c r="A28" s="104" t="s">
        <v>104</v>
      </c>
      <c r="B28" s="105">
        <f>B22-B27</f>
        <v>0</v>
      </c>
      <c r="C28" s="105">
        <f t="shared" ref="C28:N28" si="7">C22-C27</f>
        <v>0</v>
      </c>
      <c r="D28" s="105">
        <f t="shared" si="7"/>
        <v>0</v>
      </c>
      <c r="E28" s="105">
        <f t="shared" si="7"/>
        <v>0</v>
      </c>
      <c r="F28" s="105">
        <f t="shared" si="7"/>
        <v>0</v>
      </c>
      <c r="G28" s="105">
        <f t="shared" si="7"/>
        <v>0</v>
      </c>
      <c r="H28" s="105">
        <f t="shared" si="7"/>
        <v>0</v>
      </c>
      <c r="I28" s="105">
        <f t="shared" si="7"/>
        <v>0</v>
      </c>
      <c r="J28" s="105">
        <f t="shared" si="7"/>
        <v>0</v>
      </c>
      <c r="K28" s="105">
        <f t="shared" si="7"/>
        <v>0</v>
      </c>
      <c r="L28" s="105">
        <f t="shared" si="7"/>
        <v>0</v>
      </c>
      <c r="M28" s="105">
        <f t="shared" si="7"/>
        <v>0</v>
      </c>
      <c r="N28" s="105">
        <f t="shared" si="7"/>
        <v>0</v>
      </c>
    </row>
    <row r="30" spans="1:14" s="257" customFormat="1" x14ac:dyDescent="0.25">
      <c r="A30" s="437" t="s">
        <v>458</v>
      </c>
    </row>
    <row r="31" spans="1:14" x14ac:dyDescent="0.25">
      <c r="A31" s="258"/>
    </row>
  </sheetData>
  <printOptions horizontalCentered="1"/>
  <pageMargins left="0.7" right="0.7" top="0.75" bottom="0.75" header="0.3" footer="0.3"/>
  <pageSetup scale="79" orientation="landscape" blackAndWhite="1" r:id="rId1"/>
  <headerFooter>
    <oddFooter>&amp;L&amp;F 
&amp;A&amp;C&amp;P&amp;R&amp;D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topLeftCell="A5" workbookViewId="0">
      <selection activeCell="F31" sqref="F31:F33"/>
    </sheetView>
  </sheetViews>
  <sheetFormatPr defaultRowHeight="12.7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E54" activePane="bottomRight" state="frozen"/>
      <selection activeCell="G16" sqref="G16"/>
      <selection pane="topRight" activeCell="G16" sqref="G16"/>
      <selection pane="bottomLeft" activeCell="G16" sqref="G16"/>
      <selection pane="bottomRight" activeCell="G16" sqref="G16"/>
    </sheetView>
  </sheetViews>
  <sheetFormatPr defaultColWidth="10.28515625" defaultRowHeight="15" outlineLevelRow="1" outlineLevelCol="1" x14ac:dyDescent="0.2"/>
  <cols>
    <col min="1" max="1" width="5.7109375" style="53" customWidth="1"/>
    <col min="2" max="2" width="7.42578125" style="53" customWidth="1"/>
    <col min="3" max="3" width="26.42578125" style="53" customWidth="1"/>
    <col min="4" max="4" width="15.5703125" style="22" customWidth="1"/>
    <col min="5" max="5" width="13.5703125" style="75" customWidth="1"/>
    <col min="6" max="6" width="13.42578125" style="75" customWidth="1"/>
    <col min="7" max="7" width="14.5703125" style="75" bestFit="1" customWidth="1"/>
    <col min="8" max="8" width="12.5703125" style="75" customWidth="1"/>
    <col min="9" max="25" width="12.7109375" style="75" bestFit="1" customWidth="1"/>
    <col min="26" max="38" width="12.28515625" style="75" bestFit="1" customWidth="1"/>
    <col min="39" max="39" width="17" style="75" customWidth="1" outlineLevel="1"/>
    <col min="40" max="40" width="13" style="75" customWidth="1" outlineLevel="1"/>
    <col min="41" max="41" width="14.28515625" style="75" customWidth="1" outlineLevel="1"/>
    <col min="42" max="42" width="12.7109375" style="22" bestFit="1" customWidth="1"/>
    <col min="43" max="43" width="12.28515625" style="22" customWidth="1"/>
    <col min="44" max="45" width="14" style="22" customWidth="1"/>
    <col min="46" max="46" width="16.5703125" style="22" customWidth="1"/>
    <col min="47" max="47" width="15" style="22" bestFit="1" customWidth="1"/>
    <col min="48" max="48" width="12.28515625" style="22" bestFit="1" customWidth="1"/>
    <col min="49" max="16384" width="10.28515625" style="22"/>
  </cols>
  <sheetData>
    <row r="1" spans="1:41" ht="17.25" customHeight="1" x14ac:dyDescent="0.25">
      <c r="A1" s="20" t="s">
        <v>0</v>
      </c>
      <c r="B1" s="21"/>
      <c r="C1" s="21"/>
      <c r="E1" s="827"/>
      <c r="F1" s="827"/>
      <c r="G1" s="22"/>
      <c r="H1" s="23"/>
      <c r="I1" s="24"/>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ht="12.75" customHeight="1" x14ac:dyDescent="0.25">
      <c r="A2" s="25" t="s">
        <v>1</v>
      </c>
      <c r="B2" s="21"/>
      <c r="C2" s="21"/>
      <c r="E2" s="22"/>
      <c r="F2" s="24"/>
      <c r="G2" s="2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x14ac:dyDescent="0.25">
      <c r="A3" s="25" t="s">
        <v>2</v>
      </c>
      <c r="B3" s="21"/>
      <c r="C3" s="432" t="s">
        <v>320</v>
      </c>
      <c r="D3" s="445" t="s">
        <v>3</v>
      </c>
      <c r="E3" s="22"/>
      <c r="F3" s="24"/>
      <c r="G3" s="24"/>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ht="7.5" customHeight="1" thickBot="1" x14ac:dyDescent="0.25">
      <c r="A4" s="21"/>
      <c r="B4" s="21"/>
      <c r="C4" s="21"/>
      <c r="E4" s="22"/>
      <c r="F4" s="24"/>
      <c r="G4" s="24"/>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x14ac:dyDescent="0.2">
      <c r="A5" s="26" t="s">
        <v>4</v>
      </c>
      <c r="B5" s="27"/>
      <c r="C5" s="27"/>
      <c r="D5" s="170" t="s">
        <v>231</v>
      </c>
      <c r="E5" s="28"/>
      <c r="F5" s="29"/>
      <c r="G5" s="30"/>
      <c r="H5" s="22"/>
      <c r="I5" s="22"/>
      <c r="J5" s="22"/>
      <c r="K5" s="22"/>
      <c r="L5" s="22"/>
      <c r="M5" s="22"/>
      <c r="N5" s="41"/>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x14ac:dyDescent="0.2">
      <c r="A6" s="31"/>
      <c r="B6" s="32"/>
      <c r="C6" s="32"/>
      <c r="D6" s="134" t="s">
        <v>196</v>
      </c>
      <c r="E6" s="134"/>
      <c r="F6" s="135"/>
      <c r="G6" s="30"/>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x14ac:dyDescent="0.2">
      <c r="A7" s="31"/>
      <c r="B7" s="32"/>
      <c r="C7" s="32"/>
      <c r="D7" s="35"/>
      <c r="E7" s="35"/>
      <c r="F7" s="36" t="s">
        <v>5</v>
      </c>
      <c r="G7" s="37"/>
      <c r="H7" s="22"/>
      <c r="I7" s="22"/>
      <c r="J7" s="22"/>
      <c r="K7" s="22"/>
      <c r="L7" s="22"/>
      <c r="M7" s="136"/>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1" x14ac:dyDescent="0.2">
      <c r="A8" s="31" t="s">
        <v>6</v>
      </c>
      <c r="B8" s="32"/>
      <c r="C8" s="32"/>
      <c r="D8" s="38" t="s">
        <v>7</v>
      </c>
      <c r="E8" s="38" t="s">
        <v>8</v>
      </c>
      <c r="F8" s="39" t="s">
        <v>8</v>
      </c>
      <c r="G8" s="37"/>
      <c r="H8" s="22"/>
      <c r="I8" s="22"/>
      <c r="J8" s="22"/>
      <c r="K8" s="22"/>
      <c r="L8" s="22"/>
      <c r="M8" s="127"/>
      <c r="N8" s="4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1" x14ac:dyDescent="0.2">
      <c r="A9" s="31"/>
      <c r="B9" s="32"/>
      <c r="C9" s="32"/>
      <c r="D9" s="33"/>
      <c r="E9" s="33"/>
      <c r="F9" s="40"/>
      <c r="G9" s="33"/>
      <c r="H9" s="22"/>
      <c r="I9" s="22"/>
      <c r="J9" s="22"/>
      <c r="K9" s="22"/>
      <c r="L9" s="22"/>
      <c r="M9" s="127"/>
      <c r="N9" s="41"/>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x14ac:dyDescent="0.2">
      <c r="A10" s="31"/>
      <c r="B10" s="32"/>
      <c r="C10" s="32"/>
      <c r="D10" s="42"/>
      <c r="E10" s="42"/>
      <c r="F10" s="43"/>
      <c r="G10" s="41"/>
      <c r="H10" s="22"/>
      <c r="I10" s="22"/>
      <c r="J10" s="22"/>
      <c r="K10" s="22"/>
      <c r="L10" s="22"/>
      <c r="M10" s="127"/>
      <c r="N10" s="41"/>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1" x14ac:dyDescent="0.2">
      <c r="A11" s="31" t="s">
        <v>173</v>
      </c>
      <c r="B11" s="32"/>
      <c r="C11" s="32"/>
      <c r="D11" s="42">
        <f>'2019 GRC'!C12</f>
        <v>0.51500000000000001</v>
      </c>
      <c r="E11" s="42">
        <f>'2019 GRC'!D12</f>
        <v>5.4951456310679617E-2</v>
      </c>
      <c r="F11" s="43">
        <f>'2019 GRC'!E12</f>
        <v>2.8299999999999999E-2</v>
      </c>
      <c r="G11" s="41"/>
      <c r="H11" s="22"/>
      <c r="I11" s="22"/>
      <c r="J11" s="22"/>
      <c r="K11" s="22"/>
      <c r="L11" s="22"/>
      <c r="M11" s="127"/>
      <c r="N11" s="41"/>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x14ac:dyDescent="0.2">
      <c r="A12" s="31" t="s">
        <v>9</v>
      </c>
      <c r="B12" s="32"/>
      <c r="C12" s="32"/>
      <c r="D12" s="44">
        <f>'2019 GRC'!C13</f>
        <v>0.48499999999999999</v>
      </c>
      <c r="E12" s="44">
        <f>'2019 GRC'!D13</f>
        <v>9.4E-2</v>
      </c>
      <c r="F12" s="45">
        <f>'2019 GRC'!E13</f>
        <v>4.5600000000000002E-2</v>
      </c>
      <c r="G12" s="41"/>
      <c r="H12" s="22"/>
      <c r="I12" s="22"/>
      <c r="J12" s="22"/>
      <c r="K12" s="22"/>
      <c r="L12" s="22"/>
      <c r="M12" s="127"/>
      <c r="N12" s="4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ht="15.75" thickBot="1" x14ac:dyDescent="0.25">
      <c r="A13" s="31" t="s">
        <v>10</v>
      </c>
      <c r="B13" s="32"/>
      <c r="C13" s="32"/>
      <c r="D13" s="46">
        <f>D10+D11+D12</f>
        <v>1</v>
      </c>
      <c r="E13" s="47"/>
      <c r="F13" s="171">
        <f>F10+F11+F12</f>
        <v>7.3899999999999993E-2</v>
      </c>
      <c r="G13" s="47"/>
      <c r="H13" s="22"/>
      <c r="I13" s="22"/>
      <c r="J13" s="22"/>
      <c r="K13" s="22"/>
      <c r="L13" s="22"/>
      <c r="M13" s="127"/>
      <c r="N13" s="4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ht="15.75" thickTop="1" x14ac:dyDescent="0.2">
      <c r="A14" s="31"/>
      <c r="B14" s="32"/>
      <c r="C14" s="32"/>
      <c r="D14" s="33"/>
      <c r="E14" s="33"/>
      <c r="F14" s="40"/>
      <c r="G14" s="33"/>
      <c r="H14" s="22"/>
      <c r="I14" s="22"/>
      <c r="J14" s="22"/>
      <c r="K14" s="22"/>
      <c r="L14" s="22"/>
      <c r="M14" s="127"/>
      <c r="N14" s="4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x14ac:dyDescent="0.2">
      <c r="A15" s="31" t="s">
        <v>11</v>
      </c>
      <c r="B15" s="32"/>
      <c r="C15" s="32"/>
      <c r="D15" s="33"/>
      <c r="E15" s="33"/>
      <c r="F15" s="43">
        <f>'2019 GRC'!I19</f>
        <v>0.21</v>
      </c>
      <c r="G15" s="47"/>
      <c r="H15" s="22"/>
      <c r="I15" s="22"/>
      <c r="J15" s="22"/>
      <c r="K15" s="22"/>
      <c r="L15" s="22"/>
      <c r="M15" s="127"/>
      <c r="N15" s="4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6" spans="1:41" x14ac:dyDescent="0.2">
      <c r="A16" s="31" t="s">
        <v>12</v>
      </c>
      <c r="B16" s="32"/>
      <c r="C16" s="32"/>
      <c r="D16" s="33"/>
      <c r="E16" s="33"/>
      <c r="F16" s="43">
        <f>'2019 GRC'!J38</f>
        <v>4.7447000000000003E-2</v>
      </c>
      <c r="G16" s="446"/>
      <c r="H16" s="22"/>
      <c r="I16" s="22"/>
      <c r="J16" s="22"/>
      <c r="K16" s="22"/>
      <c r="L16" s="22"/>
      <c r="M16" s="127"/>
      <c r="N16" s="4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row>
    <row r="17" spans="1:48" x14ac:dyDescent="0.2">
      <c r="A17" s="31" t="s">
        <v>13</v>
      </c>
      <c r="B17" s="32"/>
      <c r="C17" s="32"/>
      <c r="D17" s="33"/>
      <c r="E17" s="33"/>
      <c r="F17" s="43">
        <f>'2022 C&amp;OM'!G7</f>
        <v>2.52211164896535E-2</v>
      </c>
      <c r="H17" s="22"/>
      <c r="I17" s="22"/>
      <c r="J17" s="22"/>
      <c r="K17" s="22"/>
      <c r="L17" s="22"/>
      <c r="M17" s="127"/>
      <c r="N17" s="4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8" x14ac:dyDescent="0.2">
      <c r="A18" s="31" t="s">
        <v>14</v>
      </c>
      <c r="B18" s="32"/>
      <c r="C18" s="32"/>
      <c r="D18" s="33"/>
      <c r="E18" s="33"/>
      <c r="F18" s="49">
        <v>2</v>
      </c>
      <c r="G18" s="24"/>
      <c r="H18" s="22"/>
      <c r="I18" s="22"/>
      <c r="J18" s="22"/>
      <c r="K18" s="22"/>
      <c r="L18" s="22"/>
      <c r="M18" s="127"/>
      <c r="N18" s="4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8" x14ac:dyDescent="0.2">
      <c r="A19" s="31"/>
      <c r="B19" s="32"/>
      <c r="C19" s="32"/>
      <c r="D19" s="33"/>
      <c r="E19" s="33"/>
      <c r="F19" s="34"/>
      <c r="G19" s="24"/>
      <c r="H19" s="22"/>
      <c r="I19" s="22"/>
      <c r="J19" s="22"/>
      <c r="K19" s="22"/>
      <c r="L19" s="22"/>
      <c r="M19" s="127"/>
      <c r="N19" s="41"/>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8" x14ac:dyDescent="0.2">
      <c r="A20" s="31" t="s">
        <v>15</v>
      </c>
      <c r="B20" s="32"/>
      <c r="C20" s="32"/>
      <c r="D20" s="33"/>
      <c r="E20" s="33"/>
      <c r="F20" s="34"/>
      <c r="G20" s="24"/>
      <c r="H20" s="22"/>
      <c r="I20" s="22"/>
      <c r="J20" s="22"/>
      <c r="K20" s="22"/>
      <c r="L20" s="22"/>
      <c r="N20" s="137"/>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8" ht="15.75" thickBot="1" x14ac:dyDescent="0.25">
      <c r="A21" s="31" t="s">
        <v>16</v>
      </c>
      <c r="B21" s="32"/>
      <c r="C21" s="32"/>
      <c r="D21" s="33"/>
      <c r="E21" s="33"/>
      <c r="F21" s="34"/>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8" ht="15.75" thickBot="1" x14ac:dyDescent="0.25">
      <c r="A22" s="50" t="s">
        <v>17</v>
      </c>
      <c r="B22" s="51"/>
      <c r="C22" s="51"/>
      <c r="D22" s="51"/>
      <c r="E22" s="52"/>
      <c r="F22" s="275">
        <f>'2022 C&amp;OM'!F6</f>
        <v>46183711.829999961</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8" ht="6" customHeight="1" x14ac:dyDescent="0.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8" ht="6" customHeight="1" x14ac:dyDescent="0.2">
      <c r="B24" s="22"/>
      <c r="C24" s="22"/>
      <c r="D24" s="127"/>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row>
    <row r="25" spans="1:48" x14ac:dyDescent="0.2">
      <c r="A25" s="21"/>
      <c r="B25" s="21"/>
      <c r="C25" s="21"/>
      <c r="D25" s="445"/>
      <c r="E25" s="55" t="s">
        <v>18</v>
      </c>
      <c r="F25" s="116" t="s">
        <v>19</v>
      </c>
      <c r="G25" s="56" t="s">
        <v>20</v>
      </c>
      <c r="H25" s="56" t="s">
        <v>21</v>
      </c>
      <c r="I25" s="56" t="s">
        <v>22</v>
      </c>
      <c r="J25" s="56" t="s">
        <v>23</v>
      </c>
      <c r="K25" s="56" t="s">
        <v>24</v>
      </c>
      <c r="L25" s="56" t="s">
        <v>25</v>
      </c>
      <c r="M25" s="56" t="s">
        <v>26</v>
      </c>
      <c r="N25" s="56" t="s">
        <v>27</v>
      </c>
      <c r="O25" s="56" t="s">
        <v>28</v>
      </c>
      <c r="P25" s="56" t="s">
        <v>29</v>
      </c>
      <c r="Q25" s="56" t="s">
        <v>30</v>
      </c>
      <c r="R25" s="56" t="s">
        <v>31</v>
      </c>
      <c r="S25" s="56" t="s">
        <v>32</v>
      </c>
      <c r="T25" s="56" t="s">
        <v>33</v>
      </c>
      <c r="U25" s="56" t="s">
        <v>34</v>
      </c>
      <c r="V25" s="56" t="s">
        <v>35</v>
      </c>
      <c r="W25" s="56" t="s">
        <v>36</v>
      </c>
      <c r="X25" s="56" t="s">
        <v>37</v>
      </c>
      <c r="Y25" s="56" t="s">
        <v>38</v>
      </c>
      <c r="Z25" s="56" t="s">
        <v>39</v>
      </c>
      <c r="AA25" s="56" t="s">
        <v>40</v>
      </c>
      <c r="AB25" s="56" t="s">
        <v>41</v>
      </c>
      <c r="AC25" s="56" t="s">
        <v>42</v>
      </c>
      <c r="AD25" s="56" t="s">
        <v>43</v>
      </c>
      <c r="AE25" s="56" t="s">
        <v>44</v>
      </c>
      <c r="AF25" s="56" t="s">
        <v>45</v>
      </c>
      <c r="AG25" s="56" t="s">
        <v>46</v>
      </c>
      <c r="AH25" s="56" t="s">
        <v>47</v>
      </c>
      <c r="AI25" s="56" t="s">
        <v>48</v>
      </c>
      <c r="AJ25" s="56" t="s">
        <v>49</v>
      </c>
      <c r="AK25" s="56" t="s">
        <v>50</v>
      </c>
      <c r="AL25" s="56" t="s">
        <v>51</v>
      </c>
      <c r="AM25" s="56" t="s">
        <v>52</v>
      </c>
      <c r="AN25" s="56" t="s">
        <v>74</v>
      </c>
      <c r="AO25" s="56" t="s">
        <v>75</v>
      </c>
      <c r="AP25" s="56" t="s">
        <v>174</v>
      </c>
      <c r="AQ25" s="56" t="s">
        <v>175</v>
      </c>
      <c r="AR25" s="56" t="s">
        <v>176</v>
      </c>
      <c r="AS25" s="22" t="s">
        <v>177</v>
      </c>
    </row>
    <row r="26" spans="1:48" x14ac:dyDescent="0.2">
      <c r="A26" s="21"/>
      <c r="B26" s="21"/>
      <c r="C26" s="21"/>
      <c r="D26" s="445"/>
      <c r="E26" s="106">
        <v>2022</v>
      </c>
      <c r="F26" s="106">
        <v>2023</v>
      </c>
      <c r="G26" s="106">
        <v>2024</v>
      </c>
      <c r="H26" s="106">
        <v>2025</v>
      </c>
      <c r="I26" s="106">
        <v>2026</v>
      </c>
      <c r="J26" s="106">
        <v>2027</v>
      </c>
      <c r="K26" s="106">
        <v>2028</v>
      </c>
      <c r="L26" s="106">
        <v>2029</v>
      </c>
      <c r="M26" s="106">
        <v>2030</v>
      </c>
      <c r="N26" s="106">
        <v>2031</v>
      </c>
      <c r="O26" s="106">
        <v>2032</v>
      </c>
      <c r="P26" s="106">
        <v>2033</v>
      </c>
      <c r="Q26" s="106">
        <v>2034</v>
      </c>
      <c r="R26" s="106">
        <v>2035</v>
      </c>
      <c r="S26" s="106">
        <v>2036</v>
      </c>
      <c r="T26" s="106">
        <v>2037</v>
      </c>
      <c r="U26" s="106">
        <v>2038</v>
      </c>
      <c r="V26" s="106">
        <v>2039</v>
      </c>
      <c r="W26" s="106">
        <v>2040</v>
      </c>
      <c r="X26" s="106">
        <v>2041</v>
      </c>
      <c r="Y26" s="106">
        <v>2042</v>
      </c>
      <c r="Z26" s="106">
        <v>2043</v>
      </c>
      <c r="AA26" s="106">
        <v>2044</v>
      </c>
      <c r="AB26" s="106">
        <v>2045</v>
      </c>
      <c r="AC26" s="106">
        <v>2046</v>
      </c>
      <c r="AD26" s="106">
        <v>2047</v>
      </c>
      <c r="AE26" s="106">
        <v>2048</v>
      </c>
      <c r="AF26" s="106">
        <v>2049</v>
      </c>
      <c r="AG26" s="106">
        <v>2050</v>
      </c>
      <c r="AH26" s="106">
        <v>2051</v>
      </c>
      <c r="AI26" s="106">
        <v>2052</v>
      </c>
      <c r="AJ26" s="106">
        <v>2053</v>
      </c>
      <c r="AK26" s="106">
        <v>2054</v>
      </c>
      <c r="AL26" s="106">
        <v>2055</v>
      </c>
      <c r="AM26" s="106">
        <v>2056</v>
      </c>
      <c r="AN26" s="106">
        <v>2057</v>
      </c>
      <c r="AO26" s="106">
        <v>2058</v>
      </c>
      <c r="AP26" s="106">
        <v>2059</v>
      </c>
      <c r="AQ26" s="106">
        <v>2060</v>
      </c>
      <c r="AR26" s="106">
        <v>2061</v>
      </c>
      <c r="AS26" s="106"/>
    </row>
    <row r="27" spans="1:48" x14ac:dyDescent="0.2">
      <c r="A27" s="432">
        <v>1</v>
      </c>
      <c r="B27" s="21" t="s">
        <v>207</v>
      </c>
      <c r="C27" s="21"/>
      <c r="D27" s="445"/>
      <c r="E27" s="57">
        <f>$F22*$F17</f>
        <v>1164804.7759890174</v>
      </c>
      <c r="F27" s="123">
        <f>$F22*$F17</f>
        <v>1164804.7759890174</v>
      </c>
      <c r="G27" s="123">
        <f>$F22*$F17</f>
        <v>1164804.7759890174</v>
      </c>
      <c r="H27" s="123">
        <f t="shared" ref="H27:AQ27" si="0">$F22*$F17</f>
        <v>1164804.7759890174</v>
      </c>
      <c r="I27" s="123">
        <f t="shared" si="0"/>
        <v>1164804.7759890174</v>
      </c>
      <c r="J27" s="123">
        <f t="shared" si="0"/>
        <v>1164804.7759890174</v>
      </c>
      <c r="K27" s="123">
        <f t="shared" si="0"/>
        <v>1164804.7759890174</v>
      </c>
      <c r="L27" s="123">
        <f t="shared" si="0"/>
        <v>1164804.7759890174</v>
      </c>
      <c r="M27" s="123">
        <f t="shared" si="0"/>
        <v>1164804.7759890174</v>
      </c>
      <c r="N27" s="123">
        <f t="shared" si="0"/>
        <v>1164804.7759890174</v>
      </c>
      <c r="O27" s="123">
        <f t="shared" si="0"/>
        <v>1164804.7759890174</v>
      </c>
      <c r="P27" s="123">
        <f t="shared" si="0"/>
        <v>1164804.7759890174</v>
      </c>
      <c r="Q27" s="123">
        <f t="shared" si="0"/>
        <v>1164804.7759890174</v>
      </c>
      <c r="R27" s="123">
        <f t="shared" si="0"/>
        <v>1164804.7759890174</v>
      </c>
      <c r="S27" s="123">
        <f t="shared" si="0"/>
        <v>1164804.7759890174</v>
      </c>
      <c r="T27" s="123">
        <f t="shared" si="0"/>
        <v>1164804.7759890174</v>
      </c>
      <c r="U27" s="123">
        <f t="shared" si="0"/>
        <v>1164804.7759890174</v>
      </c>
      <c r="V27" s="123">
        <f t="shared" si="0"/>
        <v>1164804.7759890174</v>
      </c>
      <c r="W27" s="123">
        <f t="shared" si="0"/>
        <v>1164804.7759890174</v>
      </c>
      <c r="X27" s="123">
        <f t="shared" si="0"/>
        <v>1164804.7759890174</v>
      </c>
      <c r="Y27" s="123">
        <f t="shared" si="0"/>
        <v>1164804.7759890174</v>
      </c>
      <c r="Z27" s="123">
        <f t="shared" si="0"/>
        <v>1164804.7759890174</v>
      </c>
      <c r="AA27" s="123">
        <f t="shared" si="0"/>
        <v>1164804.7759890174</v>
      </c>
      <c r="AB27" s="123">
        <f t="shared" si="0"/>
        <v>1164804.7759890174</v>
      </c>
      <c r="AC27" s="123">
        <f t="shared" si="0"/>
        <v>1164804.7759890174</v>
      </c>
      <c r="AD27" s="123">
        <f t="shared" si="0"/>
        <v>1164804.7759890174</v>
      </c>
      <c r="AE27" s="123">
        <f t="shared" si="0"/>
        <v>1164804.7759890174</v>
      </c>
      <c r="AF27" s="123">
        <f t="shared" si="0"/>
        <v>1164804.7759890174</v>
      </c>
      <c r="AG27" s="123">
        <f t="shared" si="0"/>
        <v>1164804.7759890174</v>
      </c>
      <c r="AH27" s="123">
        <f t="shared" si="0"/>
        <v>1164804.7759890174</v>
      </c>
      <c r="AI27" s="123">
        <f t="shared" si="0"/>
        <v>1164804.7759890174</v>
      </c>
      <c r="AJ27" s="123">
        <f t="shared" si="0"/>
        <v>1164804.7759890174</v>
      </c>
      <c r="AK27" s="123">
        <f t="shared" si="0"/>
        <v>1164804.7759890174</v>
      </c>
      <c r="AL27" s="123">
        <f t="shared" si="0"/>
        <v>1164804.7759890174</v>
      </c>
      <c r="AM27" s="123">
        <f t="shared" si="0"/>
        <v>1164804.7759890174</v>
      </c>
      <c r="AN27" s="123">
        <f t="shared" si="0"/>
        <v>1164804.7759890174</v>
      </c>
      <c r="AO27" s="123">
        <f t="shared" si="0"/>
        <v>1164804.7759890174</v>
      </c>
      <c r="AP27" s="123">
        <f t="shared" si="0"/>
        <v>1164804.7759890174</v>
      </c>
      <c r="AQ27" s="123">
        <f t="shared" si="0"/>
        <v>1164804.7759890174</v>
      </c>
      <c r="AR27" s="123">
        <f>$F22*$F17-408479.21</f>
        <v>756325.56598901749</v>
      </c>
      <c r="AS27" s="123"/>
      <c r="AT27" s="126">
        <f>SUM(D27:AS27)</f>
        <v>46183711.829560727</v>
      </c>
      <c r="AU27" s="41">
        <f>F22</f>
        <v>46183711.829999961</v>
      </c>
      <c r="AV27" s="126">
        <f>+AU27-AT27</f>
        <v>4.3923407793045044E-4</v>
      </c>
    </row>
    <row r="28" spans="1:48" x14ac:dyDescent="0.2">
      <c r="A28" s="21"/>
      <c r="B28" s="21"/>
      <c r="C28" s="21"/>
      <c r="D28" s="445"/>
      <c r="E28" s="57"/>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58"/>
      <c r="AN28" s="123"/>
      <c r="AO28" s="123"/>
      <c r="AP28" s="447"/>
    </row>
    <row r="29" spans="1:48" x14ac:dyDescent="0.2">
      <c r="A29" s="432">
        <f>A27+1</f>
        <v>2</v>
      </c>
      <c r="B29" s="21" t="s">
        <v>54</v>
      </c>
      <c r="C29" s="21"/>
      <c r="D29" s="445"/>
      <c r="E29" s="57">
        <f>E53</f>
        <v>552035.37617265771</v>
      </c>
      <c r="F29" s="123">
        <f t="shared" ref="F29:AR29" si="1">F53</f>
        <v>534433.54432736395</v>
      </c>
      <c r="G29" s="123">
        <f t="shared" si="1"/>
        <v>515111.199704642</v>
      </c>
      <c r="H29" s="123">
        <f t="shared" si="1"/>
        <v>496401.35057699354</v>
      </c>
      <c r="I29" s="123">
        <f t="shared" si="1"/>
        <v>478258.1479534246</v>
      </c>
      <c r="J29" s="123">
        <f t="shared" si="1"/>
        <v>460639.26968840236</v>
      </c>
      <c r="K29" s="123">
        <f t="shared" si="1"/>
        <v>443505.33267427789</v>
      </c>
      <c r="L29" s="123">
        <f t="shared" si="1"/>
        <v>426819.8928412869</v>
      </c>
      <c r="M29" s="123">
        <f t="shared" si="1"/>
        <v>410384.85903603211</v>
      </c>
      <c r="N29" s="123">
        <f t="shared" si="1"/>
        <v>393985.6814929652</v>
      </c>
      <c r="O29" s="123">
        <f t="shared" si="1"/>
        <v>377586.503949898</v>
      </c>
      <c r="P29" s="123">
        <f t="shared" si="1"/>
        <v>361187.32640683104</v>
      </c>
      <c r="Q29" s="123">
        <f t="shared" si="1"/>
        <v>344788.1488637639</v>
      </c>
      <c r="R29" s="123">
        <f t="shared" si="1"/>
        <v>328388.97132069693</v>
      </c>
      <c r="S29" s="123">
        <f t="shared" si="1"/>
        <v>311989.79377762979</v>
      </c>
      <c r="T29" s="123">
        <f t="shared" si="1"/>
        <v>295590.61623456277</v>
      </c>
      <c r="U29" s="123">
        <f t="shared" si="1"/>
        <v>279191.43869149568</v>
      </c>
      <c r="V29" s="123">
        <f t="shared" si="1"/>
        <v>262792.2611484286</v>
      </c>
      <c r="W29" s="123">
        <f t="shared" si="1"/>
        <v>246393.08360536155</v>
      </c>
      <c r="X29" s="123">
        <f t="shared" si="1"/>
        <v>229993.9060622945</v>
      </c>
      <c r="Y29" s="123">
        <f t="shared" si="1"/>
        <v>214906.12722317071</v>
      </c>
      <c r="Z29" s="123">
        <f t="shared" si="1"/>
        <v>202440.55798435659</v>
      </c>
      <c r="AA29" s="123">
        <f t="shared" si="1"/>
        <v>191286.38744948574</v>
      </c>
      <c r="AB29" s="123">
        <f t="shared" si="1"/>
        <v>180132.2169146149</v>
      </c>
      <c r="AC29" s="123">
        <f t="shared" si="1"/>
        <v>168978.04637974408</v>
      </c>
      <c r="AD29" s="123">
        <f t="shared" si="1"/>
        <v>157823.87584487326</v>
      </c>
      <c r="AE29" s="123">
        <f t="shared" si="1"/>
        <v>146669.70531000241</v>
      </c>
      <c r="AF29" s="123">
        <f t="shared" si="1"/>
        <v>135515.53477513156</v>
      </c>
      <c r="AG29" s="123">
        <f t="shared" si="1"/>
        <v>124361.36424026071</v>
      </c>
      <c r="AH29" s="123">
        <f t="shared" si="1"/>
        <v>113207.19370538992</v>
      </c>
      <c r="AI29" s="123">
        <f t="shared" si="1"/>
        <v>102053.02317051907</v>
      </c>
      <c r="AJ29" s="123">
        <f t="shared" si="1"/>
        <v>90898.852635648233</v>
      </c>
      <c r="AK29" s="123">
        <f t="shared" si="1"/>
        <v>79744.682100777398</v>
      </c>
      <c r="AL29" s="123">
        <f t="shared" si="1"/>
        <v>68590.511565906549</v>
      </c>
      <c r="AM29" s="123">
        <f t="shared" si="1"/>
        <v>57436.341031035714</v>
      </c>
      <c r="AN29" s="123">
        <f t="shared" si="1"/>
        <v>46282.170496164865</v>
      </c>
      <c r="AO29" s="123">
        <f t="shared" si="1"/>
        <v>35127.99996129403</v>
      </c>
      <c r="AP29" s="123">
        <f t="shared" si="1"/>
        <v>23973.829426423188</v>
      </c>
      <c r="AQ29" s="123">
        <f t="shared" si="1"/>
        <v>12819.658891552343</v>
      </c>
      <c r="AR29" s="123">
        <f t="shared" si="1"/>
        <v>3621.2868141614622</v>
      </c>
      <c r="AS29" s="123"/>
      <c r="AT29" s="126">
        <f>SUM(D29:AS29)</f>
        <v>9905346.0704495236</v>
      </c>
    </row>
    <row r="30" spans="1:48" x14ac:dyDescent="0.2">
      <c r="A30" s="21"/>
      <c r="B30" s="21"/>
      <c r="C30" s="21"/>
      <c r="D30" s="445"/>
      <c r="E30" s="57"/>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row>
    <row r="31" spans="1:48" x14ac:dyDescent="0.2">
      <c r="A31" s="21"/>
      <c r="B31" s="21" t="s">
        <v>55</v>
      </c>
      <c r="C31" s="21"/>
      <c r="D31" s="445"/>
      <c r="E31" s="57">
        <f>+E30/0.79</f>
        <v>0</v>
      </c>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row>
    <row r="32" spans="1:48" x14ac:dyDescent="0.2">
      <c r="A32" s="432">
        <f>A29+1</f>
        <v>3</v>
      </c>
      <c r="B32" s="21"/>
      <c r="C32" s="21"/>
      <c r="D32" s="445"/>
      <c r="E32" s="57">
        <f>E49*$F10</f>
        <v>0</v>
      </c>
      <c r="F32" s="123">
        <f t="shared" ref="F32:AR32" si="2">F49*$F10</f>
        <v>0</v>
      </c>
      <c r="G32" s="123">
        <f t="shared" si="2"/>
        <v>0</v>
      </c>
      <c r="H32" s="123">
        <f t="shared" si="2"/>
        <v>0</v>
      </c>
      <c r="I32" s="123">
        <f t="shared" si="2"/>
        <v>0</v>
      </c>
      <c r="J32" s="123">
        <f t="shared" si="2"/>
        <v>0</v>
      </c>
      <c r="K32" s="123">
        <f t="shared" si="2"/>
        <v>0</v>
      </c>
      <c r="L32" s="123">
        <f t="shared" si="2"/>
        <v>0</v>
      </c>
      <c r="M32" s="123">
        <f t="shared" si="2"/>
        <v>0</v>
      </c>
      <c r="N32" s="123">
        <f t="shared" si="2"/>
        <v>0</v>
      </c>
      <c r="O32" s="123">
        <f t="shared" si="2"/>
        <v>0</v>
      </c>
      <c r="P32" s="123">
        <f t="shared" si="2"/>
        <v>0</v>
      </c>
      <c r="Q32" s="123">
        <f t="shared" si="2"/>
        <v>0</v>
      </c>
      <c r="R32" s="123">
        <f t="shared" si="2"/>
        <v>0</v>
      </c>
      <c r="S32" s="123">
        <f t="shared" si="2"/>
        <v>0</v>
      </c>
      <c r="T32" s="123">
        <f t="shared" si="2"/>
        <v>0</v>
      </c>
      <c r="U32" s="123">
        <f t="shared" si="2"/>
        <v>0</v>
      </c>
      <c r="V32" s="123">
        <f t="shared" si="2"/>
        <v>0</v>
      </c>
      <c r="W32" s="123">
        <f t="shared" si="2"/>
        <v>0</v>
      </c>
      <c r="X32" s="123">
        <f t="shared" si="2"/>
        <v>0</v>
      </c>
      <c r="Y32" s="123">
        <f t="shared" si="2"/>
        <v>0</v>
      </c>
      <c r="Z32" s="123">
        <f t="shared" si="2"/>
        <v>0</v>
      </c>
      <c r="AA32" s="123">
        <f t="shared" si="2"/>
        <v>0</v>
      </c>
      <c r="AB32" s="123">
        <f t="shared" si="2"/>
        <v>0</v>
      </c>
      <c r="AC32" s="123">
        <f t="shared" si="2"/>
        <v>0</v>
      </c>
      <c r="AD32" s="123">
        <f t="shared" si="2"/>
        <v>0</v>
      </c>
      <c r="AE32" s="123">
        <f t="shared" si="2"/>
        <v>0</v>
      </c>
      <c r="AF32" s="123">
        <f t="shared" si="2"/>
        <v>0</v>
      </c>
      <c r="AG32" s="123">
        <f t="shared" si="2"/>
        <v>0</v>
      </c>
      <c r="AH32" s="123">
        <f t="shared" si="2"/>
        <v>0</v>
      </c>
      <c r="AI32" s="123">
        <f t="shared" si="2"/>
        <v>0</v>
      </c>
      <c r="AJ32" s="123">
        <f t="shared" si="2"/>
        <v>0</v>
      </c>
      <c r="AK32" s="123">
        <f t="shared" si="2"/>
        <v>0</v>
      </c>
      <c r="AL32" s="123">
        <f t="shared" si="2"/>
        <v>0</v>
      </c>
      <c r="AM32" s="123">
        <f t="shared" si="2"/>
        <v>0</v>
      </c>
      <c r="AN32" s="123">
        <f t="shared" si="2"/>
        <v>0</v>
      </c>
      <c r="AO32" s="123">
        <f t="shared" si="2"/>
        <v>0</v>
      </c>
      <c r="AP32" s="123">
        <f t="shared" si="2"/>
        <v>0</v>
      </c>
      <c r="AQ32" s="123">
        <f t="shared" si="2"/>
        <v>0</v>
      </c>
      <c r="AR32" s="123">
        <f t="shared" si="2"/>
        <v>0</v>
      </c>
      <c r="AS32" s="123"/>
      <c r="AT32" s="126">
        <f t="shared" ref="AT32:AT42" si="3">SUM(D32:AS32)</f>
        <v>0</v>
      </c>
    </row>
    <row r="33" spans="1:46" x14ac:dyDescent="0.2">
      <c r="A33" s="432">
        <f>A32+1</f>
        <v>4</v>
      </c>
      <c r="B33" s="32"/>
      <c r="C33" s="32" t="s">
        <v>173</v>
      </c>
      <c r="D33" s="445"/>
      <c r="E33" s="57">
        <f>E49*$F11</f>
        <v>1288831.9658617489</v>
      </c>
      <c r="F33" s="123">
        <f t="shared" ref="F33:AR33" si="4">F49*$F11</f>
        <v>1247737.1293365576</v>
      </c>
      <c r="G33" s="123">
        <f t="shared" si="4"/>
        <v>1202625.4272970636</v>
      </c>
      <c r="H33" s="123">
        <f t="shared" si="4"/>
        <v>1158943.7129124734</v>
      </c>
      <c r="I33" s="123">
        <f t="shared" si="4"/>
        <v>1116584.9429610188</v>
      </c>
      <c r="J33" s="123">
        <f t="shared" si="4"/>
        <v>1075450.3083149134</v>
      </c>
      <c r="K33" s="123">
        <f t="shared" si="4"/>
        <v>1035447.8615913565</v>
      </c>
      <c r="L33" s="123">
        <f t="shared" si="4"/>
        <v>996492.51715253247</v>
      </c>
      <c r="M33" s="123">
        <f t="shared" si="4"/>
        <v>958121.79338644224</v>
      </c>
      <c r="N33" s="123">
        <f t="shared" si="4"/>
        <v>919834.78290917119</v>
      </c>
      <c r="O33" s="123">
        <f t="shared" si="4"/>
        <v>881547.77243189956</v>
      </c>
      <c r="P33" s="123">
        <f t="shared" si="4"/>
        <v>843260.7619546284</v>
      </c>
      <c r="Q33" s="123">
        <f t="shared" si="4"/>
        <v>804973.751477357</v>
      </c>
      <c r="R33" s="123">
        <f t="shared" si="4"/>
        <v>766686.74100008572</v>
      </c>
      <c r="S33" s="123">
        <f t="shared" si="4"/>
        <v>728399.73052281432</v>
      </c>
      <c r="T33" s="123">
        <f t="shared" si="4"/>
        <v>690112.72004554293</v>
      </c>
      <c r="U33" s="123">
        <f t="shared" si="4"/>
        <v>651825.70956827153</v>
      </c>
      <c r="V33" s="123">
        <f t="shared" si="4"/>
        <v>613538.69909100025</v>
      </c>
      <c r="W33" s="123">
        <f t="shared" si="4"/>
        <v>575251.68861372885</v>
      </c>
      <c r="X33" s="123">
        <f t="shared" si="4"/>
        <v>536964.67813645757</v>
      </c>
      <c r="Y33" s="123">
        <f t="shared" si="4"/>
        <v>501739.37827155669</v>
      </c>
      <c r="Z33" s="123">
        <f t="shared" si="4"/>
        <v>472636.12728239986</v>
      </c>
      <c r="AA33" s="123">
        <f t="shared" si="4"/>
        <v>446594.58690561331</v>
      </c>
      <c r="AB33" s="123">
        <f t="shared" si="4"/>
        <v>420553.04652882682</v>
      </c>
      <c r="AC33" s="123">
        <f t="shared" si="4"/>
        <v>394511.50615204033</v>
      </c>
      <c r="AD33" s="123">
        <f t="shared" si="4"/>
        <v>368469.96577525383</v>
      </c>
      <c r="AE33" s="123">
        <f t="shared" si="4"/>
        <v>342428.4253984674</v>
      </c>
      <c r="AF33" s="123">
        <f t="shared" si="4"/>
        <v>316386.88502168091</v>
      </c>
      <c r="AG33" s="123">
        <f t="shared" si="4"/>
        <v>290345.34464489436</v>
      </c>
      <c r="AH33" s="123">
        <f t="shared" si="4"/>
        <v>264303.80426810798</v>
      </c>
      <c r="AI33" s="123">
        <f t="shared" si="4"/>
        <v>238262.26389132155</v>
      </c>
      <c r="AJ33" s="123">
        <f t="shared" si="4"/>
        <v>212220.72351453503</v>
      </c>
      <c r="AK33" s="123">
        <f t="shared" si="4"/>
        <v>186179.18313774857</v>
      </c>
      <c r="AL33" s="123">
        <f t="shared" si="4"/>
        <v>160137.64276096207</v>
      </c>
      <c r="AM33" s="123">
        <f t="shared" si="4"/>
        <v>134096.10238417558</v>
      </c>
      <c r="AN33" s="123">
        <f t="shared" si="4"/>
        <v>108054.56200738909</v>
      </c>
      <c r="AO33" s="123">
        <f t="shared" si="4"/>
        <v>82013.021630602612</v>
      </c>
      <c r="AP33" s="123">
        <f t="shared" si="4"/>
        <v>55971.48125381612</v>
      </c>
      <c r="AQ33" s="123">
        <f t="shared" si="4"/>
        <v>29929.940877029632</v>
      </c>
      <c r="AR33" s="123">
        <f t="shared" si="4"/>
        <v>8454.5853492280512</v>
      </c>
      <c r="AS33" s="123"/>
      <c r="AT33" s="126">
        <f t="shared" si="3"/>
        <v>23125921.271620713</v>
      </c>
    </row>
    <row r="34" spans="1:46" x14ac:dyDescent="0.2">
      <c r="A34" s="432">
        <f>A33+1</f>
        <v>5</v>
      </c>
      <c r="B34" s="21"/>
      <c r="C34" s="21" t="s">
        <v>9</v>
      </c>
      <c r="D34" s="445"/>
      <c r="E34" s="59">
        <f>E49*$F12</f>
        <v>2076704.5103638077</v>
      </c>
      <c r="F34" s="121">
        <f t="shared" ref="F34:AR34" si="5">F49*$F12</f>
        <v>2010488.0953267501</v>
      </c>
      <c r="G34" s="121">
        <f t="shared" si="5"/>
        <v>1937799.2750793677</v>
      </c>
      <c r="H34" s="121">
        <f t="shared" si="5"/>
        <v>1867414.6045515474</v>
      </c>
      <c r="I34" s="121">
        <f t="shared" si="5"/>
        <v>1799161.6042057404</v>
      </c>
      <c r="J34" s="121">
        <f t="shared" si="5"/>
        <v>1732881.0621611327</v>
      </c>
      <c r="K34" s="121">
        <f t="shared" si="5"/>
        <v>1668424.8229175215</v>
      </c>
      <c r="L34" s="121">
        <f t="shared" si="5"/>
        <v>1605655.7873553175</v>
      </c>
      <c r="M34" s="121">
        <f t="shared" si="5"/>
        <v>1543828.7554212639</v>
      </c>
      <c r="N34" s="121">
        <f t="shared" si="5"/>
        <v>1482136.6113306787</v>
      </c>
      <c r="O34" s="121">
        <f t="shared" si="5"/>
        <v>1420444.4672400926</v>
      </c>
      <c r="P34" s="121">
        <f t="shared" si="5"/>
        <v>1358752.3231495074</v>
      </c>
      <c r="Q34" s="121">
        <f t="shared" si="5"/>
        <v>1297060.1790589215</v>
      </c>
      <c r="R34" s="121">
        <f t="shared" si="5"/>
        <v>1235368.0349683361</v>
      </c>
      <c r="S34" s="121">
        <f t="shared" si="5"/>
        <v>1173675.8908777502</v>
      </c>
      <c r="T34" s="121">
        <f t="shared" si="5"/>
        <v>1111983.7467871648</v>
      </c>
      <c r="U34" s="121">
        <f t="shared" si="5"/>
        <v>1050291.6026965789</v>
      </c>
      <c r="V34" s="121">
        <f t="shared" si="5"/>
        <v>988599.45860599354</v>
      </c>
      <c r="W34" s="121">
        <f t="shared" si="5"/>
        <v>926907.31451540778</v>
      </c>
      <c r="X34" s="121">
        <f t="shared" si="5"/>
        <v>865215.17042482225</v>
      </c>
      <c r="Y34" s="121">
        <f t="shared" si="5"/>
        <v>808456.38336335646</v>
      </c>
      <c r="Z34" s="121">
        <f t="shared" si="5"/>
        <v>761562.09908400825</v>
      </c>
      <c r="AA34" s="121">
        <f t="shared" si="5"/>
        <v>719601.17183377978</v>
      </c>
      <c r="AB34" s="121">
        <f t="shared" si="5"/>
        <v>677640.24458355131</v>
      </c>
      <c r="AC34" s="121">
        <f t="shared" si="5"/>
        <v>635679.31733332295</v>
      </c>
      <c r="AD34" s="121">
        <f t="shared" si="5"/>
        <v>593718.39008309459</v>
      </c>
      <c r="AE34" s="121">
        <f t="shared" si="5"/>
        <v>551757.46283286624</v>
      </c>
      <c r="AF34" s="121">
        <f t="shared" si="5"/>
        <v>509796.53558263782</v>
      </c>
      <c r="AG34" s="121">
        <f t="shared" si="5"/>
        <v>467835.60833240935</v>
      </c>
      <c r="AH34" s="121">
        <f t="shared" si="5"/>
        <v>425874.68108218111</v>
      </c>
      <c r="AI34" s="121">
        <f t="shared" si="5"/>
        <v>383913.75383195275</v>
      </c>
      <c r="AJ34" s="121">
        <f t="shared" si="5"/>
        <v>341952.82658172434</v>
      </c>
      <c r="AK34" s="121">
        <f t="shared" si="5"/>
        <v>299991.89933149592</v>
      </c>
      <c r="AL34" s="121">
        <f t="shared" si="5"/>
        <v>258030.97208126751</v>
      </c>
      <c r="AM34" s="121">
        <f t="shared" si="5"/>
        <v>216070.04483103912</v>
      </c>
      <c r="AN34" s="121">
        <f t="shared" si="5"/>
        <v>174109.11758081071</v>
      </c>
      <c r="AO34" s="121">
        <f t="shared" si="5"/>
        <v>132148.19033058229</v>
      </c>
      <c r="AP34" s="121">
        <f t="shared" si="5"/>
        <v>90187.263080353907</v>
      </c>
      <c r="AQ34" s="121">
        <f t="shared" si="5"/>
        <v>48226.335830125485</v>
      </c>
      <c r="AR34" s="121">
        <f t="shared" si="5"/>
        <v>13622.936110416931</v>
      </c>
      <c r="AS34" s="121"/>
      <c r="AT34" s="126">
        <f t="shared" si="3"/>
        <v>37262968.550738655</v>
      </c>
    </row>
    <row r="35" spans="1:46" x14ac:dyDescent="0.2">
      <c r="A35" s="432">
        <f>A34+1</f>
        <v>6</v>
      </c>
      <c r="B35" s="21"/>
      <c r="C35" s="21" t="s">
        <v>58</v>
      </c>
      <c r="D35" s="445"/>
      <c r="E35" s="57">
        <f>E32+E33+E34</f>
        <v>3365536.4762255568</v>
      </c>
      <c r="F35" s="123">
        <f>F32+F33+F34</f>
        <v>3258225.2246633079</v>
      </c>
      <c r="G35" s="123">
        <f>G32+G33+G34</f>
        <v>3140424.7023764313</v>
      </c>
      <c r="H35" s="123">
        <f t="shared" ref="H35:AR35" si="6">H32+H33+H34</f>
        <v>3026358.317464021</v>
      </c>
      <c r="I35" s="123">
        <f t="shared" si="6"/>
        <v>2915746.5471667591</v>
      </c>
      <c r="J35" s="123">
        <f t="shared" si="6"/>
        <v>2808331.3704760461</v>
      </c>
      <c r="K35" s="123">
        <f t="shared" si="6"/>
        <v>2703872.6845088778</v>
      </c>
      <c r="L35" s="123">
        <f t="shared" si="6"/>
        <v>2602148.3045078497</v>
      </c>
      <c r="M35" s="123">
        <f t="shared" si="6"/>
        <v>2501950.5488077062</v>
      </c>
      <c r="N35" s="123">
        <f t="shared" si="6"/>
        <v>2401971.3942398499</v>
      </c>
      <c r="O35" s="123">
        <f t="shared" si="6"/>
        <v>2301992.2396719921</v>
      </c>
      <c r="P35" s="123">
        <f t="shared" si="6"/>
        <v>2202013.0851041358</v>
      </c>
      <c r="Q35" s="123">
        <f t="shared" si="6"/>
        <v>2102033.9305362785</v>
      </c>
      <c r="R35" s="123">
        <f t="shared" si="6"/>
        <v>2002054.7759684217</v>
      </c>
      <c r="S35" s="123">
        <f t="shared" si="6"/>
        <v>1902075.6214005644</v>
      </c>
      <c r="T35" s="123">
        <f t="shared" si="6"/>
        <v>1802096.4668327076</v>
      </c>
      <c r="U35" s="123">
        <f t="shared" si="6"/>
        <v>1702117.3122648504</v>
      </c>
      <c r="V35" s="123">
        <f t="shared" si="6"/>
        <v>1602138.1576969938</v>
      </c>
      <c r="W35" s="123">
        <f t="shared" si="6"/>
        <v>1502159.0031291367</v>
      </c>
      <c r="X35" s="123">
        <f t="shared" si="6"/>
        <v>1402179.8485612799</v>
      </c>
      <c r="Y35" s="123">
        <f t="shared" si="6"/>
        <v>1310195.7616349133</v>
      </c>
      <c r="Z35" s="123">
        <f t="shared" si="6"/>
        <v>1234198.2263664082</v>
      </c>
      <c r="AA35" s="123">
        <f t="shared" si="6"/>
        <v>1166195.7587393932</v>
      </c>
      <c r="AB35" s="123">
        <f t="shared" si="6"/>
        <v>1098193.2911123782</v>
      </c>
      <c r="AC35" s="123">
        <f t="shared" si="6"/>
        <v>1030190.8234853633</v>
      </c>
      <c r="AD35" s="123">
        <f t="shared" si="6"/>
        <v>962188.35585834843</v>
      </c>
      <c r="AE35" s="123">
        <f t="shared" si="6"/>
        <v>894185.88823133358</v>
      </c>
      <c r="AF35" s="123">
        <f t="shared" si="6"/>
        <v>826183.42060431873</v>
      </c>
      <c r="AG35" s="123">
        <f t="shared" si="6"/>
        <v>758180.95297730365</v>
      </c>
      <c r="AH35" s="123">
        <f t="shared" si="6"/>
        <v>690178.48535028915</v>
      </c>
      <c r="AI35" s="123">
        <f t="shared" si="6"/>
        <v>622176.0177232743</v>
      </c>
      <c r="AJ35" s="123">
        <f t="shared" si="6"/>
        <v>554173.55009625934</v>
      </c>
      <c r="AK35" s="123">
        <f t="shared" si="6"/>
        <v>486171.08246924449</v>
      </c>
      <c r="AL35" s="123">
        <f t="shared" si="6"/>
        <v>418168.61484222958</v>
      </c>
      <c r="AM35" s="123">
        <f t="shared" si="6"/>
        <v>350166.14721521467</v>
      </c>
      <c r="AN35" s="123">
        <f t="shared" si="6"/>
        <v>282163.67958819983</v>
      </c>
      <c r="AO35" s="123">
        <f t="shared" si="6"/>
        <v>214161.21196118492</v>
      </c>
      <c r="AP35" s="123">
        <f t="shared" si="6"/>
        <v>146158.74433417001</v>
      </c>
      <c r="AQ35" s="123">
        <f t="shared" si="6"/>
        <v>78156.276707155121</v>
      </c>
      <c r="AR35" s="123">
        <f t="shared" si="6"/>
        <v>22077.52145964498</v>
      </c>
      <c r="AS35" s="123"/>
      <c r="AT35" s="126">
        <f t="shared" si="3"/>
        <v>60388889.822359413</v>
      </c>
    </row>
    <row r="36" spans="1:46" x14ac:dyDescent="0.2">
      <c r="A36" s="21"/>
      <c r="B36" s="21"/>
      <c r="C36" s="21"/>
      <c r="D36" s="445"/>
      <c r="E36" s="57"/>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6">
        <f t="shared" si="3"/>
        <v>0</v>
      </c>
    </row>
    <row r="37" spans="1:46" x14ac:dyDescent="0.2">
      <c r="A37" s="432">
        <f>A35+1</f>
        <v>7</v>
      </c>
      <c r="B37" s="21" t="s">
        <v>59</v>
      </c>
      <c r="C37" s="21"/>
      <c r="D37" s="445"/>
      <c r="E37" s="60">
        <f>E27+E29+E35</f>
        <v>5082376.6283872314</v>
      </c>
      <c r="F37" s="120">
        <f>F27+F29+F35</f>
        <v>4957463.5449796896</v>
      </c>
      <c r="G37" s="120">
        <f t="shared" ref="G37:AR37" si="7">G27+G29+G35</f>
        <v>4820340.6780700907</v>
      </c>
      <c r="H37" s="120">
        <f t="shared" si="7"/>
        <v>4687564.4440300316</v>
      </c>
      <c r="I37" s="120">
        <f t="shared" si="7"/>
        <v>4558809.4711092012</v>
      </c>
      <c r="J37" s="120">
        <f t="shared" si="7"/>
        <v>4433775.4161534663</v>
      </c>
      <c r="K37" s="120">
        <f t="shared" si="7"/>
        <v>4312182.7931721732</v>
      </c>
      <c r="L37" s="120">
        <f t="shared" si="7"/>
        <v>4193772.9733381541</v>
      </c>
      <c r="M37" s="120">
        <f t="shared" si="7"/>
        <v>4077140.1838327558</v>
      </c>
      <c r="N37" s="120">
        <f t="shared" si="7"/>
        <v>3960761.8517218325</v>
      </c>
      <c r="O37" s="120">
        <f t="shared" si="7"/>
        <v>3844383.5196109079</v>
      </c>
      <c r="P37" s="120">
        <f t="shared" si="7"/>
        <v>3728005.1874999842</v>
      </c>
      <c r="Q37" s="120">
        <f t="shared" si="7"/>
        <v>3611626.85538906</v>
      </c>
      <c r="R37" s="120">
        <f t="shared" si="7"/>
        <v>3495248.5232781358</v>
      </c>
      <c r="S37" s="120">
        <f t="shared" si="7"/>
        <v>3378870.1911672116</v>
      </c>
      <c r="T37" s="120">
        <f t="shared" si="7"/>
        <v>3262491.8590562879</v>
      </c>
      <c r="U37" s="120">
        <f t="shared" si="7"/>
        <v>3146113.5269453637</v>
      </c>
      <c r="V37" s="120">
        <f t="shared" si="7"/>
        <v>3029735.19483444</v>
      </c>
      <c r="W37" s="120">
        <f t="shared" si="7"/>
        <v>2913356.8627235158</v>
      </c>
      <c r="X37" s="120">
        <f t="shared" si="7"/>
        <v>2796978.5306125917</v>
      </c>
      <c r="Y37" s="120">
        <f t="shared" si="7"/>
        <v>2689906.6648471016</v>
      </c>
      <c r="Z37" s="120">
        <f t="shared" si="7"/>
        <v>2601443.5603397824</v>
      </c>
      <c r="AA37" s="120">
        <f t="shared" si="7"/>
        <v>2522286.9221778964</v>
      </c>
      <c r="AB37" s="120">
        <f t="shared" si="7"/>
        <v>2443130.2840160104</v>
      </c>
      <c r="AC37" s="120">
        <f t="shared" si="7"/>
        <v>2363973.6458541248</v>
      </c>
      <c r="AD37" s="120">
        <f t="shared" si="7"/>
        <v>2284817.0076922392</v>
      </c>
      <c r="AE37" s="120">
        <f t="shared" si="7"/>
        <v>2205660.3695303537</v>
      </c>
      <c r="AF37" s="120">
        <f t="shared" si="7"/>
        <v>2126503.7313684677</v>
      </c>
      <c r="AG37" s="120">
        <f t="shared" si="7"/>
        <v>2047347.0932065819</v>
      </c>
      <c r="AH37" s="120">
        <f t="shared" si="7"/>
        <v>1968190.4550446966</v>
      </c>
      <c r="AI37" s="120">
        <f t="shared" si="7"/>
        <v>1889033.816882811</v>
      </c>
      <c r="AJ37" s="120">
        <f t="shared" si="7"/>
        <v>1809877.178720925</v>
      </c>
      <c r="AK37" s="120">
        <f t="shared" si="7"/>
        <v>1730720.5405590395</v>
      </c>
      <c r="AL37" s="120">
        <f t="shared" si="7"/>
        <v>1651563.9023971534</v>
      </c>
      <c r="AM37" s="120">
        <f t="shared" si="7"/>
        <v>1572407.2642352679</v>
      </c>
      <c r="AN37" s="120">
        <f t="shared" si="7"/>
        <v>1493250.6260733821</v>
      </c>
      <c r="AO37" s="120">
        <f t="shared" si="7"/>
        <v>1414093.9879114963</v>
      </c>
      <c r="AP37" s="120">
        <f t="shared" si="7"/>
        <v>1334937.3497496108</v>
      </c>
      <c r="AQ37" s="120">
        <f t="shared" si="7"/>
        <v>1255780.711587725</v>
      </c>
      <c r="AR37" s="120">
        <f t="shared" si="7"/>
        <v>782024.37426282396</v>
      </c>
      <c r="AS37" s="120"/>
      <c r="AT37" s="126">
        <f t="shared" si="3"/>
        <v>116477947.7223696</v>
      </c>
    </row>
    <row r="38" spans="1:46" x14ac:dyDescent="0.2">
      <c r="A38" s="432">
        <f>A37+1</f>
        <v>8</v>
      </c>
      <c r="B38" s="21" t="s">
        <v>60</v>
      </c>
      <c r="C38" s="21"/>
      <c r="D38" s="445"/>
      <c r="E38" s="59">
        <f>E37/(1-$F16)-E37</f>
        <v>253154.9676365396</v>
      </c>
      <c r="F38" s="121">
        <f t="shared" ref="F38:AR38" si="8">F37/(1-$F16)-F37</f>
        <v>246933.00301259011</v>
      </c>
      <c r="G38" s="121">
        <f t="shared" si="8"/>
        <v>240102.86477748957</v>
      </c>
      <c r="H38" s="121">
        <f t="shared" si="8"/>
        <v>233489.23385459185</v>
      </c>
      <c r="I38" s="121">
        <f t="shared" si="8"/>
        <v>227075.90336256195</v>
      </c>
      <c r="J38" s="121">
        <f t="shared" si="8"/>
        <v>220847.91310324334</v>
      </c>
      <c r="K38" s="121">
        <f t="shared" si="8"/>
        <v>214791.34178112913</v>
      </c>
      <c r="L38" s="121">
        <f t="shared" si="8"/>
        <v>208893.30700336397</v>
      </c>
      <c r="M38" s="121">
        <f t="shared" si="8"/>
        <v>203083.78673135536</v>
      </c>
      <c r="N38" s="121">
        <f t="shared" si="8"/>
        <v>197286.94107167376</v>
      </c>
      <c r="O38" s="121">
        <f t="shared" si="8"/>
        <v>191490.0954119917</v>
      </c>
      <c r="P38" s="121">
        <f t="shared" si="8"/>
        <v>185693.24975230964</v>
      </c>
      <c r="Q38" s="121">
        <f t="shared" si="8"/>
        <v>179896.40409262758</v>
      </c>
      <c r="R38" s="121">
        <f t="shared" si="8"/>
        <v>174099.55843294552</v>
      </c>
      <c r="S38" s="121">
        <f t="shared" si="8"/>
        <v>168302.71277326392</v>
      </c>
      <c r="T38" s="121">
        <f t="shared" si="8"/>
        <v>162505.86711358186</v>
      </c>
      <c r="U38" s="121">
        <f t="shared" si="8"/>
        <v>156709.0214538998</v>
      </c>
      <c r="V38" s="121">
        <f t="shared" si="8"/>
        <v>150912.1757942182</v>
      </c>
      <c r="W38" s="121">
        <f t="shared" si="8"/>
        <v>145115.33013453614</v>
      </c>
      <c r="X38" s="121">
        <f t="shared" si="8"/>
        <v>139318.48447485408</v>
      </c>
      <c r="Y38" s="121">
        <f t="shared" si="8"/>
        <v>133985.19717748044</v>
      </c>
      <c r="Z38" s="121">
        <f t="shared" si="8"/>
        <v>129578.81882419297</v>
      </c>
      <c r="AA38" s="121">
        <f t="shared" si="8"/>
        <v>125635.9988332144</v>
      </c>
      <c r="AB38" s="121">
        <f t="shared" si="8"/>
        <v>121693.17884223536</v>
      </c>
      <c r="AC38" s="121">
        <f t="shared" si="8"/>
        <v>117750.35885125631</v>
      </c>
      <c r="AD38" s="121">
        <f t="shared" si="8"/>
        <v>113807.53886027727</v>
      </c>
      <c r="AE38" s="121">
        <f t="shared" si="8"/>
        <v>109864.71886929823</v>
      </c>
      <c r="AF38" s="121">
        <f t="shared" si="8"/>
        <v>105921.89887831919</v>
      </c>
      <c r="AG38" s="121">
        <f t="shared" si="8"/>
        <v>101979.07888734038</v>
      </c>
      <c r="AH38" s="121">
        <f t="shared" si="8"/>
        <v>98036.258896361338</v>
      </c>
      <c r="AI38" s="121">
        <f t="shared" si="8"/>
        <v>94093.438905382529</v>
      </c>
      <c r="AJ38" s="121">
        <f t="shared" si="8"/>
        <v>90150.618914403487</v>
      </c>
      <c r="AK38" s="121">
        <f t="shared" si="8"/>
        <v>86207.798923424445</v>
      </c>
      <c r="AL38" s="121">
        <f t="shared" si="8"/>
        <v>82264.978932445403</v>
      </c>
      <c r="AM38" s="121">
        <f t="shared" si="8"/>
        <v>78322.158941466594</v>
      </c>
      <c r="AN38" s="121">
        <f t="shared" si="8"/>
        <v>74379.338950487552</v>
      </c>
      <c r="AO38" s="121">
        <f t="shared" si="8"/>
        <v>70436.51895950851</v>
      </c>
      <c r="AP38" s="121">
        <f t="shared" si="8"/>
        <v>66493.698968529701</v>
      </c>
      <c r="AQ38" s="121">
        <f t="shared" si="8"/>
        <v>62550.878977550659</v>
      </c>
      <c r="AR38" s="121">
        <f t="shared" si="8"/>
        <v>38952.909166889614</v>
      </c>
      <c r="AS38" s="121"/>
      <c r="AT38" s="126">
        <f t="shared" si="3"/>
        <v>5801807.5483288281</v>
      </c>
    </row>
    <row r="39" spans="1:46" x14ac:dyDescent="0.2">
      <c r="A39" s="432">
        <f>A38+1</f>
        <v>9</v>
      </c>
      <c r="B39" s="21"/>
      <c r="C39" s="21" t="s">
        <v>61</v>
      </c>
      <c r="D39" s="445"/>
      <c r="E39" s="60">
        <f>SUM(E37:E38)</f>
        <v>5335531.596023771</v>
      </c>
      <c r="F39" s="120">
        <f t="shared" ref="F39:AR39" si="9">SUM(F37:F38)</f>
        <v>5204396.5479922798</v>
      </c>
      <c r="G39" s="120">
        <f t="shared" si="9"/>
        <v>5060443.5428475803</v>
      </c>
      <c r="H39" s="120">
        <f t="shared" si="9"/>
        <v>4921053.6778846234</v>
      </c>
      <c r="I39" s="120">
        <f t="shared" si="9"/>
        <v>4785885.3744717631</v>
      </c>
      <c r="J39" s="120">
        <f t="shared" si="9"/>
        <v>4654623.3292567097</v>
      </c>
      <c r="K39" s="120">
        <f t="shared" si="9"/>
        <v>4526974.1349533023</v>
      </c>
      <c r="L39" s="120">
        <f t="shared" si="9"/>
        <v>4402666.2803415181</v>
      </c>
      <c r="M39" s="120">
        <f t="shared" si="9"/>
        <v>4280223.9705641111</v>
      </c>
      <c r="N39" s="120">
        <f t="shared" si="9"/>
        <v>4158048.7927935063</v>
      </c>
      <c r="O39" s="120">
        <f t="shared" si="9"/>
        <v>4035873.6150228996</v>
      </c>
      <c r="P39" s="120">
        <f t="shared" si="9"/>
        <v>3913698.4372522938</v>
      </c>
      <c r="Q39" s="120">
        <f t="shared" si="9"/>
        <v>3791523.2594816876</v>
      </c>
      <c r="R39" s="120">
        <f t="shared" si="9"/>
        <v>3669348.0817110813</v>
      </c>
      <c r="S39" s="120">
        <f t="shared" si="9"/>
        <v>3547172.9039404755</v>
      </c>
      <c r="T39" s="120">
        <f t="shared" si="9"/>
        <v>3424997.7261698698</v>
      </c>
      <c r="U39" s="120">
        <f t="shared" si="9"/>
        <v>3302822.5483992635</v>
      </c>
      <c r="V39" s="120">
        <f t="shared" si="9"/>
        <v>3180647.3706286582</v>
      </c>
      <c r="W39" s="120">
        <f t="shared" si="9"/>
        <v>3058472.192858052</v>
      </c>
      <c r="X39" s="120">
        <f t="shared" si="9"/>
        <v>2936297.0150874457</v>
      </c>
      <c r="Y39" s="120">
        <f t="shared" si="9"/>
        <v>2823891.862024582</v>
      </c>
      <c r="Z39" s="120">
        <f t="shared" si="9"/>
        <v>2731022.3791639754</v>
      </c>
      <c r="AA39" s="120">
        <f t="shared" si="9"/>
        <v>2647922.9210111108</v>
      </c>
      <c r="AB39" s="120">
        <f t="shared" si="9"/>
        <v>2564823.4628582457</v>
      </c>
      <c r="AC39" s="120">
        <f t="shared" si="9"/>
        <v>2481724.0047053811</v>
      </c>
      <c r="AD39" s="120">
        <f t="shared" si="9"/>
        <v>2398624.5465525165</v>
      </c>
      <c r="AE39" s="120">
        <f t="shared" si="9"/>
        <v>2315525.0883996519</v>
      </c>
      <c r="AF39" s="120">
        <f t="shared" si="9"/>
        <v>2232425.6302467869</v>
      </c>
      <c r="AG39" s="120">
        <f t="shared" si="9"/>
        <v>2149326.1720939223</v>
      </c>
      <c r="AH39" s="120">
        <f t="shared" si="9"/>
        <v>2066226.7139410579</v>
      </c>
      <c r="AI39" s="120">
        <f t="shared" si="9"/>
        <v>1983127.2557881935</v>
      </c>
      <c r="AJ39" s="120">
        <f t="shared" si="9"/>
        <v>1900027.7976353285</v>
      </c>
      <c r="AK39" s="120">
        <f t="shared" si="9"/>
        <v>1816928.3394824639</v>
      </c>
      <c r="AL39" s="120">
        <f t="shared" si="9"/>
        <v>1733828.8813295988</v>
      </c>
      <c r="AM39" s="120">
        <f t="shared" si="9"/>
        <v>1650729.4231767345</v>
      </c>
      <c r="AN39" s="120">
        <f t="shared" si="9"/>
        <v>1567629.9650238696</v>
      </c>
      <c r="AO39" s="120">
        <f t="shared" si="9"/>
        <v>1484530.5068710048</v>
      </c>
      <c r="AP39" s="120">
        <f t="shared" si="9"/>
        <v>1401431.0487181405</v>
      </c>
      <c r="AQ39" s="120">
        <f t="shared" si="9"/>
        <v>1318331.5905652756</v>
      </c>
      <c r="AR39" s="120">
        <f t="shared" si="9"/>
        <v>820977.28342971357</v>
      </c>
      <c r="AS39" s="120"/>
      <c r="AT39" s="126">
        <f t="shared" si="3"/>
        <v>122279755.27069844</v>
      </c>
    </row>
    <row r="40" spans="1:46" x14ac:dyDescent="0.2">
      <c r="A40" s="432">
        <f t="shared" ref="A40:A66" si="10">A39+1</f>
        <v>10</v>
      </c>
      <c r="B40" s="21"/>
      <c r="C40" s="21"/>
      <c r="D40" s="445"/>
      <c r="E40" s="6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6">
        <f t="shared" si="3"/>
        <v>0</v>
      </c>
    </row>
    <row r="41" spans="1:46" x14ac:dyDescent="0.2">
      <c r="A41" s="432">
        <f t="shared" si="10"/>
        <v>11</v>
      </c>
      <c r="B41" s="21"/>
      <c r="C41" s="21"/>
      <c r="D41" s="445"/>
      <c r="E41" s="57"/>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6">
        <f t="shared" si="3"/>
        <v>0</v>
      </c>
    </row>
    <row r="42" spans="1:46" x14ac:dyDescent="0.2">
      <c r="A42" s="432">
        <f t="shared" si="10"/>
        <v>12</v>
      </c>
      <c r="B42" s="21" t="s">
        <v>208</v>
      </c>
      <c r="C42" s="21"/>
      <c r="D42" s="445"/>
      <c r="E42" s="59">
        <f>E39</f>
        <v>5335531.596023771</v>
      </c>
      <c r="F42" s="121">
        <f>F39</f>
        <v>5204396.5479922798</v>
      </c>
      <c r="G42" s="121">
        <f t="shared" ref="G42:AR42" si="11">G39</f>
        <v>5060443.5428475803</v>
      </c>
      <c r="H42" s="121">
        <f t="shared" si="11"/>
        <v>4921053.6778846234</v>
      </c>
      <c r="I42" s="121">
        <f t="shared" si="11"/>
        <v>4785885.3744717631</v>
      </c>
      <c r="J42" s="121">
        <f t="shared" si="11"/>
        <v>4654623.3292567097</v>
      </c>
      <c r="K42" s="121">
        <f t="shared" si="11"/>
        <v>4526974.1349533023</v>
      </c>
      <c r="L42" s="121">
        <f t="shared" si="11"/>
        <v>4402666.2803415181</v>
      </c>
      <c r="M42" s="121">
        <f t="shared" si="11"/>
        <v>4280223.9705641111</v>
      </c>
      <c r="N42" s="121">
        <f t="shared" si="11"/>
        <v>4158048.7927935063</v>
      </c>
      <c r="O42" s="121">
        <f t="shared" si="11"/>
        <v>4035873.6150228996</v>
      </c>
      <c r="P42" s="121">
        <f t="shared" si="11"/>
        <v>3913698.4372522938</v>
      </c>
      <c r="Q42" s="121">
        <f t="shared" si="11"/>
        <v>3791523.2594816876</v>
      </c>
      <c r="R42" s="121">
        <f t="shared" si="11"/>
        <v>3669348.0817110813</v>
      </c>
      <c r="S42" s="121">
        <f t="shared" si="11"/>
        <v>3547172.9039404755</v>
      </c>
      <c r="T42" s="121">
        <f t="shared" si="11"/>
        <v>3424997.7261698698</v>
      </c>
      <c r="U42" s="121">
        <f t="shared" si="11"/>
        <v>3302822.5483992635</v>
      </c>
      <c r="V42" s="121">
        <f t="shared" si="11"/>
        <v>3180647.3706286582</v>
      </c>
      <c r="W42" s="121">
        <f t="shared" si="11"/>
        <v>3058472.192858052</v>
      </c>
      <c r="X42" s="121">
        <f t="shared" si="11"/>
        <v>2936297.0150874457</v>
      </c>
      <c r="Y42" s="121">
        <f t="shared" si="11"/>
        <v>2823891.862024582</v>
      </c>
      <c r="Z42" s="121">
        <f t="shared" si="11"/>
        <v>2731022.3791639754</v>
      </c>
      <c r="AA42" s="121">
        <f t="shared" si="11"/>
        <v>2647922.9210111108</v>
      </c>
      <c r="AB42" s="121">
        <f t="shared" si="11"/>
        <v>2564823.4628582457</v>
      </c>
      <c r="AC42" s="121">
        <f t="shared" si="11"/>
        <v>2481724.0047053811</v>
      </c>
      <c r="AD42" s="121">
        <f t="shared" si="11"/>
        <v>2398624.5465525165</v>
      </c>
      <c r="AE42" s="121">
        <f t="shared" si="11"/>
        <v>2315525.0883996519</v>
      </c>
      <c r="AF42" s="121">
        <f t="shared" si="11"/>
        <v>2232425.6302467869</v>
      </c>
      <c r="AG42" s="121">
        <f t="shared" si="11"/>
        <v>2149326.1720939223</v>
      </c>
      <c r="AH42" s="121">
        <f t="shared" si="11"/>
        <v>2066226.7139410579</v>
      </c>
      <c r="AI42" s="121">
        <f t="shared" si="11"/>
        <v>1983127.2557881935</v>
      </c>
      <c r="AJ42" s="121">
        <f t="shared" si="11"/>
        <v>1900027.7976353285</v>
      </c>
      <c r="AK42" s="121">
        <f t="shared" si="11"/>
        <v>1816928.3394824639</v>
      </c>
      <c r="AL42" s="121">
        <f t="shared" si="11"/>
        <v>1733828.8813295988</v>
      </c>
      <c r="AM42" s="121">
        <f t="shared" si="11"/>
        <v>1650729.4231767345</v>
      </c>
      <c r="AN42" s="121">
        <f t="shared" si="11"/>
        <v>1567629.9650238696</v>
      </c>
      <c r="AO42" s="121">
        <f t="shared" si="11"/>
        <v>1484530.5068710048</v>
      </c>
      <c r="AP42" s="121">
        <f t="shared" si="11"/>
        <v>1401431.0487181405</v>
      </c>
      <c r="AQ42" s="121">
        <f t="shared" si="11"/>
        <v>1318331.5905652756</v>
      </c>
      <c r="AR42" s="121">
        <f t="shared" si="11"/>
        <v>820977.28342971357</v>
      </c>
      <c r="AS42" s="121"/>
      <c r="AT42" s="126">
        <f t="shared" si="3"/>
        <v>122279755.27069844</v>
      </c>
    </row>
    <row r="43" spans="1:46" x14ac:dyDescent="0.2">
      <c r="A43" s="432">
        <f t="shared" si="10"/>
        <v>13</v>
      </c>
      <c r="B43" s="21"/>
      <c r="C43" s="21"/>
      <c r="D43" s="445"/>
      <c r="E43" s="107"/>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row>
    <row r="44" spans="1:46" outlineLevel="1" x14ac:dyDescent="0.2">
      <c r="A44" s="432">
        <f t="shared" si="10"/>
        <v>14</v>
      </c>
      <c r="B44" s="21"/>
      <c r="C44" s="21"/>
      <c r="D44" s="445"/>
      <c r="E44" s="62"/>
      <c r="F44" s="445"/>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row>
    <row r="45" spans="1:46" outlineLevel="1" x14ac:dyDescent="0.2">
      <c r="A45" s="432">
        <f t="shared" si="10"/>
        <v>15</v>
      </c>
      <c r="B45" s="21" t="s">
        <v>63</v>
      </c>
      <c r="C45" s="445"/>
      <c r="D45" s="445"/>
      <c r="E45" s="64">
        <f>+E42/$F$22</f>
        <v>0.11552842733090853</v>
      </c>
      <c r="F45" s="122">
        <f t="shared" ref="F45:AR45" si="12">+F42/$F$22</f>
        <v>0.11268900531748975</v>
      </c>
      <c r="G45" s="122">
        <f t="shared" si="12"/>
        <v>0.10957204049503062</v>
      </c>
      <c r="H45" s="122">
        <f t="shared" si="12"/>
        <v>0.10655387977473069</v>
      </c>
      <c r="I45" s="122">
        <f t="shared" si="12"/>
        <v>0.10362712707216733</v>
      </c>
      <c r="J45" s="122">
        <f t="shared" si="12"/>
        <v>0.1007849552324888</v>
      </c>
      <c r="K45" s="122">
        <f t="shared" si="12"/>
        <v>9.8021011208819203E-2</v>
      </c>
      <c r="L45" s="122">
        <f t="shared" si="12"/>
        <v>9.5329416062258546E-2</v>
      </c>
      <c r="M45" s="122">
        <f t="shared" si="12"/>
        <v>9.2678214915237034E-2</v>
      </c>
      <c r="N45" s="122">
        <f t="shared" si="12"/>
        <v>9.0032797885520446E-2</v>
      </c>
      <c r="O45" s="122">
        <f t="shared" si="12"/>
        <v>8.7387380855803831E-2</v>
      </c>
      <c r="P45" s="122">
        <f t="shared" si="12"/>
        <v>8.474196382608723E-2</v>
      </c>
      <c r="Q45" s="122">
        <f t="shared" si="12"/>
        <v>8.2096546796370629E-2</v>
      </c>
      <c r="R45" s="122">
        <f t="shared" si="12"/>
        <v>7.9451129766654027E-2</v>
      </c>
      <c r="S45" s="122">
        <f t="shared" si="12"/>
        <v>7.6805712736937426E-2</v>
      </c>
      <c r="T45" s="122">
        <f t="shared" si="12"/>
        <v>7.4160295707220825E-2</v>
      </c>
      <c r="U45" s="122">
        <f t="shared" si="12"/>
        <v>7.1514878677504223E-2</v>
      </c>
      <c r="V45" s="122">
        <f t="shared" si="12"/>
        <v>6.8869461647787636E-2</v>
      </c>
      <c r="W45" s="122">
        <f t="shared" si="12"/>
        <v>6.6224044618071021E-2</v>
      </c>
      <c r="X45" s="122">
        <f t="shared" si="12"/>
        <v>6.3578627588354419E-2</v>
      </c>
      <c r="Y45" s="122">
        <f t="shared" si="12"/>
        <v>6.1144757537445089E-2</v>
      </c>
      <c r="Z45" s="122">
        <f t="shared" si="12"/>
        <v>5.9133886622555122E-2</v>
      </c>
      <c r="AA45" s="122">
        <f t="shared" si="12"/>
        <v>5.7334562686472419E-2</v>
      </c>
      <c r="AB45" s="122">
        <f t="shared" si="12"/>
        <v>5.5535238750389716E-2</v>
      </c>
      <c r="AC45" s="122">
        <f t="shared" si="12"/>
        <v>5.3735914814307013E-2</v>
      </c>
      <c r="AD45" s="122">
        <f t="shared" si="12"/>
        <v>5.1936590878224317E-2</v>
      </c>
      <c r="AE45" s="122">
        <f t="shared" si="12"/>
        <v>5.0137266942141621E-2</v>
      </c>
      <c r="AF45" s="122">
        <f t="shared" si="12"/>
        <v>4.8337943006058912E-2</v>
      </c>
      <c r="AG45" s="122">
        <f t="shared" si="12"/>
        <v>4.6538619069976216E-2</v>
      </c>
      <c r="AH45" s="122">
        <f t="shared" si="12"/>
        <v>4.473929513389352E-2</v>
      </c>
      <c r="AI45" s="122">
        <f t="shared" si="12"/>
        <v>4.2939971197810831E-2</v>
      </c>
      <c r="AJ45" s="122">
        <f t="shared" si="12"/>
        <v>4.1140647261728121E-2</v>
      </c>
      <c r="AK45" s="122">
        <f t="shared" si="12"/>
        <v>3.9341323325645425E-2</v>
      </c>
      <c r="AL45" s="122">
        <f t="shared" si="12"/>
        <v>3.7541999389562715E-2</v>
      </c>
      <c r="AM45" s="122">
        <f t="shared" si="12"/>
        <v>3.5742675453480019E-2</v>
      </c>
      <c r="AN45" s="122">
        <f t="shared" si="12"/>
        <v>3.3943351517397316E-2</v>
      </c>
      <c r="AO45" s="122">
        <f t="shared" si="12"/>
        <v>3.2144027581314613E-2</v>
      </c>
      <c r="AP45" s="122">
        <f t="shared" si="12"/>
        <v>3.0344703645231921E-2</v>
      </c>
      <c r="AQ45" s="122">
        <f t="shared" si="12"/>
        <v>2.8545379709149218E-2</v>
      </c>
      <c r="AR45" s="122">
        <f t="shared" si="12"/>
        <v>1.7776338256476478E-2</v>
      </c>
      <c r="AS45" s="122"/>
    </row>
    <row r="46" spans="1:46" outlineLevel="1" x14ac:dyDescent="0.2">
      <c r="A46" s="432">
        <f t="shared" si="10"/>
        <v>16</v>
      </c>
      <c r="B46" s="21"/>
      <c r="C46" s="21"/>
      <c r="D46" s="445"/>
      <c r="E46" s="62"/>
      <c r="F46" s="445"/>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row>
    <row r="47" spans="1:46" outlineLevel="1" x14ac:dyDescent="0.2">
      <c r="A47" s="432">
        <f t="shared" si="10"/>
        <v>17</v>
      </c>
      <c r="B47" s="21"/>
      <c r="C47" s="21"/>
      <c r="D47" s="445"/>
      <c r="E47" s="62">
        <f>+E27/2</f>
        <v>582402.38799450872</v>
      </c>
      <c r="F47" s="120"/>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row>
    <row r="48" spans="1:46" outlineLevel="1" x14ac:dyDescent="0.2">
      <c r="A48" s="432">
        <f t="shared" si="10"/>
        <v>18</v>
      </c>
      <c r="B48" s="21"/>
      <c r="C48" s="21"/>
      <c r="D48" s="445"/>
      <c r="E48" s="62">
        <f>+E60/2</f>
        <v>59543.863851778005</v>
      </c>
      <c r="F48" s="120"/>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row>
    <row r="49" spans="1:46" x14ac:dyDescent="0.2">
      <c r="A49" s="432">
        <f t="shared" si="10"/>
        <v>19</v>
      </c>
      <c r="B49" s="65" t="s">
        <v>64</v>
      </c>
      <c r="C49" s="21"/>
      <c r="D49" s="445"/>
      <c r="E49" s="60">
        <f>F22-E27/2-E60/2</f>
        <v>45541765.578153677</v>
      </c>
      <c r="F49" s="138">
        <f>$F$22-(SUM($E$27:E27)+F27/2)-(SUM($E$60:E60)+F60/2)</f>
        <v>44089651.21330592</v>
      </c>
      <c r="G49" s="138">
        <f>$F$22-(SUM($E$27:F27)+G27/2)-(SUM($E$60:F60)+G60/2)</f>
        <v>42495598.13770543</v>
      </c>
      <c r="H49" s="138">
        <f>$F$22-(SUM($E$27:G27)+H27/2)-(SUM($E$60:G60)+H60/2)</f>
        <v>40952074.661218144</v>
      </c>
      <c r="I49" s="138">
        <f>$F$22-(SUM($E$27:H27)+I27/2)-(SUM($E$60:H60)+I60/2)</f>
        <v>39455298.337845184</v>
      </c>
      <c r="J49" s="138">
        <f>$F$22-(SUM($E$27:I27)+J27/2)-(SUM($E$60:I60)+J60/2)</f>
        <v>38001777.678972207</v>
      </c>
      <c r="K49" s="138">
        <f>$F$22-(SUM($E$27:J27)+K27/2)-(SUM($E$60:J60)+K60/2)</f>
        <v>36588263.660471961</v>
      </c>
      <c r="L49" s="138">
        <f>$F$22-(SUM($E$27:K27)+L27/2)-(SUM($E$60:K60)+L60/2)</f>
        <v>35211749.722704329</v>
      </c>
      <c r="M49" s="138">
        <f>$F$22-(SUM($E$27:L27)+M27/2)-(SUM($E$60:L60)+M60/2)</f>
        <v>33855893.759238243</v>
      </c>
      <c r="N49" s="138">
        <f>$F$22-(SUM($E$27:M27)+N27/2)-(SUM($E$60:M60)+N60/2)</f>
        <v>32502995.862514883</v>
      </c>
      <c r="O49" s="138">
        <f>$F$22-(SUM($E$27:N27)+O27/2)-(SUM($E$60:N60)+O60/2)</f>
        <v>31150097.965791505</v>
      </c>
      <c r="P49" s="138">
        <f>$F$22-(SUM($E$27:O27)+P27/2)-(SUM($E$60:O60)+P60/2)</f>
        <v>29797200.069068141</v>
      </c>
      <c r="Q49" s="138">
        <f>$F$22-(SUM($E$27:P27)+Q27/2)-(SUM($E$60:P60)+Q60/2)</f>
        <v>28444302.17234477</v>
      </c>
      <c r="R49" s="138">
        <f>$F$22-(SUM($E$27:Q27)+R27/2)-(SUM($E$60:Q60)+R60/2)</f>
        <v>27091404.275621403</v>
      </c>
      <c r="S49" s="138">
        <f>$F$22-(SUM($E$27:R27)+S27/2)-(SUM($E$60:R60)+S60/2)</f>
        <v>25738506.378898032</v>
      </c>
      <c r="T49" s="138">
        <f>$F$22-(SUM($E$27:S27)+T27/2)-(SUM($E$60:S60)+T60/2)</f>
        <v>24385608.482174665</v>
      </c>
      <c r="U49" s="138">
        <f>$F$22-(SUM($E$27:T27)+U27/2)-(SUM($E$60:T60)+U60/2)</f>
        <v>23032710.585451294</v>
      </c>
      <c r="V49" s="138">
        <f>$F$22-(SUM($E$27:U27)+V27/2)-(SUM($E$60:U60)+V60/2)</f>
        <v>21679812.688727926</v>
      </c>
      <c r="W49" s="138">
        <f>$F$22-(SUM($E$27:V27)+W27/2)-(SUM($E$60:V60)+W60/2)</f>
        <v>20326914.792004555</v>
      </c>
      <c r="X49" s="138">
        <f>$F$22-(SUM($E$27:W27)+X27/2)-(SUM($E$60:W60)+X60/2)</f>
        <v>18974016.895281188</v>
      </c>
      <c r="Y49" s="138">
        <f>$F$22-(SUM($E$27:X27)+Y27/2)-(SUM($E$60:X60)+Y60/2)</f>
        <v>17729306.652705185</v>
      </c>
      <c r="Z49" s="138">
        <f>$F$22-(SUM($E$27:Y27)+Z27/2)-(SUM($E$60:Y60)+Z60/2)</f>
        <v>16700923.225526497</v>
      </c>
      <c r="AA49" s="138">
        <f>$F$22-(SUM($E$27:Z27)+AA27/2)-(SUM($E$60:Z60)+AA60/2)</f>
        <v>15780727.452495171</v>
      </c>
      <c r="AB49" s="138">
        <f>$F$22-(SUM($E$27:AA27)+AB27/2)-(SUM($E$60:AA60)+AB60/2)</f>
        <v>14860531.679463845</v>
      </c>
      <c r="AC49" s="138">
        <f>$F$22-(SUM($E$27:AB27)+AC27/2)-(SUM($E$60:AB60)+AC60/2)</f>
        <v>13940335.906432521</v>
      </c>
      <c r="AD49" s="138">
        <f>$F$22-(SUM($E$27:AC27)+AD27/2)-(SUM($E$60:AC60)+AD60/2)</f>
        <v>13020140.133401196</v>
      </c>
      <c r="AE49" s="138">
        <f>$F$22-(SUM($E$27:AD27)+AE27/2)-(SUM($E$60:AD60)+AE60/2)</f>
        <v>12099944.360369872</v>
      </c>
      <c r="AF49" s="138">
        <f>$F$22-(SUM($E$27:AE27)+AF27/2)-(SUM($E$60:AE60)+AF60/2)</f>
        <v>11179748.587338548</v>
      </c>
      <c r="AG49" s="138">
        <f>$F$22-(SUM($E$27:AF27)+AG27/2)-(SUM($E$60:AF60)+AG60/2)</f>
        <v>10259552.814307222</v>
      </c>
      <c r="AH49" s="138">
        <f>$F$22-(SUM($E$27:AG27)+AH27/2)-(SUM($E$60:AG60)+AH60/2)</f>
        <v>9339357.0412759017</v>
      </c>
      <c r="AI49" s="138">
        <f>$F$22-(SUM($E$27:AH27)+AI27/2)-(SUM($E$60:AH60)+AI60/2)</f>
        <v>8419161.2682445776</v>
      </c>
      <c r="AJ49" s="138">
        <f>$F$22-(SUM($E$27:AI27)+AJ27/2)-(SUM($E$60:AI60)+AJ60/2)</f>
        <v>7498965.4952132525</v>
      </c>
      <c r="AK49" s="138">
        <f>$F$22-(SUM($E$27:AJ27)+AK27/2)-(SUM($E$60:AJ60)+AK60/2)</f>
        <v>6578769.7221819283</v>
      </c>
      <c r="AL49" s="138">
        <f>$F$22-(SUM($E$27:AK27)+AL27/2)-(SUM($E$60:AK60)+AL60/2)</f>
        <v>5658573.9491506033</v>
      </c>
      <c r="AM49" s="138">
        <f>$F$22-(SUM($E$27:AL27)+AM27/2)-(SUM($E$60:AL60)+AM60/2)</f>
        <v>4738378.1761192791</v>
      </c>
      <c r="AN49" s="138">
        <f>$F$22-(SUM($E$27:AM27)+AN27/2)-(SUM($E$60:AM60)+AN60/2)</f>
        <v>3818182.403087954</v>
      </c>
      <c r="AO49" s="138">
        <f>$F$22-(SUM($E$27:AN27)+AO27/2)-(SUM($E$60:AN60)+AO60/2)</f>
        <v>2897986.6300566294</v>
      </c>
      <c r="AP49" s="138">
        <f>$F$22-(SUM($E$27:AO27)+AP27/2)-(SUM($E$60:AO60)+AP60/2)</f>
        <v>1977790.8570253048</v>
      </c>
      <c r="AQ49" s="138">
        <f>$F$22-(SUM($E$27:AP27)+AQ27/2)-(SUM($E$60:AP60)+AQ60/2)</f>
        <v>1057595.08399398</v>
      </c>
      <c r="AR49" s="138">
        <f>$F$22-(SUM($E$27:AQ27)+AR27/2)-(SUM($E$60:AQ60)+AR60/2)</f>
        <v>298748.598912652</v>
      </c>
      <c r="AS49" s="138"/>
      <c r="AT49" s="126">
        <f t="shared" ref="AT49:AT60" si="13">SUM(D49:AS49)</f>
        <v>817170362.95479572</v>
      </c>
    </row>
    <row r="50" spans="1:46" x14ac:dyDescent="0.2">
      <c r="A50" s="432">
        <f t="shared" si="10"/>
        <v>20</v>
      </c>
      <c r="B50" s="21"/>
      <c r="C50" s="21"/>
      <c r="D50" s="445"/>
      <c r="E50" s="108"/>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6">
        <f t="shared" si="13"/>
        <v>0</v>
      </c>
    </row>
    <row r="51" spans="1:46" x14ac:dyDescent="0.2">
      <c r="A51" s="432">
        <f t="shared" si="10"/>
        <v>21</v>
      </c>
      <c r="B51" s="21"/>
      <c r="C51" s="21"/>
      <c r="D51" s="445"/>
      <c r="E51" s="57"/>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6">
        <f t="shared" si="13"/>
        <v>0</v>
      </c>
    </row>
    <row r="52" spans="1:46" x14ac:dyDescent="0.2">
      <c r="A52" s="432">
        <f t="shared" si="10"/>
        <v>22</v>
      </c>
      <c r="B52" s="21" t="s">
        <v>65</v>
      </c>
      <c r="C52" s="21"/>
      <c r="D52" s="445"/>
      <c r="E52" s="57">
        <f>(E34)/(1-$F$15)</f>
        <v>2628739.8865364655</v>
      </c>
      <c r="F52" s="123">
        <f t="shared" ref="F52:AR52" si="14">(F34)/(1-$F$15)</f>
        <v>2544921.6396541139</v>
      </c>
      <c r="G52" s="123">
        <f t="shared" si="14"/>
        <v>2452910.4747840096</v>
      </c>
      <c r="H52" s="123">
        <f t="shared" si="14"/>
        <v>2363815.9551285408</v>
      </c>
      <c r="I52" s="123">
        <f t="shared" si="14"/>
        <v>2277419.7521591648</v>
      </c>
      <c r="J52" s="123">
        <f t="shared" si="14"/>
        <v>2193520.331849535</v>
      </c>
      <c r="K52" s="123">
        <f t="shared" si="14"/>
        <v>2111930.1555917994</v>
      </c>
      <c r="L52" s="123">
        <f t="shared" si="14"/>
        <v>2032475.6801966042</v>
      </c>
      <c r="M52" s="123">
        <f t="shared" si="14"/>
        <v>1954213.614457296</v>
      </c>
      <c r="N52" s="123">
        <f t="shared" si="14"/>
        <v>1876122.2928236439</v>
      </c>
      <c r="O52" s="123">
        <f t="shared" si="14"/>
        <v>1798030.9711899906</v>
      </c>
      <c r="P52" s="123">
        <f t="shared" si="14"/>
        <v>1719939.6495563383</v>
      </c>
      <c r="Q52" s="123">
        <f t="shared" si="14"/>
        <v>1641848.3279226853</v>
      </c>
      <c r="R52" s="123">
        <f t="shared" si="14"/>
        <v>1563757.006289033</v>
      </c>
      <c r="S52" s="123">
        <f t="shared" si="14"/>
        <v>1485665.68465538</v>
      </c>
      <c r="T52" s="123">
        <f t="shared" si="14"/>
        <v>1407574.3630217277</v>
      </c>
      <c r="U52" s="123">
        <f t="shared" si="14"/>
        <v>1329483.0413880746</v>
      </c>
      <c r="V52" s="123">
        <f t="shared" si="14"/>
        <v>1251391.7197544221</v>
      </c>
      <c r="W52" s="123">
        <f t="shared" si="14"/>
        <v>1173300.3981207693</v>
      </c>
      <c r="X52" s="123">
        <f t="shared" si="14"/>
        <v>1095209.0764871167</v>
      </c>
      <c r="Y52" s="123">
        <f t="shared" si="14"/>
        <v>1023362.5105865272</v>
      </c>
      <c r="Z52" s="123">
        <f t="shared" si="14"/>
        <v>964002.65706836479</v>
      </c>
      <c r="AA52" s="123">
        <f t="shared" si="14"/>
        <v>910887.55928326549</v>
      </c>
      <c r="AB52" s="123">
        <f t="shared" si="14"/>
        <v>857772.4614981662</v>
      </c>
      <c r="AC52" s="123">
        <f t="shared" si="14"/>
        <v>804657.36371306702</v>
      </c>
      <c r="AD52" s="123">
        <f t="shared" si="14"/>
        <v>751542.26592796785</v>
      </c>
      <c r="AE52" s="123">
        <f t="shared" si="14"/>
        <v>698427.16814286867</v>
      </c>
      <c r="AF52" s="123">
        <f t="shared" si="14"/>
        <v>645312.07035776938</v>
      </c>
      <c r="AG52" s="123">
        <f t="shared" si="14"/>
        <v>592196.97257267009</v>
      </c>
      <c r="AH52" s="123">
        <f t="shared" si="14"/>
        <v>539081.87478757103</v>
      </c>
      <c r="AI52" s="123">
        <f t="shared" si="14"/>
        <v>485966.77700247179</v>
      </c>
      <c r="AJ52" s="123">
        <f t="shared" si="14"/>
        <v>432851.67921737256</v>
      </c>
      <c r="AK52" s="123">
        <f t="shared" si="14"/>
        <v>379736.58143227332</v>
      </c>
      <c r="AL52" s="123">
        <f t="shared" si="14"/>
        <v>326621.48364717403</v>
      </c>
      <c r="AM52" s="123">
        <f t="shared" si="14"/>
        <v>273506.38586207485</v>
      </c>
      <c r="AN52" s="123">
        <f t="shared" si="14"/>
        <v>220391.28807697556</v>
      </c>
      <c r="AO52" s="123">
        <f t="shared" si="14"/>
        <v>167276.19029187632</v>
      </c>
      <c r="AP52" s="123">
        <f t="shared" si="14"/>
        <v>114161.09250677709</v>
      </c>
      <c r="AQ52" s="123">
        <f t="shared" si="14"/>
        <v>61045.994721677824</v>
      </c>
      <c r="AR52" s="123">
        <f t="shared" si="14"/>
        <v>17244.222924578393</v>
      </c>
      <c r="AS52" s="123"/>
      <c r="AT52" s="126">
        <f t="shared" si="13"/>
        <v>47168314.621188186</v>
      </c>
    </row>
    <row r="53" spans="1:46" x14ac:dyDescent="0.2">
      <c r="A53" s="432">
        <f t="shared" si="10"/>
        <v>23</v>
      </c>
      <c r="B53" s="21" t="s">
        <v>66</v>
      </c>
      <c r="C53" s="21"/>
      <c r="D53" s="445"/>
      <c r="E53" s="59">
        <f t="shared" ref="E53:AR53" si="15">E52*$F15</f>
        <v>552035.37617265771</v>
      </c>
      <c r="F53" s="121">
        <f t="shared" si="15"/>
        <v>534433.54432736395</v>
      </c>
      <c r="G53" s="121">
        <f t="shared" si="15"/>
        <v>515111.199704642</v>
      </c>
      <c r="H53" s="121">
        <f t="shared" si="15"/>
        <v>496401.35057699354</v>
      </c>
      <c r="I53" s="121">
        <f t="shared" si="15"/>
        <v>478258.1479534246</v>
      </c>
      <c r="J53" s="121">
        <f t="shared" si="15"/>
        <v>460639.26968840236</v>
      </c>
      <c r="K53" s="121">
        <f t="shared" si="15"/>
        <v>443505.33267427789</v>
      </c>
      <c r="L53" s="121">
        <f t="shared" si="15"/>
        <v>426819.8928412869</v>
      </c>
      <c r="M53" s="121">
        <f t="shared" si="15"/>
        <v>410384.85903603211</v>
      </c>
      <c r="N53" s="121">
        <f t="shared" si="15"/>
        <v>393985.6814929652</v>
      </c>
      <c r="O53" s="121">
        <f t="shared" si="15"/>
        <v>377586.503949898</v>
      </c>
      <c r="P53" s="121">
        <f t="shared" si="15"/>
        <v>361187.32640683104</v>
      </c>
      <c r="Q53" s="121">
        <f t="shared" si="15"/>
        <v>344788.1488637639</v>
      </c>
      <c r="R53" s="121">
        <f t="shared" si="15"/>
        <v>328388.97132069693</v>
      </c>
      <c r="S53" s="121">
        <f t="shared" si="15"/>
        <v>311989.79377762979</v>
      </c>
      <c r="T53" s="121">
        <f t="shared" si="15"/>
        <v>295590.61623456277</v>
      </c>
      <c r="U53" s="121">
        <f t="shared" si="15"/>
        <v>279191.43869149568</v>
      </c>
      <c r="V53" s="121">
        <f t="shared" si="15"/>
        <v>262792.2611484286</v>
      </c>
      <c r="W53" s="121">
        <f t="shared" si="15"/>
        <v>246393.08360536155</v>
      </c>
      <c r="X53" s="121">
        <f t="shared" si="15"/>
        <v>229993.9060622945</v>
      </c>
      <c r="Y53" s="121">
        <f t="shared" si="15"/>
        <v>214906.12722317071</v>
      </c>
      <c r="Z53" s="121">
        <f t="shared" si="15"/>
        <v>202440.55798435659</v>
      </c>
      <c r="AA53" s="121">
        <f t="shared" si="15"/>
        <v>191286.38744948574</v>
      </c>
      <c r="AB53" s="121">
        <f t="shared" si="15"/>
        <v>180132.2169146149</v>
      </c>
      <c r="AC53" s="121">
        <f t="shared" si="15"/>
        <v>168978.04637974408</v>
      </c>
      <c r="AD53" s="121">
        <f t="shared" si="15"/>
        <v>157823.87584487326</v>
      </c>
      <c r="AE53" s="121">
        <f t="shared" si="15"/>
        <v>146669.70531000241</v>
      </c>
      <c r="AF53" s="121">
        <f t="shared" si="15"/>
        <v>135515.53477513156</v>
      </c>
      <c r="AG53" s="121">
        <f t="shared" si="15"/>
        <v>124361.36424026071</v>
      </c>
      <c r="AH53" s="121">
        <f t="shared" si="15"/>
        <v>113207.19370538992</v>
      </c>
      <c r="AI53" s="121">
        <f t="shared" si="15"/>
        <v>102053.02317051907</v>
      </c>
      <c r="AJ53" s="121">
        <f t="shared" si="15"/>
        <v>90898.852635648233</v>
      </c>
      <c r="AK53" s="121">
        <f t="shared" si="15"/>
        <v>79744.682100777398</v>
      </c>
      <c r="AL53" s="121">
        <f t="shared" si="15"/>
        <v>68590.511565906549</v>
      </c>
      <c r="AM53" s="121">
        <f t="shared" si="15"/>
        <v>57436.341031035714</v>
      </c>
      <c r="AN53" s="121">
        <f t="shared" si="15"/>
        <v>46282.170496164865</v>
      </c>
      <c r="AO53" s="121">
        <f t="shared" si="15"/>
        <v>35127.99996129403</v>
      </c>
      <c r="AP53" s="121">
        <f t="shared" si="15"/>
        <v>23973.829426423188</v>
      </c>
      <c r="AQ53" s="121">
        <f t="shared" si="15"/>
        <v>12819.658891552343</v>
      </c>
      <c r="AR53" s="121">
        <f t="shared" si="15"/>
        <v>3621.2868141614622</v>
      </c>
      <c r="AS53" s="121"/>
      <c r="AT53" s="126">
        <f t="shared" si="13"/>
        <v>9905346.0704495236</v>
      </c>
    </row>
    <row r="54" spans="1:46" x14ac:dyDescent="0.2">
      <c r="A54" s="432">
        <f t="shared" si="10"/>
        <v>24</v>
      </c>
      <c r="B54" s="21" t="s">
        <v>67</v>
      </c>
      <c r="C54" s="21"/>
      <c r="D54" s="445"/>
      <c r="E54" s="57">
        <f>E52-E53</f>
        <v>2076704.5103638079</v>
      </c>
      <c r="F54" s="123">
        <f t="shared" ref="F54:AR54" si="16">F52-F53</f>
        <v>2010488.0953267501</v>
      </c>
      <c r="G54" s="123">
        <f t="shared" si="16"/>
        <v>1937799.2750793677</v>
      </c>
      <c r="H54" s="123">
        <f t="shared" si="16"/>
        <v>1867414.6045515472</v>
      </c>
      <c r="I54" s="123">
        <f t="shared" si="16"/>
        <v>1799161.6042057402</v>
      </c>
      <c r="J54" s="123">
        <f t="shared" si="16"/>
        <v>1732881.0621611327</v>
      </c>
      <c r="K54" s="123">
        <f t="shared" si="16"/>
        <v>1668424.8229175215</v>
      </c>
      <c r="L54" s="123">
        <f t="shared" si="16"/>
        <v>1605655.7873553173</v>
      </c>
      <c r="M54" s="123">
        <f t="shared" si="16"/>
        <v>1543828.7554212639</v>
      </c>
      <c r="N54" s="123">
        <f t="shared" si="16"/>
        <v>1482136.6113306787</v>
      </c>
      <c r="O54" s="123">
        <f t="shared" si="16"/>
        <v>1420444.4672400926</v>
      </c>
      <c r="P54" s="123">
        <f t="shared" si="16"/>
        <v>1358752.3231495074</v>
      </c>
      <c r="Q54" s="123">
        <f t="shared" si="16"/>
        <v>1297060.1790589215</v>
      </c>
      <c r="R54" s="123">
        <f t="shared" si="16"/>
        <v>1235368.0349683361</v>
      </c>
      <c r="S54" s="123">
        <f t="shared" si="16"/>
        <v>1173675.8908777502</v>
      </c>
      <c r="T54" s="123">
        <f t="shared" si="16"/>
        <v>1111983.7467871648</v>
      </c>
      <c r="U54" s="123">
        <f t="shared" si="16"/>
        <v>1050291.6026965789</v>
      </c>
      <c r="V54" s="123">
        <f t="shared" si="16"/>
        <v>988599.45860599354</v>
      </c>
      <c r="W54" s="123">
        <f t="shared" si="16"/>
        <v>926907.31451540778</v>
      </c>
      <c r="X54" s="123">
        <f t="shared" si="16"/>
        <v>865215.17042482225</v>
      </c>
      <c r="Y54" s="123">
        <f t="shared" si="16"/>
        <v>808456.38336335646</v>
      </c>
      <c r="Z54" s="123">
        <f t="shared" si="16"/>
        <v>761562.09908400825</v>
      </c>
      <c r="AA54" s="123">
        <f t="shared" si="16"/>
        <v>719601.17183377978</v>
      </c>
      <c r="AB54" s="123">
        <f t="shared" si="16"/>
        <v>677640.24458355131</v>
      </c>
      <c r="AC54" s="123">
        <f t="shared" si="16"/>
        <v>635679.31733332295</v>
      </c>
      <c r="AD54" s="123">
        <f t="shared" si="16"/>
        <v>593718.39008309459</v>
      </c>
      <c r="AE54" s="123">
        <f t="shared" si="16"/>
        <v>551757.46283286624</v>
      </c>
      <c r="AF54" s="123">
        <f t="shared" si="16"/>
        <v>509796.53558263782</v>
      </c>
      <c r="AG54" s="123">
        <f t="shared" si="16"/>
        <v>467835.60833240941</v>
      </c>
      <c r="AH54" s="123">
        <f t="shared" si="16"/>
        <v>425874.68108218111</v>
      </c>
      <c r="AI54" s="123">
        <f t="shared" si="16"/>
        <v>383913.75383195269</v>
      </c>
      <c r="AJ54" s="123">
        <f t="shared" si="16"/>
        <v>341952.82658172434</v>
      </c>
      <c r="AK54" s="123">
        <f t="shared" si="16"/>
        <v>299991.89933149592</v>
      </c>
      <c r="AL54" s="123">
        <f t="shared" si="16"/>
        <v>258030.97208126748</v>
      </c>
      <c r="AM54" s="123">
        <f t="shared" si="16"/>
        <v>216070.04483103915</v>
      </c>
      <c r="AN54" s="123">
        <f t="shared" si="16"/>
        <v>174109.11758081068</v>
      </c>
      <c r="AO54" s="123">
        <f t="shared" si="16"/>
        <v>132148.19033058229</v>
      </c>
      <c r="AP54" s="123">
        <f t="shared" si="16"/>
        <v>90187.263080353907</v>
      </c>
      <c r="AQ54" s="123">
        <f t="shared" si="16"/>
        <v>48226.335830125478</v>
      </c>
      <c r="AR54" s="123">
        <f t="shared" si="16"/>
        <v>13622.936110416931</v>
      </c>
      <c r="AS54" s="123"/>
      <c r="AT54" s="126">
        <f t="shared" si="13"/>
        <v>37262968.550738655</v>
      </c>
    </row>
    <row r="55" spans="1:46" x14ac:dyDescent="0.2">
      <c r="A55" s="432">
        <f t="shared" si="10"/>
        <v>25</v>
      </c>
      <c r="B55" s="21"/>
      <c r="C55" s="21"/>
      <c r="D55" s="445"/>
      <c r="E55" s="448"/>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126">
        <f t="shared" si="13"/>
        <v>0</v>
      </c>
    </row>
    <row r="56" spans="1:46" x14ac:dyDescent="0.2">
      <c r="A56" s="432">
        <f t="shared" si="10"/>
        <v>26</v>
      </c>
      <c r="B56" s="21"/>
      <c r="C56" s="21"/>
      <c r="D56" s="445"/>
      <c r="E56" s="108"/>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126">
        <f t="shared" si="13"/>
        <v>0</v>
      </c>
    </row>
    <row r="57" spans="1:46" x14ac:dyDescent="0.2">
      <c r="A57" s="432">
        <f t="shared" si="10"/>
        <v>27</v>
      </c>
      <c r="B57" s="21" t="s">
        <v>68</v>
      </c>
      <c r="C57" s="21"/>
      <c r="D57" s="445"/>
      <c r="E57" s="448">
        <f>E27+E28</f>
        <v>1164804.7759890174</v>
      </c>
      <c r="F57" s="123">
        <f>F27</f>
        <v>1164804.7759890174</v>
      </c>
      <c r="G57" s="123">
        <f>G27</f>
        <v>1164804.7759890174</v>
      </c>
      <c r="H57" s="123">
        <f t="shared" ref="H57:AR57" si="17">H27</f>
        <v>1164804.7759890174</v>
      </c>
      <c r="I57" s="123">
        <f t="shared" si="17"/>
        <v>1164804.7759890174</v>
      </c>
      <c r="J57" s="123">
        <f t="shared" si="17"/>
        <v>1164804.7759890174</v>
      </c>
      <c r="K57" s="123">
        <f t="shared" si="17"/>
        <v>1164804.7759890174</v>
      </c>
      <c r="L57" s="123">
        <f t="shared" si="17"/>
        <v>1164804.7759890174</v>
      </c>
      <c r="M57" s="123">
        <f t="shared" si="17"/>
        <v>1164804.7759890174</v>
      </c>
      <c r="N57" s="123">
        <f t="shared" si="17"/>
        <v>1164804.7759890174</v>
      </c>
      <c r="O57" s="123">
        <f t="shared" si="17"/>
        <v>1164804.7759890174</v>
      </c>
      <c r="P57" s="123">
        <f t="shared" si="17"/>
        <v>1164804.7759890174</v>
      </c>
      <c r="Q57" s="123">
        <f t="shared" si="17"/>
        <v>1164804.7759890174</v>
      </c>
      <c r="R57" s="123">
        <f t="shared" si="17"/>
        <v>1164804.7759890174</v>
      </c>
      <c r="S57" s="123">
        <f t="shared" si="17"/>
        <v>1164804.7759890174</v>
      </c>
      <c r="T57" s="123">
        <f t="shared" si="17"/>
        <v>1164804.7759890174</v>
      </c>
      <c r="U57" s="123">
        <f t="shared" si="17"/>
        <v>1164804.7759890174</v>
      </c>
      <c r="V57" s="123">
        <f t="shared" si="17"/>
        <v>1164804.7759890174</v>
      </c>
      <c r="W57" s="123">
        <f t="shared" si="17"/>
        <v>1164804.7759890174</v>
      </c>
      <c r="X57" s="123">
        <f t="shared" si="17"/>
        <v>1164804.7759890174</v>
      </c>
      <c r="Y57" s="123">
        <f t="shared" si="17"/>
        <v>1164804.7759890174</v>
      </c>
      <c r="Z57" s="123">
        <f t="shared" si="17"/>
        <v>1164804.7759890174</v>
      </c>
      <c r="AA57" s="123">
        <f t="shared" si="17"/>
        <v>1164804.7759890174</v>
      </c>
      <c r="AB57" s="123">
        <f t="shared" si="17"/>
        <v>1164804.7759890174</v>
      </c>
      <c r="AC57" s="123">
        <f t="shared" si="17"/>
        <v>1164804.7759890174</v>
      </c>
      <c r="AD57" s="123">
        <f t="shared" si="17"/>
        <v>1164804.7759890174</v>
      </c>
      <c r="AE57" s="123">
        <f t="shared" si="17"/>
        <v>1164804.7759890174</v>
      </c>
      <c r="AF57" s="123">
        <f t="shared" si="17"/>
        <v>1164804.7759890174</v>
      </c>
      <c r="AG57" s="123">
        <f t="shared" si="17"/>
        <v>1164804.7759890174</v>
      </c>
      <c r="AH57" s="123">
        <f t="shared" si="17"/>
        <v>1164804.7759890174</v>
      </c>
      <c r="AI57" s="123">
        <f t="shared" si="17"/>
        <v>1164804.7759890174</v>
      </c>
      <c r="AJ57" s="123">
        <f t="shared" si="17"/>
        <v>1164804.7759890174</v>
      </c>
      <c r="AK57" s="123">
        <f t="shared" si="17"/>
        <v>1164804.7759890174</v>
      </c>
      <c r="AL57" s="123">
        <f t="shared" si="17"/>
        <v>1164804.7759890174</v>
      </c>
      <c r="AM57" s="123">
        <f t="shared" si="17"/>
        <v>1164804.7759890174</v>
      </c>
      <c r="AN57" s="123">
        <f t="shared" si="17"/>
        <v>1164804.7759890174</v>
      </c>
      <c r="AO57" s="123">
        <f t="shared" si="17"/>
        <v>1164804.7759890174</v>
      </c>
      <c r="AP57" s="123">
        <f t="shared" si="17"/>
        <v>1164804.7759890174</v>
      </c>
      <c r="AQ57" s="123">
        <f t="shared" si="17"/>
        <v>1164804.7759890174</v>
      </c>
      <c r="AR57" s="123">
        <f t="shared" si="17"/>
        <v>756325.56598901749</v>
      </c>
      <c r="AS57" s="123"/>
      <c r="AT57" s="126">
        <f t="shared" si="13"/>
        <v>46183711.829560727</v>
      </c>
    </row>
    <row r="58" spans="1:46" x14ac:dyDescent="0.2">
      <c r="A58" s="432">
        <f t="shared" si="10"/>
        <v>28</v>
      </c>
      <c r="B58" s="21" t="s">
        <v>69</v>
      </c>
      <c r="C58" s="21"/>
      <c r="D58" s="445"/>
      <c r="E58" s="57">
        <f>$F22*E62</f>
        <v>1731889.1936249984</v>
      </c>
      <c r="F58" s="123">
        <f t="shared" ref="F58:AR58" si="18">$F22*F62</f>
        <v>3334002.1570076975</v>
      </c>
      <c r="G58" s="123">
        <f t="shared" si="18"/>
        <v>3083686.4388890974</v>
      </c>
      <c r="H58" s="123">
        <f t="shared" si="18"/>
        <v>2852767.8797390973</v>
      </c>
      <c r="I58" s="123">
        <f t="shared" si="18"/>
        <v>2638475.4568478977</v>
      </c>
      <c r="J58" s="123">
        <f t="shared" si="18"/>
        <v>2440809.1702154982</v>
      </c>
      <c r="K58" s="123">
        <f t="shared" si="18"/>
        <v>2257459.834250398</v>
      </c>
      <c r="L58" s="123">
        <f t="shared" si="18"/>
        <v>2088427.4489525985</v>
      </c>
      <c r="M58" s="123">
        <f t="shared" si="18"/>
        <v>2060717.2218545983</v>
      </c>
      <c r="N58" s="123">
        <f t="shared" si="18"/>
        <v>2060255.3847362984</v>
      </c>
      <c r="O58" s="123">
        <f t="shared" si="18"/>
        <v>2060717.2218545983</v>
      </c>
      <c r="P58" s="123">
        <f t="shared" si="18"/>
        <v>2060255.3847362984</v>
      </c>
      <c r="Q58" s="123">
        <f t="shared" si="18"/>
        <v>2060717.2218545983</v>
      </c>
      <c r="R58" s="123">
        <f t="shared" si="18"/>
        <v>2060255.3847362984</v>
      </c>
      <c r="S58" s="123">
        <f t="shared" si="18"/>
        <v>2060717.2218545983</v>
      </c>
      <c r="T58" s="123">
        <f t="shared" si="18"/>
        <v>2060255.3847362984</v>
      </c>
      <c r="U58" s="123">
        <f t="shared" si="18"/>
        <v>2060717.2218545983</v>
      </c>
      <c r="V58" s="123">
        <f t="shared" si="18"/>
        <v>2060255.3847362984</v>
      </c>
      <c r="W58" s="123">
        <f t="shared" si="18"/>
        <v>2060717.2218545983</v>
      </c>
      <c r="X58" s="123">
        <f t="shared" si="18"/>
        <v>2060255.3847362984</v>
      </c>
      <c r="Y58" s="123">
        <f t="shared" si="18"/>
        <v>1030358.6109272991</v>
      </c>
      <c r="Z58" s="123">
        <f t="shared" si="18"/>
        <v>0</v>
      </c>
      <c r="AA58" s="123">
        <f t="shared" si="18"/>
        <v>0</v>
      </c>
      <c r="AB58" s="123">
        <f t="shared" si="18"/>
        <v>0</v>
      </c>
      <c r="AC58" s="123">
        <f t="shared" si="18"/>
        <v>0</v>
      </c>
      <c r="AD58" s="123">
        <f t="shared" si="18"/>
        <v>0</v>
      </c>
      <c r="AE58" s="123">
        <f t="shared" si="18"/>
        <v>0</v>
      </c>
      <c r="AF58" s="123">
        <f t="shared" si="18"/>
        <v>0</v>
      </c>
      <c r="AG58" s="123">
        <f t="shared" si="18"/>
        <v>0</v>
      </c>
      <c r="AH58" s="123">
        <f t="shared" si="18"/>
        <v>0</v>
      </c>
      <c r="AI58" s="123">
        <f t="shared" si="18"/>
        <v>0</v>
      </c>
      <c r="AJ58" s="123">
        <f t="shared" si="18"/>
        <v>0</v>
      </c>
      <c r="AK58" s="123">
        <f t="shared" si="18"/>
        <v>0</v>
      </c>
      <c r="AL58" s="123">
        <f t="shared" si="18"/>
        <v>0</v>
      </c>
      <c r="AM58" s="123">
        <f t="shared" si="18"/>
        <v>0</v>
      </c>
      <c r="AN58" s="123">
        <f t="shared" si="18"/>
        <v>0</v>
      </c>
      <c r="AO58" s="123">
        <f t="shared" si="18"/>
        <v>0</v>
      </c>
      <c r="AP58" s="123">
        <f t="shared" si="18"/>
        <v>0</v>
      </c>
      <c r="AQ58" s="123">
        <f t="shared" si="18"/>
        <v>0</v>
      </c>
      <c r="AR58" s="123">
        <f t="shared" si="18"/>
        <v>0</v>
      </c>
      <c r="AS58" s="123"/>
      <c r="AT58" s="126">
        <f t="shared" si="13"/>
        <v>46183711.829999961</v>
      </c>
    </row>
    <row r="59" spans="1:46" x14ac:dyDescent="0.2">
      <c r="A59" s="432">
        <f t="shared" si="10"/>
        <v>29</v>
      </c>
      <c r="B59" s="21" t="s">
        <v>70</v>
      </c>
      <c r="C59" s="21"/>
      <c r="D59" s="445"/>
      <c r="E59" s="57">
        <f>E58-E57</f>
        <v>567084.41763598099</v>
      </c>
      <c r="F59" s="123">
        <f>F58-F57</f>
        <v>2169197.3810186801</v>
      </c>
      <c r="G59" s="123">
        <f>G58-G57</f>
        <v>1918881.66290008</v>
      </c>
      <c r="H59" s="123">
        <f t="shared" ref="H59:AR59" si="19">H58-H57</f>
        <v>1687963.1037500799</v>
      </c>
      <c r="I59" s="123">
        <f t="shared" si="19"/>
        <v>1473670.6808588803</v>
      </c>
      <c r="J59" s="123">
        <f t="shared" si="19"/>
        <v>1276004.3942264807</v>
      </c>
      <c r="K59" s="123">
        <f t="shared" si="19"/>
        <v>1092655.0582613805</v>
      </c>
      <c r="L59" s="123">
        <f t="shared" si="19"/>
        <v>923622.67296358105</v>
      </c>
      <c r="M59" s="123">
        <f t="shared" si="19"/>
        <v>895912.44586558081</v>
      </c>
      <c r="N59" s="123">
        <f t="shared" si="19"/>
        <v>895450.6087472809</v>
      </c>
      <c r="O59" s="123">
        <f t="shared" si="19"/>
        <v>895912.44586558081</v>
      </c>
      <c r="P59" s="123">
        <f t="shared" si="19"/>
        <v>895450.6087472809</v>
      </c>
      <c r="Q59" s="123">
        <f t="shared" si="19"/>
        <v>895912.44586558081</v>
      </c>
      <c r="R59" s="123">
        <f t="shared" si="19"/>
        <v>895450.6087472809</v>
      </c>
      <c r="S59" s="123">
        <f t="shared" si="19"/>
        <v>895912.44586558081</v>
      </c>
      <c r="T59" s="123">
        <f t="shared" si="19"/>
        <v>895450.6087472809</v>
      </c>
      <c r="U59" s="123">
        <f t="shared" si="19"/>
        <v>895912.44586558081</v>
      </c>
      <c r="V59" s="123">
        <f t="shared" si="19"/>
        <v>895450.6087472809</v>
      </c>
      <c r="W59" s="123">
        <f t="shared" si="19"/>
        <v>895912.44586558081</v>
      </c>
      <c r="X59" s="123">
        <f t="shared" si="19"/>
        <v>895450.6087472809</v>
      </c>
      <c r="Y59" s="123">
        <f t="shared" si="19"/>
        <v>-134446.16506171832</v>
      </c>
      <c r="Z59" s="123">
        <f t="shared" si="19"/>
        <v>-1164804.7759890174</v>
      </c>
      <c r="AA59" s="123">
        <f t="shared" si="19"/>
        <v>-1164804.7759890174</v>
      </c>
      <c r="AB59" s="123">
        <f t="shared" si="19"/>
        <v>-1164804.7759890174</v>
      </c>
      <c r="AC59" s="123">
        <f t="shared" si="19"/>
        <v>-1164804.7759890174</v>
      </c>
      <c r="AD59" s="123">
        <f t="shared" si="19"/>
        <v>-1164804.7759890174</v>
      </c>
      <c r="AE59" s="123">
        <f t="shared" si="19"/>
        <v>-1164804.7759890174</v>
      </c>
      <c r="AF59" s="123">
        <f t="shared" si="19"/>
        <v>-1164804.7759890174</v>
      </c>
      <c r="AG59" s="123">
        <f t="shared" si="19"/>
        <v>-1164804.7759890174</v>
      </c>
      <c r="AH59" s="123">
        <f t="shared" si="19"/>
        <v>-1164804.7759890174</v>
      </c>
      <c r="AI59" s="123">
        <f t="shared" si="19"/>
        <v>-1164804.7759890174</v>
      </c>
      <c r="AJ59" s="123">
        <f t="shared" si="19"/>
        <v>-1164804.7759890174</v>
      </c>
      <c r="AK59" s="123">
        <f t="shared" si="19"/>
        <v>-1164804.7759890174</v>
      </c>
      <c r="AL59" s="123">
        <f t="shared" si="19"/>
        <v>-1164804.7759890174</v>
      </c>
      <c r="AM59" s="123">
        <f t="shared" si="19"/>
        <v>-1164804.7759890174</v>
      </c>
      <c r="AN59" s="123">
        <f t="shared" si="19"/>
        <v>-1164804.7759890174</v>
      </c>
      <c r="AO59" s="123">
        <f t="shared" si="19"/>
        <v>-1164804.7759890174</v>
      </c>
      <c r="AP59" s="123">
        <f t="shared" si="19"/>
        <v>-1164804.7759890174</v>
      </c>
      <c r="AQ59" s="123">
        <f t="shared" si="19"/>
        <v>-1164804.7759890174</v>
      </c>
      <c r="AR59" s="123">
        <f t="shared" si="19"/>
        <v>-756325.56598901749</v>
      </c>
      <c r="AS59" s="123"/>
      <c r="AT59" s="126">
        <f t="shared" si="13"/>
        <v>4.392554983496666E-4</v>
      </c>
    </row>
    <row r="60" spans="1:46" x14ac:dyDescent="0.2">
      <c r="A60" s="432">
        <f t="shared" si="10"/>
        <v>30</v>
      </c>
      <c r="B60" s="21" t="s">
        <v>71</v>
      </c>
      <c r="C60" s="21"/>
      <c r="D60" s="445"/>
      <c r="E60" s="57">
        <f>E59*F15</f>
        <v>119087.72770355601</v>
      </c>
      <c r="F60" s="123">
        <f t="shared" ref="F60:AR60" si="20">F59*$F$15</f>
        <v>455531.45001392282</v>
      </c>
      <c r="G60" s="123">
        <f t="shared" si="20"/>
        <v>402965.14920901676</v>
      </c>
      <c r="H60" s="123">
        <f t="shared" si="20"/>
        <v>354472.25178751675</v>
      </c>
      <c r="I60" s="123">
        <f t="shared" si="20"/>
        <v>309470.84298036486</v>
      </c>
      <c r="J60" s="123">
        <f t="shared" si="20"/>
        <v>267960.92278756096</v>
      </c>
      <c r="K60" s="123">
        <f t="shared" si="20"/>
        <v>229457.56223488989</v>
      </c>
      <c r="L60" s="123">
        <f t="shared" si="20"/>
        <v>193960.76132235202</v>
      </c>
      <c r="M60" s="123">
        <f t="shared" si="20"/>
        <v>188141.61363177196</v>
      </c>
      <c r="N60" s="123">
        <f t="shared" si="20"/>
        <v>188044.62783692899</v>
      </c>
      <c r="O60" s="123">
        <f t="shared" si="20"/>
        <v>188141.61363177196</v>
      </c>
      <c r="P60" s="123">
        <f t="shared" si="20"/>
        <v>188044.62783692899</v>
      </c>
      <c r="Q60" s="123">
        <f t="shared" si="20"/>
        <v>188141.61363177196</v>
      </c>
      <c r="R60" s="123">
        <f t="shared" si="20"/>
        <v>188044.62783692899</v>
      </c>
      <c r="S60" s="123">
        <f t="shared" si="20"/>
        <v>188141.61363177196</v>
      </c>
      <c r="T60" s="123">
        <f t="shared" si="20"/>
        <v>188044.62783692899</v>
      </c>
      <c r="U60" s="123">
        <f t="shared" si="20"/>
        <v>188141.61363177196</v>
      </c>
      <c r="V60" s="123">
        <f t="shared" si="20"/>
        <v>188044.62783692899</v>
      </c>
      <c r="W60" s="123">
        <f t="shared" si="20"/>
        <v>188141.61363177196</v>
      </c>
      <c r="X60" s="123">
        <f t="shared" si="20"/>
        <v>188044.62783692899</v>
      </c>
      <c r="Y60" s="123">
        <f t="shared" si="20"/>
        <v>-28233.694662960846</v>
      </c>
      <c r="Z60" s="123">
        <f t="shared" si="20"/>
        <v>-244609.00295769365</v>
      </c>
      <c r="AA60" s="123">
        <f t="shared" si="20"/>
        <v>-244609.00295769365</v>
      </c>
      <c r="AB60" s="123">
        <f t="shared" si="20"/>
        <v>-244609.00295769365</v>
      </c>
      <c r="AC60" s="123">
        <f t="shared" si="20"/>
        <v>-244609.00295769365</v>
      </c>
      <c r="AD60" s="123">
        <f t="shared" si="20"/>
        <v>-244609.00295769365</v>
      </c>
      <c r="AE60" s="123">
        <f t="shared" si="20"/>
        <v>-244609.00295769365</v>
      </c>
      <c r="AF60" s="123">
        <f t="shared" si="20"/>
        <v>-244609.00295769365</v>
      </c>
      <c r="AG60" s="123">
        <f t="shared" si="20"/>
        <v>-244609.00295769365</v>
      </c>
      <c r="AH60" s="123">
        <f t="shared" si="20"/>
        <v>-244609.00295769365</v>
      </c>
      <c r="AI60" s="123">
        <f t="shared" si="20"/>
        <v>-244609.00295769365</v>
      </c>
      <c r="AJ60" s="123">
        <f t="shared" si="20"/>
        <v>-244609.00295769365</v>
      </c>
      <c r="AK60" s="123">
        <f t="shared" si="20"/>
        <v>-244609.00295769365</v>
      </c>
      <c r="AL60" s="123">
        <f t="shared" si="20"/>
        <v>-244609.00295769365</v>
      </c>
      <c r="AM60" s="123">
        <f t="shared" si="20"/>
        <v>-244609.00295769365</v>
      </c>
      <c r="AN60" s="123">
        <f t="shared" si="20"/>
        <v>-244609.00295769365</v>
      </c>
      <c r="AO60" s="123">
        <f t="shared" si="20"/>
        <v>-244609.00295769365</v>
      </c>
      <c r="AP60" s="123">
        <f t="shared" si="20"/>
        <v>-244609.00295769365</v>
      </c>
      <c r="AQ60" s="123">
        <f t="shared" si="20"/>
        <v>-244609.00295769365</v>
      </c>
      <c r="AR60" s="123">
        <f t="shared" si="20"/>
        <v>-158828.36885769365</v>
      </c>
      <c r="AS60" s="123"/>
      <c r="AT60" s="126">
        <f t="shared" si="13"/>
        <v>9.2243979452177882E-5</v>
      </c>
    </row>
    <row r="61" spans="1:46" x14ac:dyDescent="0.2">
      <c r="A61" s="432">
        <f t="shared" si="10"/>
        <v>31</v>
      </c>
      <c r="B61" s="21"/>
      <c r="C61" s="21"/>
      <c r="D61" s="445"/>
      <c r="E61" s="108"/>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445"/>
    </row>
    <row r="62" spans="1:46" s="69" customFormat="1" x14ac:dyDescent="0.2">
      <c r="A62" s="432">
        <f t="shared" si="10"/>
        <v>32</v>
      </c>
      <c r="B62" s="21" t="str">
        <f t="shared" ref="B62" si="21">IF($F$18=1,B66,B65)</f>
        <v>MACRS Depreciation - 20</v>
      </c>
      <c r="C62" s="21"/>
      <c r="D62" s="66"/>
      <c r="E62" s="81">
        <f t="shared" ref="E62:Y62" si="22">IF($F$18=1,E66,E65)</f>
        <v>3.7499999999999999E-2</v>
      </c>
      <c r="F62" s="77">
        <f t="shared" si="22"/>
        <v>7.2190000000000004E-2</v>
      </c>
      <c r="G62" s="77">
        <f t="shared" si="22"/>
        <v>6.6769999999999996E-2</v>
      </c>
      <c r="H62" s="80">
        <f t="shared" si="22"/>
        <v>6.1769999999999999E-2</v>
      </c>
      <c r="I62" s="80">
        <f t="shared" si="22"/>
        <v>5.713E-2</v>
      </c>
      <c r="J62" s="80">
        <f t="shared" si="22"/>
        <v>5.2850000000000001E-2</v>
      </c>
      <c r="K62" s="80">
        <f t="shared" si="22"/>
        <v>4.888E-2</v>
      </c>
      <c r="L62" s="80">
        <f t="shared" si="22"/>
        <v>4.5220000000000003E-2</v>
      </c>
      <c r="M62" s="80">
        <f t="shared" si="22"/>
        <v>4.462E-2</v>
      </c>
      <c r="N62" s="80">
        <f t="shared" si="22"/>
        <v>4.4610000000000004E-2</v>
      </c>
      <c r="O62" s="80">
        <f t="shared" si="22"/>
        <v>4.462E-2</v>
      </c>
      <c r="P62" s="80">
        <f t="shared" si="22"/>
        <v>4.4610000000000004E-2</v>
      </c>
      <c r="Q62" s="80">
        <f t="shared" si="22"/>
        <v>4.462E-2</v>
      </c>
      <c r="R62" s="80">
        <f t="shared" si="22"/>
        <v>4.4610000000000004E-2</v>
      </c>
      <c r="S62" s="80">
        <f t="shared" si="22"/>
        <v>4.462E-2</v>
      </c>
      <c r="T62" s="80">
        <f t="shared" si="22"/>
        <v>4.4610000000000004E-2</v>
      </c>
      <c r="U62" s="80">
        <f t="shared" si="22"/>
        <v>4.462E-2</v>
      </c>
      <c r="V62" s="80">
        <f t="shared" si="22"/>
        <v>4.4610000000000004E-2</v>
      </c>
      <c r="W62" s="80">
        <f t="shared" si="22"/>
        <v>4.462E-2</v>
      </c>
      <c r="X62" s="80">
        <f t="shared" si="22"/>
        <v>4.4610000000000004E-2</v>
      </c>
      <c r="Y62" s="80">
        <f t="shared" si="22"/>
        <v>2.231E-2</v>
      </c>
      <c r="Z62" s="67"/>
      <c r="AA62" s="67"/>
      <c r="AB62" s="67"/>
      <c r="AC62" s="67"/>
      <c r="AD62" s="67"/>
      <c r="AE62" s="67"/>
      <c r="AF62" s="67"/>
      <c r="AG62" s="67"/>
      <c r="AH62" s="67"/>
      <c r="AI62" s="67"/>
      <c r="AJ62" s="67"/>
      <c r="AK62" s="67"/>
      <c r="AL62" s="67"/>
      <c r="AM62" s="67"/>
      <c r="AN62" s="67"/>
      <c r="AO62" s="67"/>
      <c r="AP62" s="66"/>
    </row>
    <row r="63" spans="1:46" outlineLevel="1" x14ac:dyDescent="0.25">
      <c r="A63" s="432">
        <f t="shared" si="10"/>
        <v>33</v>
      </c>
      <c r="B63" s="21"/>
      <c r="C63" s="449"/>
      <c r="E63" s="450"/>
      <c r="F63" s="451"/>
      <c r="G63" s="451"/>
      <c r="H63" s="451"/>
      <c r="I63" s="451"/>
      <c r="J63" s="451"/>
      <c r="K63" s="451"/>
      <c r="L63" s="451"/>
      <c r="M63" s="452"/>
      <c r="N63" s="452"/>
      <c r="O63" s="452"/>
      <c r="P63" s="452"/>
      <c r="Q63" s="452"/>
      <c r="R63" s="452"/>
      <c r="S63" s="452"/>
      <c r="T63" s="452"/>
      <c r="U63" s="452"/>
      <c r="V63" s="452"/>
      <c r="W63" s="452"/>
      <c r="X63" s="452"/>
      <c r="Y63" s="452"/>
      <c r="Z63" s="445"/>
      <c r="AA63" s="445"/>
      <c r="AB63" s="445"/>
      <c r="AC63" s="445"/>
      <c r="AD63" s="445"/>
      <c r="AE63" s="445"/>
      <c r="AF63" s="445"/>
      <c r="AG63" s="445"/>
      <c r="AH63" s="445"/>
      <c r="AI63" s="445"/>
      <c r="AJ63" s="445"/>
      <c r="AK63" s="445"/>
      <c r="AL63" s="445"/>
      <c r="AM63" s="445"/>
      <c r="AN63" s="445"/>
      <c r="AO63" s="22"/>
    </row>
    <row r="64" spans="1:46" outlineLevel="1" x14ac:dyDescent="0.25">
      <c r="A64" s="432">
        <f t="shared" si="10"/>
        <v>34</v>
      </c>
      <c r="B64" s="21"/>
      <c r="C64" s="449"/>
      <c r="E64" s="450"/>
      <c r="F64" s="451"/>
      <c r="G64" s="451"/>
      <c r="H64" s="451"/>
      <c r="I64" s="451"/>
      <c r="J64" s="451"/>
      <c r="K64" s="451"/>
      <c r="L64" s="451"/>
      <c r="M64" s="452"/>
      <c r="N64" s="452"/>
      <c r="O64" s="452"/>
      <c r="P64" s="452"/>
      <c r="Q64" s="452"/>
      <c r="R64" s="452"/>
      <c r="S64" s="452"/>
      <c r="T64" s="452"/>
      <c r="U64" s="452"/>
      <c r="V64" s="452"/>
      <c r="W64" s="452"/>
      <c r="X64" s="452"/>
      <c r="Y64" s="452"/>
      <c r="Z64" s="445"/>
      <c r="AA64" s="445"/>
      <c r="AB64" s="445"/>
      <c r="AC64" s="445"/>
      <c r="AD64" s="445"/>
      <c r="AE64" s="445"/>
      <c r="AF64" s="445"/>
      <c r="AG64" s="445"/>
      <c r="AH64" s="445"/>
      <c r="AI64" s="445"/>
      <c r="AJ64" s="445"/>
      <c r="AK64" s="445"/>
      <c r="AL64" s="445"/>
      <c r="AM64" s="445"/>
      <c r="AN64" s="445"/>
      <c r="AO64" s="22"/>
    </row>
    <row r="65" spans="1:42" s="69" customFormat="1" x14ac:dyDescent="0.25">
      <c r="A65" s="432">
        <f t="shared" si="10"/>
        <v>35</v>
      </c>
      <c r="B65" s="21" t="s">
        <v>72</v>
      </c>
      <c r="C65" s="21"/>
      <c r="D65" s="70">
        <v>0</v>
      </c>
      <c r="E65" s="78">
        <f>'MACRS 20'!B5</f>
        <v>3.7499999999999999E-2</v>
      </c>
      <c r="F65" s="77">
        <f>'MACRS 20'!C5</f>
        <v>7.2190000000000004E-2</v>
      </c>
      <c r="G65" s="77">
        <f>'MACRS 20'!D5</f>
        <v>6.6769999999999996E-2</v>
      </c>
      <c r="H65" s="79">
        <f>'MACRS 20'!E5</f>
        <v>6.1769999999999999E-2</v>
      </c>
      <c r="I65" s="79">
        <f>'MACRS 20'!F5</f>
        <v>5.713E-2</v>
      </c>
      <c r="J65" s="79">
        <f>'MACRS 20'!G5</f>
        <v>5.2850000000000001E-2</v>
      </c>
      <c r="K65" s="79">
        <f>'MACRS 20'!H5</f>
        <v>4.888E-2</v>
      </c>
      <c r="L65" s="79">
        <f>'MACRS 20'!I5</f>
        <v>4.5220000000000003E-2</v>
      </c>
      <c r="M65" s="79">
        <f>'MACRS 20'!J5</f>
        <v>4.462E-2</v>
      </c>
      <c r="N65" s="79">
        <f>'MACRS 20'!K5</f>
        <v>4.4610000000000004E-2</v>
      </c>
      <c r="O65" s="79">
        <f>'MACRS 20'!L5</f>
        <v>4.462E-2</v>
      </c>
      <c r="P65" s="79">
        <f>'MACRS 20'!M5</f>
        <v>4.4610000000000004E-2</v>
      </c>
      <c r="Q65" s="79">
        <f>'MACRS 20'!N5</f>
        <v>4.462E-2</v>
      </c>
      <c r="R65" s="79">
        <f>'MACRS 20'!O5</f>
        <v>4.4610000000000004E-2</v>
      </c>
      <c r="S65" s="79">
        <f>'MACRS 20'!P5</f>
        <v>4.462E-2</v>
      </c>
      <c r="T65" s="79">
        <f>'MACRS 20'!Q5</f>
        <v>4.4610000000000004E-2</v>
      </c>
      <c r="U65" s="79">
        <f>'MACRS 20'!R5</f>
        <v>4.462E-2</v>
      </c>
      <c r="V65" s="79">
        <f>'MACRS 20'!S5</f>
        <v>4.4610000000000004E-2</v>
      </c>
      <c r="W65" s="79">
        <f>'MACRS 20'!T5</f>
        <v>4.462E-2</v>
      </c>
      <c r="X65" s="79">
        <f>'MACRS 20'!U5</f>
        <v>4.4610000000000004E-2</v>
      </c>
      <c r="Y65" s="79">
        <f>'MACRS 20'!V5</f>
        <v>2.231E-2</v>
      </c>
      <c r="Z65" s="71"/>
      <c r="AA65" s="67"/>
      <c r="AB65" s="67"/>
      <c r="AC65" s="67"/>
      <c r="AD65" s="67"/>
      <c r="AE65" s="67"/>
      <c r="AF65" s="67"/>
      <c r="AG65" s="67"/>
      <c r="AH65" s="67"/>
      <c r="AI65" s="67"/>
      <c r="AJ65" s="67"/>
      <c r="AK65" s="67"/>
      <c r="AL65" s="67"/>
      <c r="AM65" s="67"/>
      <c r="AN65" s="66"/>
      <c r="AP65" s="72"/>
    </row>
    <row r="66" spans="1:42" x14ac:dyDescent="0.2">
      <c r="A66" s="432">
        <f t="shared" si="10"/>
        <v>36</v>
      </c>
      <c r="B66" s="21" t="s">
        <v>73</v>
      </c>
      <c r="C66" s="21"/>
      <c r="D66" s="70">
        <v>0</v>
      </c>
      <c r="E66" s="78">
        <f>'MACRS 20'!B6</f>
        <v>0.51875000000000004</v>
      </c>
      <c r="F66" s="77">
        <f>'MACRS 20'!C6</f>
        <v>3.6095000000000002E-2</v>
      </c>
      <c r="G66" s="77">
        <f>'MACRS 20'!D6</f>
        <v>3.3384999999999998E-2</v>
      </c>
      <c r="H66" s="80">
        <f>'MACRS 20'!E6</f>
        <v>3.0884999999999999E-2</v>
      </c>
      <c r="I66" s="80">
        <f>'MACRS 20'!F6</f>
        <v>2.8565E-2</v>
      </c>
      <c r="J66" s="80">
        <f>'MACRS 20'!G6</f>
        <v>2.6425000000000001E-2</v>
      </c>
      <c r="K66" s="80">
        <f>'MACRS 20'!H6</f>
        <v>2.444E-2</v>
      </c>
      <c r="L66" s="80">
        <f>'MACRS 20'!I6</f>
        <v>2.2610000000000002E-2</v>
      </c>
      <c r="M66" s="80">
        <f>'MACRS 20'!J6</f>
        <v>2.231E-2</v>
      </c>
      <c r="N66" s="80">
        <f>'MACRS 20'!K6</f>
        <v>2.2305000000000002E-2</v>
      </c>
      <c r="O66" s="80">
        <f>'MACRS 20'!L6</f>
        <v>2.231E-2</v>
      </c>
      <c r="P66" s="80">
        <f>'MACRS 20'!M6</f>
        <v>2.2305000000000002E-2</v>
      </c>
      <c r="Q66" s="80">
        <f>'MACRS 20'!N6</f>
        <v>2.231E-2</v>
      </c>
      <c r="R66" s="80">
        <f>'MACRS 20'!O6</f>
        <v>2.2305000000000002E-2</v>
      </c>
      <c r="S66" s="80">
        <f>'MACRS 20'!P6</f>
        <v>2.231E-2</v>
      </c>
      <c r="T66" s="80">
        <f>'MACRS 20'!Q6</f>
        <v>2.2305000000000002E-2</v>
      </c>
      <c r="U66" s="80">
        <f>'MACRS 20'!R6</f>
        <v>2.231E-2</v>
      </c>
      <c r="V66" s="80">
        <f>'MACRS 20'!S6</f>
        <v>2.2305000000000002E-2</v>
      </c>
      <c r="W66" s="80">
        <f>'MACRS 20'!T6</f>
        <v>2.231E-2</v>
      </c>
      <c r="X66" s="80">
        <f>'MACRS 20'!U6</f>
        <v>2.2305000000000002E-2</v>
      </c>
      <c r="Y66" s="80">
        <f>'MACRS 20'!V6</f>
        <v>1.1155E-2</v>
      </c>
      <c r="Z66" s="68"/>
      <c r="AA66" s="68"/>
      <c r="AB66" s="73"/>
      <c r="AC66" s="73"/>
      <c r="AD66" s="73"/>
      <c r="AE66" s="73"/>
      <c r="AF66" s="73"/>
      <c r="AG66" s="73"/>
      <c r="AH66" s="73"/>
      <c r="AI66" s="73"/>
      <c r="AJ66" s="73"/>
      <c r="AK66" s="73"/>
      <c r="AL66" s="73"/>
      <c r="AM66" s="73"/>
      <c r="AN66" s="445"/>
      <c r="AO66" s="22"/>
      <c r="AP66" s="72">
        <f>SUM(D66:AO66)</f>
        <v>1.0000000000000004</v>
      </c>
    </row>
    <row r="69" spans="1:42" x14ac:dyDescent="0.25">
      <c r="B69" s="74"/>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C10" zoomScale="96" zoomScaleNormal="96" workbookViewId="0">
      <selection activeCell="G16" sqref="G16"/>
    </sheetView>
  </sheetViews>
  <sheetFormatPr defaultColWidth="8.7109375" defaultRowHeight="12.75" x14ac:dyDescent="0.2"/>
  <cols>
    <col min="1" max="1" width="6.85546875" style="453" customWidth="1"/>
    <col min="2" max="2" width="29.5703125" style="453" customWidth="1"/>
    <col min="3" max="3" width="26.7109375" style="453" bestFit="1" customWidth="1"/>
    <col min="4" max="4" width="18.7109375" style="446" bestFit="1" customWidth="1"/>
    <col min="5" max="5" width="14.5703125" style="446" customWidth="1"/>
    <col min="6" max="6" width="15.42578125" style="446" customWidth="1"/>
    <col min="7" max="7" width="14.42578125" style="446" customWidth="1"/>
    <col min="8" max="8" width="12.28515625" style="446" bestFit="1" customWidth="1"/>
    <col min="9" max="9" width="3.7109375" style="446" customWidth="1"/>
    <col min="10" max="10" width="15.7109375" style="453" bestFit="1" customWidth="1"/>
    <col min="11" max="11" width="15" style="453" customWidth="1"/>
    <col min="12" max="12" width="12" style="453" customWidth="1"/>
    <col min="13" max="13" width="14.140625" style="453" customWidth="1"/>
    <col min="14" max="16384" width="8.7109375" style="453"/>
  </cols>
  <sheetData>
    <row r="1" spans="2:17" ht="13.5" thickBot="1" x14ac:dyDescent="0.25"/>
    <row r="2" spans="2:17" ht="13.5" thickBot="1" x14ac:dyDescent="0.25">
      <c r="B2" s="454" t="s">
        <v>209</v>
      </c>
      <c r="J2" s="455" t="s">
        <v>294</v>
      </c>
      <c r="K2" s="456"/>
      <c r="L2" s="456"/>
      <c r="M2" s="457"/>
    </row>
    <row r="3" spans="2:17" ht="45" x14ac:dyDescent="0.25">
      <c r="B3" s="458" t="s">
        <v>210</v>
      </c>
      <c r="C3" s="459" t="s">
        <v>201</v>
      </c>
      <c r="D3" s="460" t="s">
        <v>321</v>
      </c>
      <c r="E3" s="460" t="s">
        <v>322</v>
      </c>
      <c r="F3" s="461" t="s">
        <v>90</v>
      </c>
      <c r="G3" s="462" t="s">
        <v>13</v>
      </c>
      <c r="H3" s="461" t="s">
        <v>211</v>
      </c>
      <c r="I3" s="463"/>
      <c r="J3" s="464" t="s">
        <v>295</v>
      </c>
      <c r="K3" s="465" t="s">
        <v>141</v>
      </c>
      <c r="L3" s="465" t="s">
        <v>144</v>
      </c>
      <c r="M3" s="466" t="s">
        <v>296</v>
      </c>
      <c r="N3" s="446"/>
    </row>
    <row r="4" spans="2:17" x14ac:dyDescent="0.2">
      <c r="B4" s="467" t="s">
        <v>212</v>
      </c>
      <c r="C4" s="468" t="s">
        <v>213</v>
      </c>
      <c r="D4" s="469">
        <v>2537024.6299999948</v>
      </c>
      <c r="E4" s="469">
        <v>2318400</v>
      </c>
      <c r="F4" s="469">
        <f>+D4+E4</f>
        <v>4855424.6299999952</v>
      </c>
      <c r="G4" s="470">
        <f>E37</f>
        <v>3.1950138602539598E-2</v>
      </c>
      <c r="H4" s="469">
        <f>+G4*F4</f>
        <v>155131.48990268438</v>
      </c>
      <c r="I4" s="471"/>
      <c r="J4" s="472">
        <v>380</v>
      </c>
      <c r="K4" s="473" t="s">
        <v>84</v>
      </c>
      <c r="L4" s="474">
        <f>F4/F6</f>
        <v>0.10513283661288599</v>
      </c>
      <c r="M4" s="475">
        <f>H4/H6</f>
        <v>0.13318239511077268</v>
      </c>
      <c r="N4" s="446"/>
    </row>
    <row r="5" spans="2:17" x14ac:dyDescent="0.2">
      <c r="B5" s="467" t="s">
        <v>214</v>
      </c>
      <c r="C5" s="468" t="s">
        <v>95</v>
      </c>
      <c r="D5" s="476">
        <v>20065458.199999966</v>
      </c>
      <c r="E5" s="476">
        <v>21262829</v>
      </c>
      <c r="F5" s="476">
        <f>+D5+E5</f>
        <v>41328287.199999966</v>
      </c>
      <c r="G5" s="470">
        <f>E36</f>
        <v>2.443056207967733E-2</v>
      </c>
      <c r="H5" s="476">
        <f>+G5*F5</f>
        <v>1009673.2860863331</v>
      </c>
      <c r="I5" s="471"/>
      <c r="J5" s="472">
        <v>376</v>
      </c>
      <c r="K5" s="473" t="s">
        <v>83</v>
      </c>
      <c r="L5" s="477">
        <f>F5/F6</f>
        <v>0.89486716338711403</v>
      </c>
      <c r="M5" s="478">
        <f>H5/H6</f>
        <v>0.86681760488922732</v>
      </c>
      <c r="N5" s="446"/>
    </row>
    <row r="6" spans="2:17" ht="13.5" thickBot="1" x14ac:dyDescent="0.25">
      <c r="B6" s="479" t="s">
        <v>90</v>
      </c>
      <c r="C6" s="480"/>
      <c r="D6" s="481">
        <f>SUM(D4:D5)</f>
        <v>22602482.829999961</v>
      </c>
      <c r="E6" s="481">
        <f t="shared" ref="E6:F6" si="0">SUM(E4:E5)</f>
        <v>23581229</v>
      </c>
      <c r="F6" s="481">
        <f t="shared" si="0"/>
        <v>46183711.829999961</v>
      </c>
      <c r="G6" s="482"/>
      <c r="H6" s="481">
        <f>SUM(H4:H5)</f>
        <v>1164804.7759890174</v>
      </c>
      <c r="I6" s="483"/>
      <c r="J6" s="484"/>
      <c r="K6" s="485"/>
      <c r="L6" s="486">
        <f>SUM(L4:L5)</f>
        <v>1</v>
      </c>
      <c r="M6" s="487">
        <f>SUM(M4:M5)</f>
        <v>1</v>
      </c>
      <c r="N6" s="446"/>
    </row>
    <row r="7" spans="2:17" ht="13.5" thickTop="1" x14ac:dyDescent="0.2">
      <c r="B7" s="278" t="s">
        <v>93</v>
      </c>
      <c r="G7" s="488">
        <f>+H6/F6</f>
        <v>2.52211164896535E-2</v>
      </c>
      <c r="J7" s="446"/>
      <c r="K7" s="446"/>
      <c r="L7" s="446"/>
      <c r="M7" s="446"/>
      <c r="N7" s="446"/>
    </row>
    <row r="8" spans="2:17" x14ac:dyDescent="0.2">
      <c r="B8" s="279"/>
      <c r="C8" s="446"/>
      <c r="G8" s="489"/>
      <c r="J8" s="446"/>
    </row>
    <row r="9" spans="2:17" x14ac:dyDescent="0.2">
      <c r="B9"/>
      <c r="C9"/>
      <c r="D9" s="218"/>
      <c r="E9" s="218"/>
      <c r="F9" s="218"/>
      <c r="G9" s="218"/>
      <c r="H9" s="218"/>
      <c r="I9" s="489"/>
      <c r="J9" s="446"/>
    </row>
    <row r="10" spans="2:17" x14ac:dyDescent="0.2">
      <c r="B10"/>
      <c r="C10"/>
      <c r="D10" s="218"/>
      <c r="E10" s="218"/>
      <c r="F10" s="218"/>
      <c r="G10" s="218"/>
      <c r="H10" s="218"/>
      <c r="I10" s="489"/>
      <c r="J10" s="446"/>
    </row>
    <row r="11" spans="2:17" x14ac:dyDescent="0.2">
      <c r="B11" s="279"/>
      <c r="I11" s="453"/>
      <c r="J11" s="489"/>
      <c r="K11" s="446"/>
      <c r="L11" s="446"/>
      <c r="M11" s="446"/>
    </row>
    <row r="12" spans="2:17" ht="13.5" thickBot="1" x14ac:dyDescent="0.25">
      <c r="B12" s="279"/>
      <c r="I12" s="453"/>
      <c r="J12" s="489"/>
      <c r="K12" s="446"/>
      <c r="L12" s="446"/>
      <c r="M12" s="446"/>
    </row>
    <row r="13" spans="2:17" ht="13.5" thickBot="1" x14ac:dyDescent="0.25">
      <c r="I13" s="453"/>
      <c r="J13" s="455" t="s">
        <v>297</v>
      </c>
      <c r="K13" s="456"/>
      <c r="L13" s="456"/>
      <c r="M13" s="280"/>
      <c r="N13" s="490"/>
      <c r="O13" s="490"/>
    </row>
    <row r="14" spans="2:17" ht="31.5" customHeight="1" x14ac:dyDescent="0.25">
      <c r="B14" s="491" t="s">
        <v>215</v>
      </c>
      <c r="C14" s="459" t="s">
        <v>201</v>
      </c>
      <c r="D14" s="460" t="s">
        <v>321</v>
      </c>
      <c r="E14" s="460" t="s">
        <v>322</v>
      </c>
      <c r="F14" s="461" t="s">
        <v>90</v>
      </c>
      <c r="I14" s="453"/>
      <c r="J14" s="492" t="s">
        <v>295</v>
      </c>
      <c r="K14" s="461">
        <v>892</v>
      </c>
      <c r="L14" s="461">
        <v>893</v>
      </c>
      <c r="M14" s="461">
        <v>878</v>
      </c>
      <c r="N14" s="461">
        <v>887</v>
      </c>
      <c r="O14" s="461">
        <v>874</v>
      </c>
      <c r="P14" s="446"/>
    </row>
    <row r="15" spans="2:17" x14ac:dyDescent="0.2">
      <c r="B15" s="467" t="s">
        <v>216</v>
      </c>
      <c r="C15" s="467" t="s">
        <v>217</v>
      </c>
      <c r="D15" s="469">
        <v>1103012.98</v>
      </c>
      <c r="E15" s="469">
        <v>96566</v>
      </c>
      <c r="F15" s="493">
        <f>+D15+E15</f>
        <v>1199578.98</v>
      </c>
      <c r="I15" s="453"/>
      <c r="J15" s="494" t="s">
        <v>272</v>
      </c>
      <c r="K15" s="281">
        <v>0.99753221399080905</v>
      </c>
      <c r="L15" s="281">
        <v>1.7026182230421242E-3</v>
      </c>
      <c r="M15" s="281"/>
      <c r="N15" s="495"/>
      <c r="O15" s="495">
        <v>7.651677861488077E-4</v>
      </c>
      <c r="P15" s="675"/>
      <c r="Q15" s="496"/>
    </row>
    <row r="16" spans="2:17" x14ac:dyDescent="0.2">
      <c r="B16" s="467" t="s">
        <v>298</v>
      </c>
      <c r="C16" s="467"/>
      <c r="D16" s="497">
        <v>-437688.5</v>
      </c>
      <c r="E16" s="498">
        <v>0</v>
      </c>
      <c r="F16" s="476">
        <f>+D16+E16</f>
        <v>-437688.5</v>
      </c>
      <c r="I16" s="453"/>
      <c r="J16" s="494"/>
      <c r="K16" s="281">
        <v>1</v>
      </c>
      <c r="L16" s="281"/>
      <c r="M16" s="281"/>
      <c r="N16" s="495"/>
      <c r="O16" s="495"/>
      <c r="P16" s="675"/>
    </row>
    <row r="17" spans="1:16" x14ac:dyDescent="0.2">
      <c r="B17" s="467" t="s">
        <v>219</v>
      </c>
      <c r="C17" s="467" t="s">
        <v>220</v>
      </c>
      <c r="D17" s="499">
        <v>1941365.62</v>
      </c>
      <c r="E17" s="499">
        <v>1474000</v>
      </c>
      <c r="F17" s="499">
        <f>+D17+E17</f>
        <v>3415365.62</v>
      </c>
      <c r="I17" s="453"/>
      <c r="J17" s="494" t="s">
        <v>221</v>
      </c>
      <c r="K17" s="495"/>
      <c r="L17" s="495"/>
      <c r="M17" s="495"/>
      <c r="N17" s="495"/>
      <c r="O17" s="281">
        <v>1</v>
      </c>
      <c r="P17" s="675"/>
    </row>
    <row r="18" spans="1:16" x14ac:dyDescent="0.2">
      <c r="B18" s="467" t="s">
        <v>222</v>
      </c>
      <c r="C18" s="467" t="s">
        <v>223</v>
      </c>
      <c r="D18" s="499">
        <v>10517.5</v>
      </c>
      <c r="E18" s="498">
        <v>43737</v>
      </c>
      <c r="F18" s="476">
        <f>+D18+E18</f>
        <v>54254.5</v>
      </c>
      <c r="I18" s="453"/>
      <c r="J18" s="494" t="s">
        <v>218</v>
      </c>
      <c r="K18" s="281">
        <v>-0.73360874732588566</v>
      </c>
      <c r="L18" s="281"/>
      <c r="M18" s="281"/>
      <c r="N18" s="281">
        <v>1.7336087473258857</v>
      </c>
      <c r="O18" s="281"/>
      <c r="P18" s="675"/>
    </row>
    <row r="19" spans="1:16" x14ac:dyDescent="0.2">
      <c r="B19" s="500" t="s">
        <v>299</v>
      </c>
      <c r="C19" s="468"/>
      <c r="D19" s="497">
        <v>-82000</v>
      </c>
      <c r="E19" s="501">
        <v>0</v>
      </c>
      <c r="F19" s="476">
        <f>+D19+E19</f>
        <v>-82000</v>
      </c>
      <c r="I19" s="453"/>
      <c r="J19" s="282"/>
      <c r="K19" s="281"/>
      <c r="L19" s="281"/>
      <c r="M19" s="281"/>
      <c r="N19" s="495"/>
      <c r="O19" s="495">
        <v>1</v>
      </c>
      <c r="P19" s="675"/>
    </row>
    <row r="20" spans="1:16" ht="13.5" thickBot="1" x14ac:dyDescent="0.25">
      <c r="B20" s="479" t="s">
        <v>90</v>
      </c>
      <c r="C20" s="480"/>
      <c r="D20" s="481">
        <f>SUM(D15:D19)</f>
        <v>2535207.6</v>
      </c>
      <c r="E20" s="481">
        <f>SUM(E15:E19)</f>
        <v>1614303</v>
      </c>
      <c r="F20" s="481">
        <f>SUM(F15:F19)</f>
        <v>4149510.5999999996</v>
      </c>
    </row>
    <row r="21" spans="1:16" ht="13.5" thickTop="1" x14ac:dyDescent="0.2">
      <c r="B21" s="446"/>
      <c r="C21" s="446"/>
    </row>
    <row r="22" spans="1:16" x14ac:dyDescent="0.2">
      <c r="B22" s="502" t="s">
        <v>224</v>
      </c>
      <c r="C22" s="503"/>
      <c r="D22" s="504">
        <f>+D6+D20</f>
        <v>25137690.429999962</v>
      </c>
      <c r="E22" s="504">
        <f>+E6+E20</f>
        <v>25195532</v>
      </c>
      <c r="F22" s="504">
        <f>SUM(D22:E22)</f>
        <v>50333222.429999962</v>
      </c>
    </row>
    <row r="23" spans="1:16" x14ac:dyDescent="0.2">
      <c r="B23" s="446"/>
      <c r="C23" s="446"/>
    </row>
    <row r="24" spans="1:16" x14ac:dyDescent="0.2">
      <c r="B24" s="446"/>
      <c r="C24" s="446"/>
    </row>
    <row r="25" spans="1:16" x14ac:dyDescent="0.2">
      <c r="B25" s="446"/>
      <c r="C25" s="446"/>
    </row>
    <row r="26" spans="1:16" x14ac:dyDescent="0.2">
      <c r="B26" s="505" t="s">
        <v>60</v>
      </c>
      <c r="C26" s="505"/>
      <c r="D26" s="482"/>
      <c r="E26" s="482"/>
      <c r="F26" s="808">
        <f>'2019 GRC'!J38</f>
        <v>4.7447000000000003E-2</v>
      </c>
    </row>
    <row r="27" spans="1:16" x14ac:dyDescent="0.2">
      <c r="B27" s="505" t="s">
        <v>225</v>
      </c>
      <c r="C27" s="505"/>
      <c r="D27" s="482"/>
      <c r="E27" s="482"/>
      <c r="F27" s="499">
        <f>+(F20)/(1-$F$26)</f>
        <v>4356199.1826176597</v>
      </c>
      <c r="G27" s="506"/>
    </row>
    <row r="28" spans="1:16" x14ac:dyDescent="0.2">
      <c r="B28" s="505" t="s">
        <v>274</v>
      </c>
      <c r="C28" s="505"/>
      <c r="D28" s="482"/>
      <c r="E28" s="482"/>
      <c r="F28" s="499">
        <f>'2022 CAP CRM'!E39</f>
        <v>5335531.596023771</v>
      </c>
    </row>
    <row r="29" spans="1:16" ht="13.5" thickBot="1" x14ac:dyDescent="0.25">
      <c r="B29" s="507" t="s">
        <v>300</v>
      </c>
      <c r="C29" s="508"/>
      <c r="D29" s="508"/>
      <c r="E29" s="508"/>
      <c r="F29" s="283">
        <f>SUM(F27:F28)</f>
        <v>9691730.7786414307</v>
      </c>
    </row>
    <row r="31" spans="1:16" ht="13.5" thickBot="1" x14ac:dyDescent="0.25">
      <c r="A31" s="284"/>
      <c r="B31" s="285" t="s">
        <v>275</v>
      </c>
      <c r="C31" s="285"/>
      <c r="D31" s="285"/>
      <c r="E31" s="285"/>
      <c r="F31" s="285"/>
      <c r="G31" s="285"/>
      <c r="H31" s="284"/>
      <c r="I31" s="284"/>
      <c r="J31" s="284"/>
    </row>
    <row r="32" spans="1:16" x14ac:dyDescent="0.2">
      <c r="A32" s="284"/>
      <c r="B32" s="286" t="s">
        <v>179</v>
      </c>
      <c r="C32" s="287"/>
      <c r="D32" s="287"/>
      <c r="E32" s="288"/>
      <c r="F32" s="284"/>
      <c r="G32" s="284"/>
      <c r="H32" s="284"/>
      <c r="I32" s="284"/>
      <c r="J32" s="284"/>
    </row>
    <row r="33" spans="1:10" ht="25.5" x14ac:dyDescent="0.2">
      <c r="A33" s="284"/>
      <c r="B33" s="289" t="s">
        <v>180</v>
      </c>
      <c r="C33" s="290" t="s">
        <v>110</v>
      </c>
      <c r="D33" s="291" t="s">
        <v>181</v>
      </c>
      <c r="E33" s="292" t="s">
        <v>182</v>
      </c>
      <c r="F33" s="284"/>
      <c r="G33" s="284"/>
      <c r="H33" s="284"/>
      <c r="I33" s="284"/>
      <c r="J33" s="284"/>
    </row>
    <row r="34" spans="1:10" x14ac:dyDescent="0.2">
      <c r="A34" s="284"/>
      <c r="B34" s="293" t="s">
        <v>183</v>
      </c>
      <c r="C34" s="294"/>
      <c r="D34" s="295" t="s">
        <v>111</v>
      </c>
      <c r="E34" s="296" t="s">
        <v>111</v>
      </c>
      <c r="F34" s="284"/>
      <c r="G34" s="284"/>
      <c r="H34" s="284"/>
      <c r="I34" s="284"/>
      <c r="J34" s="284"/>
    </row>
    <row r="35" spans="1:10" x14ac:dyDescent="0.2">
      <c r="A35" s="284"/>
      <c r="B35" s="297"/>
      <c r="C35" s="298"/>
      <c r="D35" s="299" t="s">
        <v>184</v>
      </c>
      <c r="E35" s="300"/>
      <c r="F35" s="284"/>
      <c r="G35" s="284"/>
      <c r="H35" s="284"/>
      <c r="I35" s="284"/>
      <c r="J35" s="284"/>
    </row>
    <row r="36" spans="1:10" x14ac:dyDescent="0.2">
      <c r="B36" s="301">
        <v>376.2</v>
      </c>
      <c r="C36" s="298" t="s">
        <v>185</v>
      </c>
      <c r="D36" s="302">
        <v>2.7700000000000002E-2</v>
      </c>
      <c r="E36" s="303">
        <v>2.443056207967733E-2</v>
      </c>
      <c r="F36" s="284"/>
      <c r="G36" s="284"/>
      <c r="H36" s="284"/>
      <c r="I36" s="284"/>
      <c r="J36" s="284"/>
    </row>
    <row r="37" spans="1:10" ht="13.5" thickBot="1" x14ac:dyDescent="0.25">
      <c r="B37" s="304">
        <v>380.2</v>
      </c>
      <c r="C37" s="305" t="s">
        <v>186</v>
      </c>
      <c r="D37" s="306">
        <v>4.58E-2</v>
      </c>
      <c r="E37" s="307">
        <v>3.1950138602539598E-2</v>
      </c>
      <c r="F37" s="284"/>
      <c r="G37" s="284"/>
      <c r="H37" s="284"/>
      <c r="I37" s="284"/>
      <c r="J37" s="284"/>
    </row>
    <row r="38" spans="1:10" x14ac:dyDescent="0.2">
      <c r="B38" s="284"/>
      <c r="C38" s="284"/>
      <c r="D38" s="284"/>
      <c r="E38" s="284"/>
      <c r="F38" s="284"/>
      <c r="G38" s="284"/>
      <c r="H38" s="284"/>
      <c r="I38" s="284"/>
      <c r="J38" s="284"/>
    </row>
    <row r="39" spans="1:10" x14ac:dyDescent="0.2">
      <c r="A39" s="509" t="s">
        <v>276</v>
      </c>
    </row>
    <row r="40" spans="1:10" ht="12.75" customHeight="1" x14ac:dyDescent="0.2">
      <c r="A40" s="510" t="s">
        <v>152</v>
      </c>
      <c r="B40" s="511" t="s">
        <v>323</v>
      </c>
      <c r="C40" s="512"/>
      <c r="D40" s="512"/>
      <c r="E40" s="512"/>
      <c r="F40" s="512"/>
      <c r="G40" s="512"/>
      <c r="H40" s="512"/>
      <c r="I40" s="512"/>
      <c r="J40" s="512"/>
    </row>
    <row r="41" spans="1:10" x14ac:dyDescent="0.2">
      <c r="A41" s="510" t="s">
        <v>153</v>
      </c>
      <c r="B41" s="828" t="s">
        <v>301</v>
      </c>
      <c r="C41" s="828"/>
      <c r="D41" s="828"/>
      <c r="E41" s="828"/>
      <c r="F41" s="828"/>
      <c r="G41" s="828"/>
      <c r="H41" s="828"/>
      <c r="I41" s="828"/>
      <c r="J41" s="828"/>
    </row>
    <row r="42" spans="1:10" ht="12.75" customHeight="1" x14ac:dyDescent="0.2">
      <c r="B42" s="828"/>
      <c r="C42" s="828"/>
      <c r="D42" s="828"/>
      <c r="E42" s="828"/>
      <c r="F42" s="828"/>
      <c r="G42" s="828"/>
      <c r="H42" s="828"/>
      <c r="I42" s="828"/>
      <c r="J42" s="828"/>
    </row>
    <row r="43" spans="1:10" x14ac:dyDescent="0.2">
      <c r="A43" s="513"/>
      <c r="B43" s="512"/>
      <c r="C43" s="512"/>
      <c r="D43" s="512"/>
      <c r="E43" s="512"/>
      <c r="F43" s="512"/>
      <c r="G43" s="512"/>
      <c r="H43" s="512"/>
      <c r="I43" s="512"/>
      <c r="J43" s="512"/>
    </row>
  </sheetData>
  <mergeCells count="1">
    <mergeCell ref="B41:J4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8"/>
  <sheetViews>
    <sheetView zoomScale="85" zoomScaleNormal="85" workbookViewId="0">
      <selection activeCell="G16" sqref="G16"/>
    </sheetView>
  </sheetViews>
  <sheetFormatPr defaultColWidth="9.28515625" defaultRowHeight="15" x14ac:dyDescent="0.25"/>
  <cols>
    <col min="1" max="1" width="3" style="620" bestFit="1" customWidth="1"/>
    <col min="2" max="2" width="24.28515625" style="449" customWidth="1"/>
    <col min="3" max="3" width="19.5703125" style="449" bestFit="1" customWidth="1"/>
    <col min="4" max="4" width="22.140625" style="449" bestFit="1" customWidth="1"/>
    <col min="5" max="5" width="20.7109375" style="449" customWidth="1"/>
    <col min="6" max="6" width="32.28515625" style="449" customWidth="1"/>
    <col min="7" max="7" width="9.28515625" style="449"/>
    <col min="8" max="8" width="9.28515625" style="620"/>
    <col min="9" max="10" width="12.5703125" style="620" bestFit="1" customWidth="1"/>
    <col min="11" max="11" width="12.42578125" style="620" bestFit="1" customWidth="1"/>
    <col min="12" max="16384" width="9.28515625" style="620"/>
  </cols>
  <sheetData>
    <row r="2" spans="1:12" ht="15.75" x14ac:dyDescent="0.25">
      <c r="B2" s="114" t="s">
        <v>337</v>
      </c>
      <c r="C2" s="114"/>
      <c r="D2" s="114"/>
      <c r="E2" s="114"/>
      <c r="F2" s="114"/>
    </row>
    <row r="3" spans="1:12" ht="15.75" x14ac:dyDescent="0.25">
      <c r="B3" s="114"/>
      <c r="C3" s="114"/>
      <c r="D3" s="115" t="s">
        <v>338</v>
      </c>
      <c r="E3" s="115" t="s">
        <v>338</v>
      </c>
      <c r="F3" s="114"/>
    </row>
    <row r="4" spans="1:12" ht="15.75" x14ac:dyDescent="0.25">
      <c r="B4" s="114"/>
      <c r="C4" s="114"/>
      <c r="D4" s="262" t="s">
        <v>339</v>
      </c>
      <c r="E4" s="621" t="s">
        <v>340</v>
      </c>
      <c r="F4" s="621"/>
    </row>
    <row r="5" spans="1:12" s="449" customFormat="1" ht="16.5" thickBot="1" x14ac:dyDescent="0.3">
      <c r="B5" s="21" t="s">
        <v>215</v>
      </c>
      <c r="C5" s="114"/>
      <c r="D5" s="173">
        <v>4995822.3071807576</v>
      </c>
      <c r="E5" s="173">
        <v>5108313.9199999981</v>
      </c>
      <c r="F5" s="173">
        <v>117847.42473098972</v>
      </c>
      <c r="G5" s="74"/>
      <c r="I5" s="622"/>
    </row>
    <row r="6" spans="1:12" ht="16.5" thickBot="1" x14ac:dyDescent="0.3">
      <c r="A6" s="449"/>
      <c r="B6" s="21" t="s">
        <v>281</v>
      </c>
      <c r="C6" s="114"/>
      <c r="D6" s="173">
        <f>D27</f>
        <v>5075566.3630553354</v>
      </c>
      <c r="E6" s="173">
        <f>E27</f>
        <v>5080857.0252605006</v>
      </c>
      <c r="F6" s="173">
        <f>E6-D6</f>
        <v>5290.6622051652521</v>
      </c>
      <c r="I6" s="623"/>
      <c r="J6" s="168"/>
    </row>
    <row r="7" spans="1:12" ht="16.5" thickBot="1" x14ac:dyDescent="0.3">
      <c r="B7" s="624" t="s">
        <v>302</v>
      </c>
      <c r="C7" s="625"/>
      <c r="D7" s="173"/>
      <c r="E7" s="173"/>
      <c r="F7" s="173">
        <f>SUM(F5:F6)</f>
        <v>123138.08693615497</v>
      </c>
      <c r="I7" s="626"/>
      <c r="J7" s="168"/>
    </row>
    <row r="8" spans="1:12" ht="15.75" x14ac:dyDescent="0.25">
      <c r="B8" s="114"/>
      <c r="C8" s="114"/>
      <c r="F8" s="114"/>
    </row>
    <row r="9" spans="1:12" ht="15.75" thickBot="1" x14ac:dyDescent="0.3">
      <c r="A9" s="263"/>
      <c r="B9" s="32"/>
      <c r="C9" s="32"/>
      <c r="D9" s="264"/>
      <c r="E9" s="264"/>
      <c r="F9" s="264"/>
      <c r="I9"/>
      <c r="J9"/>
      <c r="K9"/>
      <c r="L9"/>
    </row>
    <row r="10" spans="1:12" ht="15.75" thickBot="1" x14ac:dyDescent="0.3">
      <c r="A10" s="263"/>
      <c r="B10" s="265" t="s">
        <v>17</v>
      </c>
      <c r="C10" s="266"/>
      <c r="D10" s="412">
        <f>'2021 CRM '!F22</f>
        <v>44118513.764677308</v>
      </c>
      <c r="E10" s="412">
        <f>'2021 + true up CAP'!F22</f>
        <v>44151486.389999881</v>
      </c>
      <c r="F10" s="412">
        <f>E10-D10</f>
        <v>32972.625322572887</v>
      </c>
      <c r="I10"/>
      <c r="J10"/>
      <c r="K10"/>
      <c r="L10"/>
    </row>
    <row r="11" spans="1:12" x14ac:dyDescent="0.25">
      <c r="A11" s="117"/>
      <c r="B11" s="21"/>
      <c r="C11" s="21"/>
      <c r="D11" s="118"/>
      <c r="I11"/>
      <c r="J11"/>
      <c r="K11"/>
      <c r="L11"/>
    </row>
    <row r="12" spans="1:12" x14ac:dyDescent="0.25">
      <c r="A12" s="119">
        <v>1</v>
      </c>
      <c r="B12" s="21" t="s">
        <v>53</v>
      </c>
      <c r="C12" s="21"/>
      <c r="D12" s="123">
        <v>1102148.2430587558</v>
      </c>
      <c r="E12" s="622">
        <f>'2021 + true up CAP'!E27</f>
        <v>1104451.5358050684</v>
      </c>
      <c r="F12" s="622">
        <f>E12-D12</f>
        <v>2303.2927463126834</v>
      </c>
      <c r="G12" s="627">
        <f>D12/D34</f>
        <v>2.5333670058172865E-2</v>
      </c>
      <c r="H12" s="628">
        <f>E12/E34</f>
        <v>2.5365560217520927E-2</v>
      </c>
      <c r="I12"/>
      <c r="J12"/>
      <c r="K12"/>
      <c r="L12"/>
    </row>
    <row r="13" spans="1:12" x14ac:dyDescent="0.25">
      <c r="A13" s="117"/>
      <c r="B13" s="21"/>
      <c r="C13" s="21"/>
      <c r="D13" s="142"/>
      <c r="I13"/>
      <c r="J13"/>
      <c r="K13"/>
      <c r="L13"/>
    </row>
    <row r="14" spans="1:12" x14ac:dyDescent="0.25">
      <c r="A14" s="119">
        <f>A12+1</f>
        <v>2</v>
      </c>
      <c r="B14" s="21" t="s">
        <v>54</v>
      </c>
      <c r="C14" s="21"/>
      <c r="D14" s="123">
        <v>527400.60685754579</v>
      </c>
      <c r="E14" s="622">
        <f>'2021 + true up CAP'!E29</f>
        <v>527787.68326246506</v>
      </c>
      <c r="F14" s="622">
        <f>E14-D14</f>
        <v>387.07640491926577</v>
      </c>
      <c r="I14"/>
      <c r="J14"/>
      <c r="K14"/>
      <c r="L14"/>
    </row>
    <row r="15" spans="1:12" x14ac:dyDescent="0.25">
      <c r="A15" s="117"/>
      <c r="B15" s="21"/>
      <c r="C15" s="21"/>
      <c r="D15" s="142"/>
      <c r="I15"/>
      <c r="J15"/>
      <c r="K15"/>
      <c r="L15"/>
    </row>
    <row r="16" spans="1:12" x14ac:dyDescent="0.25">
      <c r="A16" s="117"/>
      <c r="B16" s="21" t="s">
        <v>55</v>
      </c>
      <c r="C16" s="21"/>
      <c r="D16" s="142"/>
      <c r="I16"/>
      <c r="J16"/>
      <c r="K16"/>
      <c r="L16"/>
    </row>
    <row r="17" spans="1:12" x14ac:dyDescent="0.25">
      <c r="A17" s="119">
        <f>A14+1</f>
        <v>3</v>
      </c>
      <c r="B17" s="21"/>
      <c r="C17" s="21" t="s">
        <v>56</v>
      </c>
      <c r="D17" s="120">
        <v>0</v>
      </c>
      <c r="E17" s="622">
        <v>0</v>
      </c>
      <c r="F17" s="629">
        <f t="shared" ref="F17:F20" si="0">E17-D17</f>
        <v>0</v>
      </c>
      <c r="I17"/>
      <c r="J17"/>
      <c r="K17"/>
      <c r="L17"/>
    </row>
    <row r="18" spans="1:12" x14ac:dyDescent="0.25">
      <c r="A18" s="119">
        <f>A17+1</f>
        <v>4</v>
      </c>
      <c r="B18" s="21"/>
      <c r="C18" s="21" t="s">
        <v>57</v>
      </c>
      <c r="D18" s="120">
        <v>1231317.3942683951</v>
      </c>
      <c r="E18" s="622">
        <f>'2021 + true up CAP'!E33</f>
        <v>1232221.0980262039</v>
      </c>
      <c r="F18" s="629">
        <f t="shared" si="0"/>
        <v>903.70375780877657</v>
      </c>
      <c r="I18"/>
      <c r="J18"/>
      <c r="K18"/>
      <c r="L18"/>
    </row>
    <row r="19" spans="1:12" x14ac:dyDescent="0.25">
      <c r="A19" s="119">
        <f>A18+1</f>
        <v>5</v>
      </c>
      <c r="B19" s="21"/>
      <c r="C19" s="21" t="s">
        <v>9</v>
      </c>
      <c r="D19" s="121">
        <v>1984030.8543688632</v>
      </c>
      <c r="E19" s="630">
        <f>'2021 + true up CAP'!E34</f>
        <v>1985486.9989397493</v>
      </c>
      <c r="F19" s="630">
        <f t="shared" si="0"/>
        <v>1456.1445708861575</v>
      </c>
      <c r="I19"/>
      <c r="J19"/>
      <c r="K19"/>
      <c r="L19"/>
    </row>
    <row r="20" spans="1:12" x14ac:dyDescent="0.25">
      <c r="A20" s="119">
        <f>A19+1</f>
        <v>6</v>
      </c>
      <c r="B20" s="21"/>
      <c r="C20" s="21" t="s">
        <v>58</v>
      </c>
      <c r="D20" s="123">
        <f>SUM(D17:D19)</f>
        <v>3215348.2486372581</v>
      </c>
      <c r="E20" s="622">
        <f>SUM(E17:E19)</f>
        <v>3217708.0969659532</v>
      </c>
      <c r="F20" s="622">
        <f t="shared" si="0"/>
        <v>2359.8483286951669</v>
      </c>
      <c r="I20"/>
      <c r="J20"/>
      <c r="K20"/>
      <c r="L20"/>
    </row>
    <row r="21" spans="1:12" x14ac:dyDescent="0.25">
      <c r="A21" s="117"/>
      <c r="B21" s="21"/>
      <c r="C21" s="21"/>
      <c r="D21" s="142"/>
      <c r="I21"/>
      <c r="J21"/>
      <c r="K21"/>
      <c r="L21"/>
    </row>
    <row r="22" spans="1:12" x14ac:dyDescent="0.25">
      <c r="A22" s="119">
        <f>A20+1</f>
        <v>7</v>
      </c>
      <c r="B22" s="21" t="s">
        <v>59</v>
      </c>
      <c r="C22" s="21"/>
      <c r="D22" s="120">
        <v>4844897.0985535597</v>
      </c>
      <c r="E22" s="622">
        <f>'2021 + true up CAP'!E37</f>
        <v>4849947.3160334863</v>
      </c>
      <c r="F22" s="622">
        <f>E22-D22</f>
        <v>5050.217479926534</v>
      </c>
      <c r="I22"/>
      <c r="J22"/>
      <c r="K22"/>
      <c r="L22"/>
    </row>
    <row r="23" spans="1:12" x14ac:dyDescent="0.25">
      <c r="A23" s="119">
        <f>A22+1</f>
        <v>8</v>
      </c>
      <c r="B23" s="21" t="s">
        <v>60</v>
      </c>
      <c r="C23" s="21"/>
      <c r="D23" s="121">
        <v>230669.26450177561</v>
      </c>
      <c r="E23" s="630">
        <f>'2021 + true up CAP'!E38</f>
        <v>230909.70922701433</v>
      </c>
      <c r="F23" s="630">
        <f>E23-D23</f>
        <v>240.44472523871809</v>
      </c>
      <c r="I23"/>
      <c r="J23"/>
      <c r="K23"/>
      <c r="L23"/>
    </row>
    <row r="24" spans="1:12" x14ac:dyDescent="0.25">
      <c r="A24" s="119">
        <f>A23+1</f>
        <v>9</v>
      </c>
      <c r="B24" s="21"/>
      <c r="C24" s="21" t="s">
        <v>61</v>
      </c>
      <c r="D24" s="120">
        <f>SUM(D22:D23)</f>
        <v>5075566.3630553354</v>
      </c>
      <c r="E24" s="622">
        <f>SUM(E22:E23)</f>
        <v>5080857.0252605006</v>
      </c>
      <c r="F24" s="622">
        <f t="shared" ref="F24" si="1">E24-D24</f>
        <v>5290.6622051652521</v>
      </c>
      <c r="I24"/>
      <c r="J24"/>
      <c r="K24"/>
      <c r="L24"/>
    </row>
    <row r="25" spans="1:12" x14ac:dyDescent="0.25">
      <c r="A25" s="119">
        <f t="shared" ref="A25:A47" si="2">A24+1</f>
        <v>10</v>
      </c>
      <c r="B25" s="21"/>
      <c r="C25" s="21"/>
      <c r="D25" s="163"/>
      <c r="I25"/>
      <c r="J25"/>
      <c r="K25"/>
      <c r="L25"/>
    </row>
    <row r="26" spans="1:12" x14ac:dyDescent="0.25">
      <c r="A26" s="119">
        <f t="shared" si="2"/>
        <v>11</v>
      </c>
      <c r="B26" s="21"/>
      <c r="C26" s="21"/>
      <c r="D26" s="142"/>
      <c r="I26"/>
      <c r="J26"/>
      <c r="K26"/>
      <c r="L26"/>
    </row>
    <row r="27" spans="1:12" s="449" customFormat="1" x14ac:dyDescent="0.25">
      <c r="A27" s="432">
        <f t="shared" si="2"/>
        <v>12</v>
      </c>
      <c r="B27" s="21" t="s">
        <v>208</v>
      </c>
      <c r="C27" s="21"/>
      <c r="D27" s="121">
        <f>D24</f>
        <v>5075566.3630553354</v>
      </c>
      <c r="E27" s="630">
        <f>+E24</f>
        <v>5080857.0252605006</v>
      </c>
      <c r="F27" s="630">
        <f>E27-D27</f>
        <v>5290.6622051652521</v>
      </c>
      <c r="G27" s="74"/>
      <c r="I27" s="218"/>
      <c r="J27" s="218"/>
      <c r="K27" s="218"/>
      <c r="L27" s="218"/>
    </row>
    <row r="28" spans="1:12" ht="15.75" thickBot="1" x14ac:dyDescent="0.3">
      <c r="A28" s="119">
        <f t="shared" si="2"/>
        <v>13</v>
      </c>
      <c r="B28" s="174" t="s">
        <v>102</v>
      </c>
      <c r="C28" s="174"/>
      <c r="D28" s="175"/>
      <c r="E28" s="631">
        <f>+E27-D27</f>
        <v>5290.6622051652521</v>
      </c>
      <c r="F28" s="631"/>
      <c r="I28"/>
      <c r="J28"/>
      <c r="K28"/>
      <c r="L28"/>
    </row>
    <row r="29" spans="1:12" ht="15.75" thickTop="1" x14ac:dyDescent="0.25">
      <c r="A29" s="119">
        <f t="shared" si="2"/>
        <v>14</v>
      </c>
      <c r="B29" s="21"/>
      <c r="C29" s="21"/>
      <c r="D29" s="445"/>
      <c r="I29"/>
      <c r="J29"/>
      <c r="K29"/>
      <c r="L29"/>
    </row>
    <row r="30" spans="1:12" x14ac:dyDescent="0.25">
      <c r="A30" s="119">
        <f t="shared" si="2"/>
        <v>15</v>
      </c>
      <c r="B30" s="21" t="s">
        <v>63</v>
      </c>
      <c r="C30" s="445"/>
      <c r="D30" s="122">
        <v>0.11504391082001941</v>
      </c>
      <c r="E30" s="632">
        <f>'2021 + true up CAP'!E45</f>
        <v>0.11507782502224642</v>
      </c>
      <c r="F30" s="632">
        <f>E30-D30</f>
        <v>3.3914202227008916E-5</v>
      </c>
      <c r="I30"/>
      <c r="J30"/>
      <c r="K30"/>
      <c r="L30"/>
    </row>
    <row r="31" spans="1:12" x14ac:dyDescent="0.25">
      <c r="A31" s="119">
        <f t="shared" si="2"/>
        <v>16</v>
      </c>
      <c r="B31" s="21"/>
      <c r="C31" s="21"/>
      <c r="D31" s="445"/>
      <c r="I31"/>
      <c r="J31"/>
      <c r="K31"/>
      <c r="L31"/>
    </row>
    <row r="32" spans="1:12" x14ac:dyDescent="0.25">
      <c r="A32" s="119">
        <f t="shared" si="2"/>
        <v>17</v>
      </c>
      <c r="B32" s="21" t="s">
        <v>193</v>
      </c>
      <c r="C32" s="21"/>
      <c r="D32" s="122">
        <v>4.5447000000000001E-2</v>
      </c>
      <c r="E32" s="122">
        <f>'2021 + true up CAP'!F16</f>
        <v>4.5447000000000001E-2</v>
      </c>
      <c r="F32" s="622"/>
      <c r="I32"/>
      <c r="J32"/>
      <c r="K32"/>
      <c r="L32"/>
    </row>
    <row r="33" spans="1:12" x14ac:dyDescent="0.25">
      <c r="A33" s="119">
        <f t="shared" si="2"/>
        <v>18</v>
      </c>
      <c r="B33" s="21"/>
      <c r="C33" s="21"/>
      <c r="D33" s="164"/>
      <c r="E33" s="630"/>
      <c r="F33" s="630"/>
      <c r="I33"/>
      <c r="J33"/>
      <c r="K33"/>
      <c r="L33"/>
    </row>
    <row r="34" spans="1:12" x14ac:dyDescent="0.25">
      <c r="A34" s="119">
        <f t="shared" si="2"/>
        <v>19</v>
      </c>
      <c r="B34" s="65" t="s">
        <v>64</v>
      </c>
      <c r="C34" s="21"/>
      <c r="D34" s="120">
        <f>'2021 CRM '!E49</f>
        <v>43505273.43760021</v>
      </c>
      <c r="E34" s="622">
        <f>'2021 + true up CAP'!E49</f>
        <v>43541381.555696256</v>
      </c>
      <c r="F34" s="622">
        <f>E34-D34</f>
        <v>36108.11809604615</v>
      </c>
      <c r="I34"/>
      <c r="J34"/>
      <c r="K34"/>
      <c r="L34"/>
    </row>
    <row r="35" spans="1:12" x14ac:dyDescent="0.25">
      <c r="A35" s="119">
        <f t="shared" si="2"/>
        <v>20</v>
      </c>
      <c r="B35" s="21"/>
      <c r="C35" s="21"/>
      <c r="D35" s="123"/>
      <c r="I35"/>
      <c r="J35"/>
      <c r="K35"/>
      <c r="L35"/>
    </row>
    <row r="36" spans="1:12" x14ac:dyDescent="0.25">
      <c r="A36" s="119">
        <f t="shared" si="2"/>
        <v>21</v>
      </c>
      <c r="B36" s="21"/>
      <c r="C36" s="21"/>
      <c r="D36" s="123"/>
      <c r="I36"/>
      <c r="J36"/>
      <c r="K36"/>
      <c r="L36"/>
    </row>
    <row r="37" spans="1:12" x14ac:dyDescent="0.25">
      <c r="A37" s="119">
        <f t="shared" si="2"/>
        <v>22</v>
      </c>
      <c r="B37" s="21" t="s">
        <v>65</v>
      </c>
      <c r="C37" s="21"/>
      <c r="D37" s="123">
        <v>2511431.4612264088</v>
      </c>
      <c r="E37" s="622">
        <f>'2021 + true up CAP'!E52</f>
        <v>2513274.6822022144</v>
      </c>
      <c r="F37" s="622">
        <f>E37-D37</f>
        <v>1843.2209758055396</v>
      </c>
      <c r="I37"/>
      <c r="J37"/>
      <c r="K37"/>
      <c r="L37"/>
    </row>
    <row r="38" spans="1:12" x14ac:dyDescent="0.25">
      <c r="A38" s="119">
        <f t="shared" si="2"/>
        <v>23</v>
      </c>
      <c r="B38" s="21" t="s">
        <v>66</v>
      </c>
      <c r="C38" s="21"/>
      <c r="D38" s="121">
        <v>527400.60685754579</v>
      </c>
      <c r="E38" s="630">
        <f>'2021 + true up CAP'!E53</f>
        <v>527787.68326246506</v>
      </c>
      <c r="F38" s="630">
        <f>E38-D38</f>
        <v>387.07640491926577</v>
      </c>
      <c r="I38"/>
      <c r="J38"/>
      <c r="K38"/>
      <c r="L38"/>
    </row>
    <row r="39" spans="1:12" x14ac:dyDescent="0.25">
      <c r="A39" s="119">
        <f t="shared" si="2"/>
        <v>24</v>
      </c>
      <c r="B39" s="21" t="s">
        <v>67</v>
      </c>
      <c r="C39" s="21"/>
      <c r="D39" s="622">
        <f>D37-D38</f>
        <v>1984030.8543688632</v>
      </c>
      <c r="E39" s="622">
        <f>E37-E38</f>
        <v>1985486.9989397493</v>
      </c>
      <c r="F39" s="622">
        <f>E39-D39</f>
        <v>1456.1445708861575</v>
      </c>
      <c r="I39"/>
      <c r="J39"/>
      <c r="K39"/>
      <c r="L39"/>
    </row>
    <row r="40" spans="1:12" x14ac:dyDescent="0.25">
      <c r="A40" s="119">
        <f t="shared" si="2"/>
        <v>25</v>
      </c>
      <c r="B40" s="21"/>
      <c r="C40" s="21"/>
      <c r="D40" s="447"/>
      <c r="I40"/>
      <c r="J40"/>
      <c r="K40"/>
      <c r="L40"/>
    </row>
    <row r="41" spans="1:12" x14ac:dyDescent="0.25">
      <c r="A41" s="119">
        <f t="shared" si="2"/>
        <v>26</v>
      </c>
      <c r="B41" s="21"/>
      <c r="C41" s="21"/>
      <c r="D41" s="447"/>
      <c r="I41"/>
      <c r="J41"/>
      <c r="K41"/>
      <c r="L41"/>
    </row>
    <row r="42" spans="1:12" x14ac:dyDescent="0.25">
      <c r="A42" s="119">
        <f t="shared" si="2"/>
        <v>27</v>
      </c>
      <c r="B42" s="21" t="s">
        <v>68</v>
      </c>
      <c r="C42" s="21"/>
      <c r="D42" s="123">
        <v>1102148.2430587558</v>
      </c>
      <c r="E42" s="622">
        <f>'2021 + true up CAP'!E57</f>
        <v>1104451.5358050684</v>
      </c>
      <c r="F42" s="622">
        <f t="shared" ref="F42:F45" si="3">E42-D42</f>
        <v>2303.2927463126834</v>
      </c>
      <c r="I42"/>
      <c r="J42"/>
      <c r="K42"/>
      <c r="L42"/>
    </row>
    <row r="43" spans="1:12" x14ac:dyDescent="0.25">
      <c r="A43" s="119">
        <f t="shared" si="2"/>
        <v>28</v>
      </c>
      <c r="B43" s="21" t="s">
        <v>69</v>
      </c>
      <c r="C43" s="21"/>
      <c r="D43" s="123">
        <v>1654444.2661753991</v>
      </c>
      <c r="E43" s="622">
        <f>'2021 + true up CAP'!E58</f>
        <v>1655680.7396249955</v>
      </c>
      <c r="F43" s="622">
        <f t="shared" si="3"/>
        <v>1236.4734495964367</v>
      </c>
      <c r="I43"/>
      <c r="J43"/>
      <c r="K43"/>
      <c r="L43"/>
    </row>
    <row r="44" spans="1:12" x14ac:dyDescent="0.25">
      <c r="A44" s="119">
        <f t="shared" si="2"/>
        <v>29</v>
      </c>
      <c r="B44" s="21" t="s">
        <v>70</v>
      </c>
      <c r="C44" s="21"/>
      <c r="D44" s="123">
        <v>552296.02311664331</v>
      </c>
      <c r="E44" s="622">
        <f>'2021 + true up CAP'!E59</f>
        <v>551229.20381992706</v>
      </c>
      <c r="F44" s="622">
        <f t="shared" si="3"/>
        <v>-1066.8192967162468</v>
      </c>
      <c r="I44"/>
      <c r="J44"/>
      <c r="K44"/>
      <c r="L44"/>
    </row>
    <row r="45" spans="1:12" x14ac:dyDescent="0.25">
      <c r="A45" s="119">
        <f t="shared" si="2"/>
        <v>30</v>
      </c>
      <c r="B45" s="21" t="s">
        <v>71</v>
      </c>
      <c r="C45" s="21"/>
      <c r="D45" s="123">
        <v>115982.16485449509</v>
      </c>
      <c r="E45" s="622">
        <f>'2021 + true up CAP'!E60</f>
        <v>115758.13280218469</v>
      </c>
      <c r="F45" s="622">
        <f t="shared" si="3"/>
        <v>-224.03205231040192</v>
      </c>
      <c r="I45"/>
      <c r="J45"/>
      <c r="K45"/>
      <c r="L45"/>
    </row>
    <row r="46" spans="1:12" x14ac:dyDescent="0.25">
      <c r="A46" s="119">
        <f t="shared" si="2"/>
        <v>31</v>
      </c>
      <c r="B46" s="21"/>
      <c r="C46" s="21"/>
      <c r="D46" s="124"/>
      <c r="I46"/>
      <c r="J46"/>
      <c r="K46"/>
      <c r="L46"/>
    </row>
    <row r="47" spans="1:12" x14ac:dyDescent="0.25">
      <c r="A47" s="119">
        <f t="shared" si="2"/>
        <v>32</v>
      </c>
      <c r="B47" s="21" t="s">
        <v>72</v>
      </c>
      <c r="C47" s="21"/>
      <c r="D47" s="125">
        <v>0.51875000000000004</v>
      </c>
      <c r="E47" s="633">
        <f>'2021 + true up CAP'!E66</f>
        <v>0.51875000000000004</v>
      </c>
      <c r="F47" s="633">
        <f>E47-D47</f>
        <v>0</v>
      </c>
      <c r="I47"/>
      <c r="J47"/>
      <c r="K47"/>
      <c r="L47"/>
    </row>
    <row r="48" spans="1:12" x14ac:dyDescent="0.25">
      <c r="I48"/>
      <c r="J48"/>
      <c r="K48"/>
      <c r="L48"/>
    </row>
  </sheetData>
  <pageMargins left="0.45" right="0.45"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4"/>
  <sheetViews>
    <sheetView topLeftCell="E1" zoomScale="90" zoomScaleNormal="90" workbookViewId="0">
      <selection activeCell="G16" sqref="G16"/>
    </sheetView>
  </sheetViews>
  <sheetFormatPr defaultColWidth="9.28515625" defaultRowHeight="15" x14ac:dyDescent="0.25"/>
  <cols>
    <col min="1" max="1" width="9.28515625" style="515"/>
    <col min="2" max="2" width="27.7109375" style="515" bestFit="1" customWidth="1"/>
    <col min="3" max="3" width="16.42578125" style="515" bestFit="1" customWidth="1"/>
    <col min="4" max="4" width="26.28515625" style="515" customWidth="1"/>
    <col min="5" max="5" width="16.7109375" style="515" customWidth="1"/>
    <col min="6" max="6" width="25.5703125" style="515" customWidth="1"/>
    <col min="7" max="7" width="1" style="516" customWidth="1"/>
    <col min="8" max="8" width="17.7109375" style="515" customWidth="1"/>
    <col min="9" max="9" width="19.5703125" style="515" customWidth="1"/>
    <col min="10" max="10" width="14.28515625" style="515" bestFit="1" customWidth="1"/>
    <col min="11" max="11" width="16" style="515" bestFit="1" customWidth="1"/>
    <col min="12" max="12" width="23.7109375" style="515" customWidth="1"/>
    <col min="13" max="13" width="9.28515625" style="515"/>
    <col min="14" max="14" width="17.5703125" style="515" customWidth="1"/>
    <col min="15" max="15" width="16.28515625" style="515" bestFit="1" customWidth="1"/>
    <col min="16" max="16" width="14.5703125" style="515" bestFit="1" customWidth="1"/>
    <col min="17" max="16384" width="9.28515625" style="515"/>
  </cols>
  <sheetData>
    <row r="2" spans="2:21" ht="16.5" thickBot="1" x14ac:dyDescent="0.3">
      <c r="B2" s="514" t="s">
        <v>324</v>
      </c>
      <c r="P2"/>
    </row>
    <row r="3" spans="2:21" ht="15.75" thickBot="1" x14ac:dyDescent="0.3">
      <c r="B3" s="517" t="s">
        <v>325</v>
      </c>
      <c r="C3" s="518"/>
      <c r="D3" s="518"/>
      <c r="E3" s="519" t="s">
        <v>326</v>
      </c>
      <c r="F3" s="520"/>
      <c r="G3" s="521"/>
      <c r="H3" s="829" t="s">
        <v>327</v>
      </c>
      <c r="I3" s="830"/>
      <c r="J3" s="831"/>
      <c r="L3"/>
      <c r="M3" t="s">
        <v>328</v>
      </c>
      <c r="N3"/>
      <c r="O3"/>
      <c r="P3"/>
      <c r="R3"/>
      <c r="S3"/>
      <c r="T3"/>
      <c r="U3"/>
    </row>
    <row r="4" spans="2:21" ht="11.25" customHeight="1" thickBot="1" x14ac:dyDescent="0.3">
      <c r="B4" s="522" t="s">
        <v>260</v>
      </c>
      <c r="C4" s="523"/>
      <c r="D4" s="523"/>
      <c r="E4" s="523"/>
      <c r="F4" s="524"/>
      <c r="G4" s="525"/>
      <c r="H4" s="526"/>
      <c r="I4" s="527"/>
      <c r="J4" s="528"/>
      <c r="K4" s="516"/>
      <c r="L4"/>
      <c r="M4" s="455" t="s">
        <v>297</v>
      </c>
      <c r="N4" s="456"/>
      <c r="O4" s="280"/>
      <c r="P4" s="490"/>
      <c r="Q4" s="490"/>
      <c r="R4"/>
      <c r="S4"/>
      <c r="T4"/>
      <c r="U4"/>
    </row>
    <row r="5" spans="2:21" ht="30" x14ac:dyDescent="0.25">
      <c r="B5" s="529" t="s">
        <v>210</v>
      </c>
      <c r="C5" s="530" t="s">
        <v>201</v>
      </c>
      <c r="D5" s="531" t="s">
        <v>329</v>
      </c>
      <c r="E5" s="531" t="s">
        <v>330</v>
      </c>
      <c r="F5" s="532" t="s">
        <v>331</v>
      </c>
      <c r="G5" s="533"/>
      <c r="H5" s="531" t="s">
        <v>332</v>
      </c>
      <c r="I5" s="532" t="s">
        <v>333</v>
      </c>
      <c r="J5" s="534" t="s">
        <v>232</v>
      </c>
      <c r="K5"/>
      <c r="L5"/>
      <c r="M5" s="461">
        <v>892</v>
      </c>
      <c r="N5" s="461">
        <v>893</v>
      </c>
      <c r="O5" s="461">
        <v>878</v>
      </c>
      <c r="P5" s="461">
        <v>887</v>
      </c>
      <c r="Q5" s="461">
        <v>874</v>
      </c>
      <c r="R5"/>
      <c r="S5"/>
      <c r="T5"/>
      <c r="U5"/>
    </row>
    <row r="6" spans="2:21" x14ac:dyDescent="0.25">
      <c r="B6" s="535" t="s">
        <v>219</v>
      </c>
      <c r="C6" s="536" t="s">
        <v>220</v>
      </c>
      <c r="D6" s="537">
        <v>3372737.88</v>
      </c>
      <c r="E6" s="537">
        <v>32632.38112233928</v>
      </c>
      <c r="F6" s="538">
        <f>+E6+D6</f>
        <v>3405370.2611223389</v>
      </c>
      <c r="G6" s="539"/>
      <c r="H6" s="540">
        <v>121746.12</v>
      </c>
      <c r="I6" s="541">
        <v>3494484</v>
      </c>
      <c r="J6" s="538">
        <f>+I6-F6</f>
        <v>89113.738877661061</v>
      </c>
      <c r="K6"/>
      <c r="L6"/>
      <c r="M6" s="542"/>
      <c r="N6" s="543"/>
      <c r="O6" s="542"/>
      <c r="P6" s="543"/>
      <c r="Q6" s="544">
        <f>D6/D6</f>
        <v>1</v>
      </c>
      <c r="R6" s="545">
        <f>SUM(M6:Q6)</f>
        <v>1</v>
      </c>
      <c r="S6"/>
      <c r="T6"/>
      <c r="U6"/>
    </row>
    <row r="7" spans="2:21" x14ac:dyDescent="0.25">
      <c r="B7" s="535" t="s">
        <v>222</v>
      </c>
      <c r="C7" s="536" t="s">
        <v>223</v>
      </c>
      <c r="D7" s="546">
        <v>55286.64</v>
      </c>
      <c r="E7" s="537">
        <v>0</v>
      </c>
      <c r="F7" s="538">
        <f>+E7+D7</f>
        <v>55286.64</v>
      </c>
      <c r="G7" s="539"/>
      <c r="H7" s="540">
        <v>2606.84</v>
      </c>
      <c r="I7" s="541">
        <v>57893.479999999996</v>
      </c>
      <c r="J7" s="538">
        <f t="shared" ref="J7:J8" si="0">+I7-F7</f>
        <v>2606.8399999999965</v>
      </c>
      <c r="K7"/>
      <c r="L7"/>
      <c r="M7" s="547">
        <v>0.70679999999999998</v>
      </c>
      <c r="N7" s="548"/>
      <c r="O7" s="549"/>
      <c r="P7" s="550">
        <v>0.29320000000000002</v>
      </c>
      <c r="Q7" s="551"/>
      <c r="R7" s="545">
        <f>SUM(M7:Q7)</f>
        <v>1</v>
      </c>
      <c r="S7"/>
      <c r="T7"/>
      <c r="U7"/>
    </row>
    <row r="8" spans="2:21" ht="15.75" thickBot="1" x14ac:dyDescent="0.3">
      <c r="B8" s="552" t="s">
        <v>334</v>
      </c>
      <c r="C8" s="553" t="s">
        <v>217</v>
      </c>
      <c r="D8" s="554">
        <v>1496840.2499999984</v>
      </c>
      <c r="E8" s="554">
        <v>38325.156058420442</v>
      </c>
      <c r="F8" s="555">
        <f>D8+E8</f>
        <v>1535165.4060584188</v>
      </c>
      <c r="G8" s="556"/>
      <c r="H8" s="557">
        <v>59096.19</v>
      </c>
      <c r="I8" s="558">
        <v>1555936.4399999983</v>
      </c>
      <c r="J8" s="555">
        <f t="shared" si="0"/>
        <v>20771.033941579517</v>
      </c>
      <c r="K8"/>
      <c r="L8"/>
      <c r="M8" s="547">
        <v>0.98753444798133938</v>
      </c>
      <c r="N8" s="550">
        <v>7.841451350603406E-4</v>
      </c>
      <c r="O8" s="547">
        <v>1.1681406883600347E-2</v>
      </c>
      <c r="P8" s="559"/>
      <c r="Q8" s="551"/>
      <c r="R8" s="545">
        <f t="shared" ref="R8" si="1">SUM(M8:Q8)</f>
        <v>1</v>
      </c>
      <c r="S8"/>
      <c r="T8"/>
      <c r="U8"/>
    </row>
    <row r="9" spans="2:21" x14ac:dyDescent="0.25">
      <c r="B9" s="560" t="s">
        <v>264</v>
      </c>
      <c r="C9" s="561"/>
      <c r="D9" s="562">
        <f>SUM(D6:D8)</f>
        <v>4924864.7699999986</v>
      </c>
      <c r="E9" s="563">
        <f>SUM(E6:E8)</f>
        <v>70957.537180759726</v>
      </c>
      <c r="F9" s="564">
        <f>SUM(F6:F8)</f>
        <v>4995822.3071807576</v>
      </c>
      <c r="G9" s="565"/>
      <c r="H9" s="566">
        <f>SUM(H6:H8)</f>
        <v>183449.15</v>
      </c>
      <c r="I9" s="567">
        <f>SUM(I6:I8)</f>
        <v>5108313.9199999981</v>
      </c>
      <c r="J9" s="564">
        <f>+I9-F9</f>
        <v>112491.61281924043</v>
      </c>
      <c r="K9" s="516"/>
      <c r="L9"/>
      <c r="M9"/>
      <c r="N9"/>
      <c r="O9"/>
      <c r="P9"/>
      <c r="Q9"/>
      <c r="R9"/>
      <c r="S9"/>
      <c r="T9"/>
      <c r="U9"/>
    </row>
    <row r="10" spans="2:21" x14ac:dyDescent="0.25">
      <c r="B10" s="568" t="s">
        <v>286</v>
      </c>
      <c r="C10" s="569">
        <f>'2021 + true up CAP'!F16</f>
        <v>4.5447000000000001E-2</v>
      </c>
      <c r="D10" s="570"/>
      <c r="E10" s="571"/>
      <c r="F10" s="572"/>
      <c r="G10" s="573"/>
      <c r="H10" s="574"/>
      <c r="I10" s="575"/>
      <c r="J10" s="572"/>
      <c r="L10"/>
      <c r="M10"/>
      <c r="N10"/>
      <c r="O10"/>
      <c r="P10"/>
      <c r="Q10"/>
      <c r="R10"/>
      <c r="S10"/>
      <c r="T10"/>
      <c r="U10"/>
    </row>
    <row r="11" spans="2:21" x14ac:dyDescent="0.25">
      <c r="B11" s="576" t="s">
        <v>287</v>
      </c>
      <c r="C11" s="577"/>
      <c r="D11" s="578"/>
      <c r="E11" s="579"/>
      <c r="F11" s="580"/>
      <c r="G11" s="578"/>
      <c r="H11" s="581"/>
      <c r="I11" s="578"/>
      <c r="J11" s="580">
        <f>+J9/(1-C10)</f>
        <v>117847.42473098972</v>
      </c>
      <c r="K11" s="582"/>
      <c r="L11"/>
      <c r="M11"/>
      <c r="N11"/>
      <c r="O11"/>
      <c r="P11"/>
      <c r="Q11"/>
      <c r="R11"/>
      <c r="S11"/>
      <c r="T11"/>
      <c r="U11"/>
    </row>
    <row r="12" spans="2:21" ht="15.75" thickBot="1" x14ac:dyDescent="0.3">
      <c r="B12" s="583"/>
      <c r="C12" s="584"/>
      <c r="D12" s="584"/>
      <c r="E12" s="584"/>
      <c r="F12" s="585"/>
      <c r="G12" s="584"/>
      <c r="H12" s="583"/>
      <c r="I12" s="584"/>
      <c r="J12" s="585"/>
      <c r="L12"/>
      <c r="M12"/>
      <c r="N12"/>
      <c r="O12"/>
      <c r="P12"/>
      <c r="Q12"/>
      <c r="R12"/>
      <c r="S12"/>
      <c r="T12"/>
      <c r="U12"/>
    </row>
    <row r="13" spans="2:21" ht="11.25" customHeight="1" thickBot="1" x14ac:dyDescent="0.3">
      <c r="B13" s="522" t="s">
        <v>209</v>
      </c>
      <c r="C13" s="523"/>
      <c r="D13" s="523"/>
      <c r="E13" s="523"/>
      <c r="F13" s="524"/>
      <c r="G13" s="525"/>
      <c r="H13" s="526"/>
      <c r="I13" s="527"/>
      <c r="J13" s="586"/>
      <c r="L13"/>
      <c r="M13"/>
      <c r="N13"/>
      <c r="O13"/>
      <c r="P13"/>
      <c r="Q13"/>
      <c r="R13"/>
      <c r="S13"/>
      <c r="T13"/>
      <c r="U13"/>
    </row>
    <row r="14" spans="2:21" ht="30" x14ac:dyDescent="0.25">
      <c r="B14" s="587" t="s">
        <v>210</v>
      </c>
      <c r="C14" s="588" t="s">
        <v>201</v>
      </c>
      <c r="D14" s="531" t="s">
        <v>329</v>
      </c>
      <c r="E14" s="531" t="s">
        <v>330</v>
      </c>
      <c r="F14" s="532" t="s">
        <v>331</v>
      </c>
      <c r="G14" s="533"/>
      <c r="H14" s="531" t="s">
        <v>332</v>
      </c>
      <c r="I14" s="532" t="s">
        <v>333</v>
      </c>
      <c r="J14" s="534" t="s">
        <v>232</v>
      </c>
      <c r="K14" s="516"/>
      <c r="L14" s="516"/>
      <c r="M14"/>
      <c r="N14" s="816" t="s">
        <v>284</v>
      </c>
      <c r="O14" s="817" t="str">
        <f>I14</f>
        <v xml:space="preserve">Total Actual Nov 20 - Oct 21 </v>
      </c>
      <c r="P14"/>
      <c r="Q14"/>
      <c r="R14"/>
      <c r="S14"/>
      <c r="T14"/>
      <c r="U14"/>
    </row>
    <row r="15" spans="2:21" x14ac:dyDescent="0.25">
      <c r="B15" s="589" t="s">
        <v>265</v>
      </c>
      <c r="C15" s="590" t="s">
        <v>95</v>
      </c>
      <c r="D15" s="591">
        <v>38193603.479999885</v>
      </c>
      <c r="E15" s="592">
        <v>2692261</v>
      </c>
      <c r="F15" s="538">
        <f>SUM(D15:E15)</f>
        <v>40885864.479999885</v>
      </c>
      <c r="G15" s="539"/>
      <c r="H15" s="593">
        <v>2526053.129999998</v>
      </c>
      <c r="I15" s="541">
        <v>40719656.60999988</v>
      </c>
      <c r="J15" s="538">
        <f t="shared" ref="J15:J19" si="2">+I15-F15</f>
        <v>-166207.87000000477</v>
      </c>
      <c r="K15" s="516" t="str">
        <f>H26</f>
        <v>Mains, FERC 376</v>
      </c>
      <c r="L15" s="516"/>
      <c r="M15"/>
      <c r="N15" s="341" t="str">
        <f>K15</f>
        <v>Mains, FERC 376</v>
      </c>
      <c r="O15" s="818">
        <f>(I15)/$I$17</f>
        <v>0.92227147802712939</v>
      </c>
      <c r="P15"/>
      <c r="Q15"/>
      <c r="R15"/>
      <c r="S15"/>
      <c r="T15"/>
      <c r="U15"/>
    </row>
    <row r="16" spans="2:21" ht="15.75" thickBot="1" x14ac:dyDescent="0.3">
      <c r="B16" s="594" t="s">
        <v>266</v>
      </c>
      <c r="C16" s="595" t="s">
        <v>267</v>
      </c>
      <c r="D16" s="554">
        <v>3059912.300000004</v>
      </c>
      <c r="E16" s="596">
        <v>172736.98467741959</v>
      </c>
      <c r="F16" s="597">
        <f>SUM(D16:E16)</f>
        <v>3232649.2846774235</v>
      </c>
      <c r="G16" s="598"/>
      <c r="H16" s="557">
        <v>371917.48000000016</v>
      </c>
      <c r="I16" s="554">
        <v>3431829.780000004</v>
      </c>
      <c r="J16" s="597">
        <f t="shared" si="2"/>
        <v>199180.49532258045</v>
      </c>
      <c r="K16" s="516" t="str">
        <f>H27</f>
        <v>Services, FERC 380</v>
      </c>
      <c r="L16" s="516"/>
      <c r="M16"/>
      <c r="N16" s="341" t="str">
        <f>K16</f>
        <v>Services, FERC 380</v>
      </c>
      <c r="O16" s="818">
        <f>I16/$I$17</f>
        <v>7.7728521972870626E-2</v>
      </c>
      <c r="P16"/>
      <c r="Q16"/>
      <c r="R16"/>
      <c r="S16"/>
      <c r="T16"/>
      <c r="U16"/>
    </row>
    <row r="17" spans="2:21" x14ac:dyDescent="0.25">
      <c r="B17" s="560" t="s">
        <v>268</v>
      </c>
      <c r="C17" s="599"/>
      <c r="D17" s="562">
        <f>SUM(D15:D16)</f>
        <v>41253515.779999889</v>
      </c>
      <c r="E17" s="567">
        <f>SUM(E15:E16)</f>
        <v>2864997.9846774195</v>
      </c>
      <c r="F17" s="564">
        <f>SUM(F15:F16)</f>
        <v>44118513.764677308</v>
      </c>
      <c r="G17" s="565"/>
      <c r="H17" s="600">
        <f>SUM(H15:H16)</f>
        <v>2897970.609999998</v>
      </c>
      <c r="I17" s="567">
        <f>SUM(I15:I16)</f>
        <v>44151486.389999881</v>
      </c>
      <c r="J17" s="564">
        <f t="shared" si="2"/>
        <v>32972.625322572887</v>
      </c>
      <c r="K17" s="516"/>
      <c r="L17" s="516"/>
      <c r="M17"/>
      <c r="N17" s="351"/>
      <c r="O17" s="352">
        <f>SUM(O15:O16)</f>
        <v>1</v>
      </c>
      <c r="P17"/>
      <c r="Q17"/>
      <c r="R17"/>
      <c r="S17"/>
      <c r="T17"/>
      <c r="U17"/>
    </row>
    <row r="18" spans="2:21" x14ac:dyDescent="0.25">
      <c r="B18" s="583"/>
      <c r="C18" s="584"/>
      <c r="D18" s="584"/>
      <c r="E18" s="584"/>
      <c r="F18" s="564"/>
      <c r="G18" s="584"/>
      <c r="H18" s="583"/>
      <c r="I18" s="584"/>
      <c r="J18" s="585"/>
      <c r="K18" s="516"/>
      <c r="L18" s="516"/>
      <c r="M18"/>
      <c r="N18"/>
      <c r="O18"/>
      <c r="P18"/>
      <c r="Q18"/>
      <c r="R18"/>
      <c r="S18"/>
      <c r="T18"/>
      <c r="U18"/>
    </row>
    <row r="19" spans="2:21" ht="15.75" thickBot="1" x14ac:dyDescent="0.3">
      <c r="B19" s="601" t="s">
        <v>269</v>
      </c>
      <c r="C19" s="602"/>
      <c r="D19" s="603">
        <f>D9+D17</f>
        <v>46178380.549999885</v>
      </c>
      <c r="E19" s="603">
        <f>E9+E17</f>
        <v>2935955.5218581795</v>
      </c>
      <c r="F19" s="604">
        <f>F9+F17</f>
        <v>49114336.071858063</v>
      </c>
      <c r="G19" s="605"/>
      <c r="H19" s="606">
        <f>H9+H17</f>
        <v>3081419.7599999979</v>
      </c>
      <c r="I19" s="607">
        <f>I9+I17</f>
        <v>49259800.309999883</v>
      </c>
      <c r="J19" s="604">
        <f t="shared" si="2"/>
        <v>145464.23814181983</v>
      </c>
      <c r="K19" s="516"/>
      <c r="L19" s="516"/>
      <c r="M19"/>
      <c r="N19"/>
      <c r="O19"/>
      <c r="P19"/>
      <c r="Q19"/>
      <c r="R19"/>
      <c r="S19"/>
      <c r="T19"/>
      <c r="U19"/>
    </row>
    <row r="20" spans="2:21" x14ac:dyDescent="0.25">
      <c r="B20" s="516"/>
      <c r="C20" s="516"/>
      <c r="D20" s="516"/>
      <c r="E20" s="516"/>
      <c r="F20" s="516"/>
      <c r="H20" s="516"/>
      <c r="I20" s="516"/>
      <c r="J20" s="516"/>
      <c r="K20" s="516"/>
      <c r="L20" s="516"/>
    </row>
    <row r="21" spans="2:21" ht="30" x14ac:dyDescent="0.25">
      <c r="B21" s="516"/>
      <c r="C21" s="516"/>
      <c r="D21" s="516"/>
      <c r="E21" s="608" t="s">
        <v>13</v>
      </c>
      <c r="F21" s="609" t="s">
        <v>211</v>
      </c>
      <c r="H21" s="608" t="s">
        <v>13</v>
      </c>
      <c r="I21" s="609" t="s">
        <v>211</v>
      </c>
      <c r="J21" s="516"/>
      <c r="K21" s="516"/>
      <c r="L21" s="516"/>
    </row>
    <row r="22" spans="2:21" x14ac:dyDescent="0.25">
      <c r="B22" s="516"/>
      <c r="C22" s="516"/>
      <c r="D22" s="261" t="s">
        <v>91</v>
      </c>
      <c r="E22" s="470">
        <f>'2022 C&amp;OM'!E36</f>
        <v>2.443056207967733E-2</v>
      </c>
      <c r="F22" s="610">
        <f>+F15*E22</f>
        <v>998864.65035991149</v>
      </c>
      <c r="H22" s="470">
        <f>+E22</f>
        <v>2.443056207967733E-2</v>
      </c>
      <c r="I22" s="610">
        <f>+I15*H22</f>
        <v>994804.09867374541</v>
      </c>
      <c r="J22" s="516"/>
      <c r="K22" s="516"/>
      <c r="L22" s="516"/>
      <c r="M22" s="611"/>
    </row>
    <row r="23" spans="2:21" x14ac:dyDescent="0.25">
      <c r="D23" s="612" t="s">
        <v>84</v>
      </c>
      <c r="E23" s="470">
        <f>'2022 C&amp;OM'!E37</f>
        <v>3.1950138602539598E-2</v>
      </c>
      <c r="F23" s="613">
        <f>+F16*E23</f>
        <v>103283.59269884416</v>
      </c>
      <c r="H23" s="470">
        <f>+E23</f>
        <v>3.1950138602539598E-2</v>
      </c>
      <c r="I23" s="613">
        <f>+I16*H23</f>
        <v>109647.43713132309</v>
      </c>
    </row>
    <row r="24" spans="2:21" x14ac:dyDescent="0.25">
      <c r="E24" s="482"/>
      <c r="F24" s="614">
        <f>SUM(F22:F23)</f>
        <v>1102148.2430587558</v>
      </c>
      <c r="H24" s="615"/>
      <c r="I24" s="614">
        <f>SUM(I22:I23)</f>
        <v>1104451.5358050684</v>
      </c>
    </row>
    <row r="25" spans="2:21" x14ac:dyDescent="0.25">
      <c r="E25" s="616"/>
      <c r="F25" s="409">
        <f>+F24/F17</f>
        <v>2.4981536072077995E-2</v>
      </c>
      <c r="G25" s="617"/>
      <c r="H25" s="470"/>
      <c r="I25" s="409">
        <f>+I24/I17</f>
        <v>2.5015047648661311E-2</v>
      </c>
    </row>
    <row r="26" spans="2:21" x14ac:dyDescent="0.25">
      <c r="E26" s="516"/>
      <c r="G26" s="617"/>
      <c r="H26" s="617" t="s">
        <v>288</v>
      </c>
      <c r="I26" s="409">
        <f>+I22/I24</f>
        <v>0.90072227383757708</v>
      </c>
    </row>
    <row r="27" spans="2:21" x14ac:dyDescent="0.25">
      <c r="E27" s="516"/>
      <c r="G27" s="617"/>
      <c r="H27" s="617" t="s">
        <v>289</v>
      </c>
      <c r="I27" s="409">
        <f>+I23/I24</f>
        <v>9.9277726162422988E-2</v>
      </c>
    </row>
    <row r="28" spans="2:21" x14ac:dyDescent="0.25">
      <c r="I28" s="516"/>
    </row>
    <row r="34" spans="2:2" x14ac:dyDescent="0.25">
      <c r="B34" s="618" t="s">
        <v>335</v>
      </c>
    </row>
  </sheetData>
  <mergeCells count="1">
    <mergeCell ref="H3:J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6"/>
  <sheetViews>
    <sheetView zoomScaleNormal="100" workbookViewId="0">
      <selection activeCell="A15" sqref="A15"/>
    </sheetView>
  </sheetViews>
  <sheetFormatPr defaultColWidth="9.28515625" defaultRowHeight="12.75" x14ac:dyDescent="0.2"/>
  <cols>
    <col min="1" max="1" width="53" style="112" bestFit="1" customWidth="1"/>
    <col min="2" max="2" width="15.28515625" style="112" bestFit="1" customWidth="1"/>
    <col min="3" max="11" width="9.5703125" style="144" customWidth="1"/>
    <col min="12" max="16384" width="9.28515625" style="144"/>
  </cols>
  <sheetData>
    <row r="3" spans="1:10" x14ac:dyDescent="0.2">
      <c r="A3" s="255" t="s">
        <v>76</v>
      </c>
      <c r="B3" s="255"/>
    </row>
    <row r="4" spans="1:10" x14ac:dyDescent="0.2">
      <c r="A4" s="255" t="s">
        <v>77</v>
      </c>
      <c r="B4" s="255"/>
    </row>
    <row r="5" spans="1:10" x14ac:dyDescent="0.2">
      <c r="A5" s="255" t="s">
        <v>312</v>
      </c>
      <c r="B5" s="255"/>
      <c r="E5"/>
      <c r="F5"/>
      <c r="G5"/>
      <c r="I5"/>
      <c r="J5"/>
    </row>
    <row r="6" spans="1:10" x14ac:dyDescent="0.2">
      <c r="A6" s="255" t="s">
        <v>313</v>
      </c>
      <c r="B6" s="255"/>
      <c r="E6"/>
      <c r="F6"/>
      <c r="G6"/>
      <c r="H6"/>
      <c r="I6"/>
      <c r="J6"/>
    </row>
    <row r="7" spans="1:10" x14ac:dyDescent="0.2">
      <c r="A7" s="255"/>
      <c r="B7" s="255"/>
      <c r="D7"/>
      <c r="E7"/>
      <c r="F7"/>
      <c r="G7"/>
      <c r="H7"/>
      <c r="I7"/>
      <c r="J7"/>
    </row>
    <row r="8" spans="1:10" x14ac:dyDescent="0.2">
      <c r="D8"/>
      <c r="E8"/>
      <c r="F8"/>
      <c r="G8"/>
      <c r="H8"/>
      <c r="I8"/>
      <c r="J8"/>
    </row>
    <row r="9" spans="1:10" ht="65.25" customHeight="1" x14ac:dyDescent="0.2">
      <c r="A9" s="441" t="s">
        <v>101</v>
      </c>
      <c r="B9" s="442" t="s">
        <v>172</v>
      </c>
      <c r="C9" s="443"/>
      <c r="D9"/>
      <c r="E9"/>
      <c r="F9"/>
      <c r="G9"/>
      <c r="H9"/>
      <c r="I9"/>
      <c r="J9"/>
    </row>
    <row r="10" spans="1:10" ht="27.75" customHeight="1" x14ac:dyDescent="0.2">
      <c r="A10" s="109" t="s">
        <v>314</v>
      </c>
      <c r="B10" s="110">
        <f>'2019 CRM'!H42</f>
        <v>6423676.0933971079</v>
      </c>
      <c r="D10" s="681"/>
      <c r="E10"/>
      <c r="F10"/>
      <c r="G10"/>
      <c r="H10"/>
      <c r="I10"/>
      <c r="J10"/>
    </row>
    <row r="11" spans="1:10" ht="27.75" customHeight="1" x14ac:dyDescent="0.2">
      <c r="A11" s="109" t="s">
        <v>315</v>
      </c>
      <c r="B11" s="259">
        <f>'2020 CRM'!G42</f>
        <v>5847991.7194588408</v>
      </c>
      <c r="D11" s="681"/>
      <c r="E11"/>
      <c r="F11"/>
      <c r="G11"/>
      <c r="H11"/>
      <c r="I11"/>
      <c r="J11"/>
    </row>
    <row r="12" spans="1:10" x14ac:dyDescent="0.2">
      <c r="A12" s="109" t="s">
        <v>316</v>
      </c>
      <c r="B12" s="141">
        <f>'2021 + true up CAP'!F42</f>
        <v>4966809.2821760066</v>
      </c>
      <c r="D12" s="681"/>
      <c r="E12"/>
      <c r="F12"/>
      <c r="G12"/>
      <c r="H12"/>
      <c r="I12"/>
      <c r="J12"/>
    </row>
    <row r="13" spans="1:10" s="112" customFormat="1" x14ac:dyDescent="0.2">
      <c r="A13" s="109" t="s">
        <v>317</v>
      </c>
      <c r="B13" s="141">
        <f>'2021TrueUp'!F7</f>
        <v>123138.08693615497</v>
      </c>
      <c r="C13" s="167"/>
      <c r="D13" s="681"/>
      <c r="E13"/>
      <c r="F13"/>
      <c r="G13"/>
      <c r="H13"/>
      <c r="I13" s="218"/>
      <c r="J13" s="218"/>
    </row>
    <row r="14" spans="1:10" s="112" customFormat="1" x14ac:dyDescent="0.2">
      <c r="A14" s="109" t="s">
        <v>318</v>
      </c>
      <c r="B14" s="141">
        <f>'2022 C&amp;OM'!F29</f>
        <v>9691730.7786414307</v>
      </c>
      <c r="D14" s="681"/>
      <c r="E14"/>
      <c r="F14"/>
      <c r="G14"/>
      <c r="H14"/>
      <c r="I14" s="218"/>
      <c r="J14" s="218"/>
    </row>
    <row r="15" spans="1:10" s="112" customFormat="1" ht="13.5" thickBot="1" x14ac:dyDescent="0.25">
      <c r="A15" s="260" t="s">
        <v>319</v>
      </c>
      <c r="B15" s="111">
        <f>SUM(B10:B14)</f>
        <v>27053345.96060954</v>
      </c>
      <c r="C15" s="444"/>
      <c r="D15" s="681"/>
      <c r="E15"/>
      <c r="F15"/>
      <c r="G15"/>
      <c r="H15"/>
      <c r="I15" s="218"/>
      <c r="J15" s="218"/>
    </row>
    <row r="16" spans="1:10" ht="13.5" thickTop="1" x14ac:dyDescent="0.2">
      <c r="B16" s="113"/>
      <c r="D16"/>
      <c r="E16"/>
      <c r="F16"/>
      <c r="G16"/>
      <c r="H16"/>
      <c r="I16"/>
      <c r="J16"/>
    </row>
    <row r="17" spans="1:10" x14ac:dyDescent="0.2">
      <c r="A17" s="218"/>
      <c r="B17" s="218"/>
      <c r="E17"/>
      <c r="F17"/>
      <c r="G17"/>
      <c r="H17"/>
      <c r="I17"/>
      <c r="J17"/>
    </row>
    <row r="18" spans="1:10" x14ac:dyDescent="0.2">
      <c r="A18" s="218"/>
      <c r="B18" s="218"/>
      <c r="E18"/>
      <c r="F18"/>
      <c r="G18"/>
      <c r="H18"/>
      <c r="I18"/>
      <c r="J18"/>
    </row>
    <row r="19" spans="1:10" x14ac:dyDescent="0.2">
      <c r="A19" s="218"/>
      <c r="B19" s="218"/>
      <c r="E19"/>
      <c r="F19"/>
      <c r="G19"/>
      <c r="H19"/>
    </row>
    <row r="20" spans="1:10" x14ac:dyDescent="0.2">
      <c r="A20" s="218"/>
      <c r="B20" s="218"/>
    </row>
    <row r="21" spans="1:10" x14ac:dyDescent="0.2">
      <c r="A21" s="218"/>
      <c r="B21" s="218"/>
    </row>
    <row r="22" spans="1:10" x14ac:dyDescent="0.2">
      <c r="A22" s="218"/>
      <c r="B22" s="218"/>
    </row>
    <row r="23" spans="1:10" x14ac:dyDescent="0.2">
      <c r="A23" s="218"/>
      <c r="B23" s="218"/>
    </row>
    <row r="24" spans="1:10" x14ac:dyDescent="0.2">
      <c r="A24" s="218"/>
      <c r="B24" s="218"/>
    </row>
    <row r="25" spans="1:10" x14ac:dyDescent="0.2">
      <c r="A25" s="218"/>
      <c r="B25" s="218"/>
    </row>
    <row r="26" spans="1:10" x14ac:dyDescent="0.2">
      <c r="A26" s="218"/>
    </row>
  </sheetData>
  <printOptions horizontalCentered="1"/>
  <pageMargins left="0.7" right="0.7" top="0.75" bottom="0.75" header="0.3" footer="0.3"/>
  <pageSetup orientation="portrait" r:id="rId1"/>
  <headerFooter>
    <oddFooter>&amp;L&amp;F
&amp;A&amp;C&amp;P&amp;R&amp;D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9"/>
  <sheetViews>
    <sheetView zoomScale="85" zoomScaleNormal="85" workbookViewId="0">
      <pane xSplit="4" ySplit="26" topLeftCell="E30" activePane="bottomRight" state="frozen"/>
      <selection activeCell="G16" sqref="G16"/>
      <selection pane="topRight" activeCell="G16" sqref="G16"/>
      <selection pane="bottomLeft" activeCell="G16" sqref="G16"/>
      <selection pane="bottomRight" activeCell="G16" sqref="G16"/>
    </sheetView>
  </sheetViews>
  <sheetFormatPr defaultColWidth="10.28515625" defaultRowHeight="15" outlineLevelRow="1" outlineLevelCol="1" x14ac:dyDescent="0.2"/>
  <cols>
    <col min="1" max="1" width="5.7109375" style="53" customWidth="1"/>
    <col min="2" max="2" width="7.42578125" style="53" customWidth="1"/>
    <col min="3" max="3" width="26.42578125" style="53" customWidth="1"/>
    <col min="4" max="4" width="15.5703125" style="22" customWidth="1"/>
    <col min="5" max="5" width="13.5703125" style="75" customWidth="1"/>
    <col min="6" max="6" width="13.42578125" style="75" customWidth="1"/>
    <col min="7" max="7" width="14.5703125" style="75" bestFit="1" customWidth="1"/>
    <col min="8" max="8" width="12.5703125" style="75" customWidth="1"/>
    <col min="9" max="34" width="12.7109375" style="75" bestFit="1" customWidth="1"/>
    <col min="35" max="38" width="12.28515625" style="75" bestFit="1" customWidth="1"/>
    <col min="39" max="39" width="17" style="75" customWidth="1" outlineLevel="1"/>
    <col min="40" max="40" width="13" style="75" customWidth="1" outlineLevel="1"/>
    <col min="41" max="41" width="14.28515625" style="75" customWidth="1" outlineLevel="1"/>
    <col min="42" max="42" width="12.7109375" style="22" bestFit="1" customWidth="1"/>
    <col min="43" max="43" width="12.28515625" style="22" customWidth="1"/>
    <col min="44" max="45" width="14" style="22" customWidth="1"/>
    <col min="46" max="46" width="14.28515625" style="22" bestFit="1" customWidth="1"/>
    <col min="47" max="47" width="16.5703125" style="22" customWidth="1"/>
    <col min="48" max="48" width="15" style="22" bestFit="1" customWidth="1"/>
    <col min="49" max="49" width="14.7109375" style="22" customWidth="1"/>
    <col min="50" max="16384" width="10.28515625" style="22"/>
  </cols>
  <sheetData>
    <row r="1" spans="1:41" ht="17.25" customHeight="1" x14ac:dyDescent="0.25">
      <c r="A1" s="20" t="s">
        <v>0</v>
      </c>
      <c r="B1" s="21"/>
      <c r="C1" s="21"/>
      <c r="E1" s="827"/>
      <c r="F1" s="827"/>
      <c r="G1" s="22"/>
      <c r="H1" s="23"/>
      <c r="I1" s="24"/>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ht="12.75" customHeight="1" x14ac:dyDescent="0.25">
      <c r="A2" s="25" t="s">
        <v>1</v>
      </c>
      <c r="B2" s="21"/>
      <c r="C2" s="21"/>
      <c r="E2" s="22"/>
      <c r="F2" s="24"/>
      <c r="G2" s="2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x14ac:dyDescent="0.25">
      <c r="A3" s="25" t="s">
        <v>2</v>
      </c>
      <c r="B3" s="21"/>
      <c r="C3" s="432" t="s">
        <v>271</v>
      </c>
      <c r="D3" s="445" t="s">
        <v>3</v>
      </c>
      <c r="E3" s="22"/>
      <c r="F3" s="24"/>
      <c r="G3" s="24"/>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ht="7.5" customHeight="1" thickBot="1" x14ac:dyDescent="0.25">
      <c r="A4" s="21"/>
      <c r="B4" s="21"/>
      <c r="C4" s="21"/>
      <c r="E4" s="22"/>
      <c r="F4" s="24"/>
      <c r="G4" s="24"/>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x14ac:dyDescent="0.2">
      <c r="A5" s="26" t="s">
        <v>4</v>
      </c>
      <c r="B5" s="27"/>
      <c r="C5" s="27"/>
      <c r="D5" s="170" t="s">
        <v>231</v>
      </c>
      <c r="E5" s="28"/>
      <c r="F5" s="29"/>
      <c r="G5" s="135" t="s">
        <v>336</v>
      </c>
      <c r="H5" s="22"/>
      <c r="I5" s="22"/>
      <c r="J5" s="22"/>
      <c r="K5" s="22"/>
      <c r="L5" s="22"/>
      <c r="M5" s="22"/>
      <c r="N5" s="41"/>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x14ac:dyDescent="0.2">
      <c r="A6" s="31"/>
      <c r="B6" s="32"/>
      <c r="C6" s="32"/>
      <c r="D6" s="134" t="s">
        <v>196</v>
      </c>
      <c r="E6" s="134"/>
      <c r="F6" s="135"/>
      <c r="G6" s="135"/>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x14ac:dyDescent="0.2">
      <c r="A7" s="31"/>
      <c r="B7" s="32"/>
      <c r="C7" s="32"/>
      <c r="D7" s="35"/>
      <c r="E7" s="35"/>
      <c r="F7" s="36" t="s">
        <v>5</v>
      </c>
      <c r="G7" s="36" t="s">
        <v>5</v>
      </c>
      <c r="H7" s="22"/>
      <c r="I7" s="22"/>
      <c r="J7" s="22"/>
      <c r="K7" s="22"/>
      <c r="L7" s="22"/>
      <c r="M7" s="136"/>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1" x14ac:dyDescent="0.2">
      <c r="A8" s="31" t="s">
        <v>6</v>
      </c>
      <c r="B8" s="32"/>
      <c r="C8" s="32"/>
      <c r="D8" s="38" t="s">
        <v>7</v>
      </c>
      <c r="E8" s="38" t="s">
        <v>8</v>
      </c>
      <c r="F8" s="39" t="s">
        <v>8</v>
      </c>
      <c r="G8" s="39" t="s">
        <v>8</v>
      </c>
      <c r="H8" s="22"/>
      <c r="I8" s="22"/>
      <c r="J8" s="22"/>
      <c r="K8" s="22"/>
      <c r="L8" s="22"/>
      <c r="M8" s="127"/>
      <c r="N8" s="4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1" x14ac:dyDescent="0.2">
      <c r="A9" s="31"/>
      <c r="B9" s="32"/>
      <c r="C9" s="32"/>
      <c r="D9" s="33"/>
      <c r="E9" s="33"/>
      <c r="F9" s="40"/>
      <c r="G9" s="40"/>
      <c r="H9" s="22"/>
      <c r="I9" s="22"/>
      <c r="J9" s="22"/>
      <c r="K9" s="22"/>
      <c r="L9" s="22"/>
      <c r="M9" s="127"/>
      <c r="N9" s="41"/>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x14ac:dyDescent="0.2">
      <c r="A10" s="31"/>
      <c r="B10" s="32"/>
      <c r="C10" s="32"/>
      <c r="D10" s="42"/>
      <c r="E10" s="42"/>
      <c r="F10" s="43"/>
      <c r="G10" s="43"/>
      <c r="H10" s="22"/>
      <c r="I10" s="22"/>
      <c r="J10" s="22"/>
      <c r="K10" s="22"/>
      <c r="L10" s="22"/>
      <c r="M10" s="127"/>
      <c r="N10" s="41"/>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1" x14ac:dyDescent="0.2">
      <c r="A11" s="31" t="s">
        <v>173</v>
      </c>
      <c r="B11" s="32"/>
      <c r="C11" s="32"/>
      <c r="D11" s="42">
        <f>'2019 GRC'!C12</f>
        <v>0.51500000000000001</v>
      </c>
      <c r="E11" s="42">
        <f>'2019 GRC'!D12</f>
        <v>5.4951456310679617E-2</v>
      </c>
      <c r="F11" s="43">
        <f>'2019 GRC'!E12</f>
        <v>2.8299999999999999E-2</v>
      </c>
      <c r="G11" s="43">
        <f>+F11</f>
        <v>2.8299999999999999E-2</v>
      </c>
      <c r="H11" s="22"/>
      <c r="I11" s="22"/>
      <c r="J11" s="22"/>
      <c r="K11" s="22"/>
      <c r="L11" s="22"/>
      <c r="M11" s="127"/>
      <c r="N11" s="41"/>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x14ac:dyDescent="0.2">
      <c r="A12" s="31" t="s">
        <v>9</v>
      </c>
      <c r="B12" s="32"/>
      <c r="C12" s="32"/>
      <c r="D12" s="44">
        <f>'2019 GRC'!C13</f>
        <v>0.48499999999999999</v>
      </c>
      <c r="E12" s="44">
        <f>'2019 GRC'!D13</f>
        <v>9.4E-2</v>
      </c>
      <c r="F12" s="45">
        <f>'2019 GRC'!E13</f>
        <v>4.5600000000000002E-2</v>
      </c>
      <c r="G12" s="43">
        <f>+F12</f>
        <v>4.5600000000000002E-2</v>
      </c>
      <c r="H12" s="22"/>
      <c r="I12" s="22"/>
      <c r="J12" s="22"/>
      <c r="K12" s="22"/>
      <c r="L12" s="22"/>
      <c r="M12" s="127"/>
      <c r="N12" s="4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ht="15.75" thickBot="1" x14ac:dyDescent="0.25">
      <c r="A13" s="31" t="s">
        <v>10</v>
      </c>
      <c r="B13" s="32"/>
      <c r="C13" s="32"/>
      <c r="D13" s="46">
        <f>D10+D11+D12</f>
        <v>1</v>
      </c>
      <c r="E13" s="47"/>
      <c r="F13" s="171">
        <f>F10+F11+F12</f>
        <v>7.3899999999999993E-2</v>
      </c>
      <c r="G13" s="171">
        <f>G10+G11+G12</f>
        <v>7.3899999999999993E-2</v>
      </c>
      <c r="H13" s="22"/>
      <c r="I13" s="22"/>
      <c r="J13" s="22"/>
      <c r="K13" s="22"/>
      <c r="L13" s="22"/>
      <c r="M13" s="127"/>
      <c r="N13" s="4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ht="15.75" thickTop="1" x14ac:dyDescent="0.2">
      <c r="A14" s="31"/>
      <c r="B14" s="32"/>
      <c r="C14" s="32"/>
      <c r="D14" s="33"/>
      <c r="E14" s="33"/>
      <c r="F14" s="40"/>
      <c r="G14" s="40"/>
      <c r="H14" s="22"/>
      <c r="I14" s="22"/>
      <c r="J14" s="22"/>
      <c r="K14" s="22"/>
      <c r="L14" s="22"/>
      <c r="M14" s="127"/>
      <c r="N14" s="4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x14ac:dyDescent="0.2">
      <c r="A15" s="31" t="s">
        <v>11</v>
      </c>
      <c r="B15" s="32"/>
      <c r="C15" s="32"/>
      <c r="D15" s="33"/>
      <c r="E15" s="33"/>
      <c r="F15" s="43">
        <f>'2019 GRC'!I19</f>
        <v>0.21</v>
      </c>
      <c r="G15" s="43">
        <f>+F15</f>
        <v>0.21</v>
      </c>
      <c r="H15" s="22"/>
      <c r="I15" s="22"/>
      <c r="J15" s="22"/>
      <c r="K15" s="22"/>
      <c r="L15" s="22"/>
      <c r="M15" s="127"/>
      <c r="N15" s="4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6" spans="1:41" x14ac:dyDescent="0.2">
      <c r="A16" s="31" t="s">
        <v>12</v>
      </c>
      <c r="B16" s="32"/>
      <c r="C16" s="32"/>
      <c r="D16" s="33"/>
      <c r="E16" s="33"/>
      <c r="F16" s="43">
        <f>'2019 GRC'!J16</f>
        <v>4.5447000000000001E-2</v>
      </c>
      <c r="G16" s="43">
        <f>'2019 GRC'!$J$38</f>
        <v>4.7447000000000003E-2</v>
      </c>
      <c r="H16" s="22"/>
      <c r="I16" s="22"/>
      <c r="J16" s="22"/>
      <c r="K16" s="22"/>
      <c r="L16" s="22"/>
      <c r="M16" s="127"/>
      <c r="N16" s="4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row>
    <row r="17" spans="1:49" x14ac:dyDescent="0.2">
      <c r="A17" s="31" t="s">
        <v>13</v>
      </c>
      <c r="B17" s="32"/>
      <c r="C17" s="32"/>
      <c r="D17" s="33"/>
      <c r="E17" s="33"/>
      <c r="F17" s="43">
        <f>'Summary 2021'!I25</f>
        <v>2.5015047648661311E-2</v>
      </c>
      <c r="G17" s="43">
        <f>+F17</f>
        <v>2.5015047648661311E-2</v>
      </c>
      <c r="H17" s="22"/>
      <c r="I17" s="22"/>
      <c r="J17" s="22"/>
      <c r="K17" s="22"/>
      <c r="L17" s="22"/>
      <c r="M17" s="127"/>
      <c r="N17" s="4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9" x14ac:dyDescent="0.2">
      <c r="A18" s="31" t="s">
        <v>14</v>
      </c>
      <c r="B18" s="32"/>
      <c r="C18" s="32"/>
      <c r="D18" s="33"/>
      <c r="E18" s="33"/>
      <c r="F18" s="49">
        <v>2</v>
      </c>
      <c r="G18" s="49">
        <v>2</v>
      </c>
      <c r="H18" s="22"/>
      <c r="I18" s="22"/>
      <c r="J18" s="22"/>
      <c r="K18" s="22"/>
      <c r="L18" s="22"/>
      <c r="M18" s="127"/>
      <c r="N18" s="4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9" x14ac:dyDescent="0.2">
      <c r="A19" s="31"/>
      <c r="B19" s="32"/>
      <c r="C19" s="32"/>
      <c r="D19" s="33"/>
      <c r="E19" s="33"/>
      <c r="F19" s="34"/>
      <c r="G19" s="34"/>
      <c r="H19" s="22"/>
      <c r="I19" s="22"/>
      <c r="J19" s="22"/>
      <c r="K19" s="22"/>
      <c r="L19" s="22"/>
      <c r="M19" s="127"/>
      <c r="N19" s="41"/>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9" x14ac:dyDescent="0.2">
      <c r="A20" s="31" t="s">
        <v>15</v>
      </c>
      <c r="B20" s="32"/>
      <c r="C20" s="32"/>
      <c r="D20" s="33"/>
      <c r="E20" s="33"/>
      <c r="F20" s="34"/>
      <c r="G20" s="34"/>
      <c r="H20" s="22"/>
      <c r="I20" s="22"/>
      <c r="J20" s="22"/>
      <c r="K20" s="22"/>
      <c r="L20" s="22"/>
      <c r="N20" s="137"/>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9" ht="15.75" thickBot="1" x14ac:dyDescent="0.25">
      <c r="A21" s="31" t="s">
        <v>16</v>
      </c>
      <c r="B21" s="32"/>
      <c r="C21" s="32"/>
      <c r="D21" s="33"/>
      <c r="E21" s="33"/>
      <c r="F21" s="34"/>
      <c r="G21" s="34"/>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9" ht="15.75" thickBot="1" x14ac:dyDescent="0.25">
      <c r="A22" s="50" t="s">
        <v>17</v>
      </c>
      <c r="B22" s="51"/>
      <c r="C22" s="51"/>
      <c r="D22" s="51"/>
      <c r="E22" s="52"/>
      <c r="F22" s="76">
        <v>44151486.389999881</v>
      </c>
      <c r="G22" s="275">
        <f>+F22</f>
        <v>44151486.389999881</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9" ht="6" customHeight="1" x14ac:dyDescent="0.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9" ht="6" customHeight="1" x14ac:dyDescent="0.2">
      <c r="B24" s="22"/>
      <c r="C24" s="22"/>
      <c r="D24" s="127"/>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row>
    <row r="25" spans="1:49" x14ac:dyDescent="0.2">
      <c r="A25" s="21"/>
      <c r="B25" s="21"/>
      <c r="C25" s="21"/>
      <c r="D25" s="445"/>
      <c r="E25" s="55" t="s">
        <v>18</v>
      </c>
      <c r="F25" s="116" t="s">
        <v>19</v>
      </c>
      <c r="G25" s="56" t="s">
        <v>20</v>
      </c>
      <c r="H25" s="56" t="s">
        <v>21</v>
      </c>
      <c r="I25" s="56" t="s">
        <v>22</v>
      </c>
      <c r="J25" s="56" t="s">
        <v>23</v>
      </c>
      <c r="K25" s="56" t="s">
        <v>24</v>
      </c>
      <c r="L25" s="56" t="s">
        <v>25</v>
      </c>
      <c r="M25" s="56" t="s">
        <v>26</v>
      </c>
      <c r="N25" s="56" t="s">
        <v>27</v>
      </c>
      <c r="O25" s="56" t="s">
        <v>28</v>
      </c>
      <c r="P25" s="56" t="s">
        <v>29</v>
      </c>
      <c r="Q25" s="56" t="s">
        <v>30</v>
      </c>
      <c r="R25" s="56" t="s">
        <v>31</v>
      </c>
      <c r="S25" s="56" t="s">
        <v>32</v>
      </c>
      <c r="T25" s="56" t="s">
        <v>33</v>
      </c>
      <c r="U25" s="56" t="s">
        <v>34</v>
      </c>
      <c r="V25" s="56" t="s">
        <v>35</v>
      </c>
      <c r="W25" s="56" t="s">
        <v>36</v>
      </c>
      <c r="X25" s="56" t="s">
        <v>37</v>
      </c>
      <c r="Y25" s="56" t="s">
        <v>38</v>
      </c>
      <c r="Z25" s="56" t="s">
        <v>39</v>
      </c>
      <c r="AA25" s="56" t="s">
        <v>40</v>
      </c>
      <c r="AB25" s="56" t="s">
        <v>41</v>
      </c>
      <c r="AC25" s="56" t="s">
        <v>42</v>
      </c>
      <c r="AD25" s="56" t="s">
        <v>43</v>
      </c>
      <c r="AE25" s="56" t="s">
        <v>44</v>
      </c>
      <c r="AF25" s="56" t="s">
        <v>45</v>
      </c>
      <c r="AG25" s="56" t="s">
        <v>46</v>
      </c>
      <c r="AH25" s="56" t="s">
        <v>47</v>
      </c>
      <c r="AI25" s="56" t="s">
        <v>48</v>
      </c>
      <c r="AJ25" s="56" t="s">
        <v>49</v>
      </c>
      <c r="AK25" s="56" t="s">
        <v>50</v>
      </c>
      <c r="AL25" s="56" t="s">
        <v>51</v>
      </c>
      <c r="AM25" s="56" t="s">
        <v>52</v>
      </c>
      <c r="AN25" s="56" t="s">
        <v>74</v>
      </c>
      <c r="AO25" s="56" t="s">
        <v>75</v>
      </c>
      <c r="AP25" s="56" t="s">
        <v>174</v>
      </c>
      <c r="AQ25" s="56" t="s">
        <v>175</v>
      </c>
      <c r="AR25" s="56" t="s">
        <v>176</v>
      </c>
      <c r="AS25" s="22" t="s">
        <v>177</v>
      </c>
    </row>
    <row r="26" spans="1:49" x14ac:dyDescent="0.2">
      <c r="A26" s="21"/>
      <c r="B26" s="21"/>
      <c r="C26" s="21"/>
      <c r="D26" s="445"/>
      <c r="E26" s="106">
        <v>2021</v>
      </c>
      <c r="F26" s="106">
        <v>2022</v>
      </c>
      <c r="G26" s="106">
        <v>2023</v>
      </c>
      <c r="H26" s="106">
        <v>2024</v>
      </c>
      <c r="I26" s="106">
        <v>2025</v>
      </c>
      <c r="J26" s="106">
        <v>2026</v>
      </c>
      <c r="K26" s="106">
        <v>2027</v>
      </c>
      <c r="L26" s="106">
        <v>2028</v>
      </c>
      <c r="M26" s="106">
        <v>2029</v>
      </c>
      <c r="N26" s="106">
        <v>2030</v>
      </c>
      <c r="O26" s="106">
        <v>2031</v>
      </c>
      <c r="P26" s="106">
        <v>2032</v>
      </c>
      <c r="Q26" s="106">
        <v>2033</v>
      </c>
      <c r="R26" s="106">
        <v>2034</v>
      </c>
      <c r="S26" s="106">
        <v>2035</v>
      </c>
      <c r="T26" s="106">
        <v>2036</v>
      </c>
      <c r="U26" s="106">
        <v>2037</v>
      </c>
      <c r="V26" s="106">
        <v>2038</v>
      </c>
      <c r="W26" s="106">
        <v>2039</v>
      </c>
      <c r="X26" s="106">
        <v>2040</v>
      </c>
      <c r="Y26" s="106">
        <v>2041</v>
      </c>
      <c r="Z26" s="106">
        <v>2042</v>
      </c>
      <c r="AA26" s="106">
        <v>2043</v>
      </c>
      <c r="AB26" s="106">
        <v>2044</v>
      </c>
      <c r="AC26" s="106">
        <v>2045</v>
      </c>
      <c r="AD26" s="106">
        <v>2046</v>
      </c>
      <c r="AE26" s="106">
        <v>2047</v>
      </c>
      <c r="AF26" s="106">
        <v>2048</v>
      </c>
      <c r="AG26" s="106">
        <v>2049</v>
      </c>
      <c r="AH26" s="106">
        <v>2050</v>
      </c>
      <c r="AI26" s="106">
        <v>2051</v>
      </c>
      <c r="AJ26" s="106">
        <v>2052</v>
      </c>
      <c r="AK26" s="106">
        <v>2053</v>
      </c>
      <c r="AL26" s="106">
        <v>2054</v>
      </c>
      <c r="AM26" s="106">
        <v>2055</v>
      </c>
      <c r="AN26" s="106">
        <v>2056</v>
      </c>
      <c r="AO26" s="106">
        <v>2057</v>
      </c>
      <c r="AP26" s="106">
        <v>2058</v>
      </c>
      <c r="AQ26" s="106">
        <v>2059</v>
      </c>
      <c r="AR26" s="106">
        <v>2060</v>
      </c>
    </row>
    <row r="27" spans="1:49" x14ac:dyDescent="0.2">
      <c r="A27" s="432">
        <v>1</v>
      </c>
      <c r="B27" s="21" t="s">
        <v>207</v>
      </c>
      <c r="C27" s="21"/>
      <c r="D27" s="445"/>
      <c r="E27" s="57">
        <f>$F22*$F17</f>
        <v>1104451.5358050684</v>
      </c>
      <c r="F27" s="123">
        <f>$F22*$F17</f>
        <v>1104451.5358050684</v>
      </c>
      <c r="G27" s="123">
        <f>$F22*$F17</f>
        <v>1104451.5358050684</v>
      </c>
      <c r="H27" s="123">
        <f t="shared" ref="H27:AQ27" si="0">$F22*$F17</f>
        <v>1104451.5358050684</v>
      </c>
      <c r="I27" s="123">
        <f t="shared" si="0"/>
        <v>1104451.5358050684</v>
      </c>
      <c r="J27" s="123">
        <f t="shared" si="0"/>
        <v>1104451.5358050684</v>
      </c>
      <c r="K27" s="123">
        <f t="shared" si="0"/>
        <v>1104451.5358050684</v>
      </c>
      <c r="L27" s="123">
        <f t="shared" si="0"/>
        <v>1104451.5358050684</v>
      </c>
      <c r="M27" s="123">
        <f t="shared" si="0"/>
        <v>1104451.5358050684</v>
      </c>
      <c r="N27" s="123">
        <f t="shared" si="0"/>
        <v>1104451.5358050684</v>
      </c>
      <c r="O27" s="123">
        <f t="shared" si="0"/>
        <v>1104451.5358050684</v>
      </c>
      <c r="P27" s="123">
        <f t="shared" si="0"/>
        <v>1104451.5358050684</v>
      </c>
      <c r="Q27" s="123">
        <f t="shared" si="0"/>
        <v>1104451.5358050684</v>
      </c>
      <c r="R27" s="123">
        <f t="shared" si="0"/>
        <v>1104451.5358050684</v>
      </c>
      <c r="S27" s="123">
        <f t="shared" si="0"/>
        <v>1104451.5358050684</v>
      </c>
      <c r="T27" s="123">
        <f t="shared" si="0"/>
        <v>1104451.5358050684</v>
      </c>
      <c r="U27" s="123">
        <f t="shared" si="0"/>
        <v>1104451.5358050684</v>
      </c>
      <c r="V27" s="123">
        <f t="shared" si="0"/>
        <v>1104451.5358050684</v>
      </c>
      <c r="W27" s="123">
        <f t="shared" si="0"/>
        <v>1104451.5358050684</v>
      </c>
      <c r="X27" s="123">
        <f t="shared" si="0"/>
        <v>1104451.5358050684</v>
      </c>
      <c r="Y27" s="123">
        <f t="shared" si="0"/>
        <v>1104451.5358050684</v>
      </c>
      <c r="Z27" s="123">
        <f t="shared" si="0"/>
        <v>1104451.5358050684</v>
      </c>
      <c r="AA27" s="123">
        <f t="shared" si="0"/>
        <v>1104451.5358050684</v>
      </c>
      <c r="AB27" s="123">
        <f t="shared" si="0"/>
        <v>1104451.5358050684</v>
      </c>
      <c r="AC27" s="123">
        <f t="shared" si="0"/>
        <v>1104451.5358050684</v>
      </c>
      <c r="AD27" s="123">
        <f t="shared" si="0"/>
        <v>1104451.5358050684</v>
      </c>
      <c r="AE27" s="123">
        <f t="shared" si="0"/>
        <v>1104451.5358050684</v>
      </c>
      <c r="AF27" s="123">
        <f t="shared" si="0"/>
        <v>1104451.5358050684</v>
      </c>
      <c r="AG27" s="123">
        <f t="shared" si="0"/>
        <v>1104451.5358050684</v>
      </c>
      <c r="AH27" s="123">
        <f t="shared" si="0"/>
        <v>1104451.5358050684</v>
      </c>
      <c r="AI27" s="123">
        <f t="shared" si="0"/>
        <v>1104451.5358050684</v>
      </c>
      <c r="AJ27" s="123">
        <f t="shared" si="0"/>
        <v>1104451.5358050684</v>
      </c>
      <c r="AK27" s="123">
        <f t="shared" si="0"/>
        <v>1104451.5358050684</v>
      </c>
      <c r="AL27" s="123">
        <f t="shared" si="0"/>
        <v>1104451.5358050684</v>
      </c>
      <c r="AM27" s="123">
        <f t="shared" si="0"/>
        <v>1104451.5358050684</v>
      </c>
      <c r="AN27" s="123">
        <f t="shared" si="0"/>
        <v>1104451.5358050684</v>
      </c>
      <c r="AO27" s="123">
        <f t="shared" si="0"/>
        <v>1104451.5358050684</v>
      </c>
      <c r="AP27" s="123">
        <f t="shared" si="0"/>
        <v>1104451.5358050684</v>
      </c>
      <c r="AQ27" s="123">
        <f t="shared" si="0"/>
        <v>1104451.5358050684</v>
      </c>
      <c r="AR27" s="123">
        <f>$F22*$F17-86890</f>
        <v>1017561.5358050684</v>
      </c>
      <c r="AS27" s="123">
        <v>60314.96</v>
      </c>
      <c r="AT27" s="123"/>
      <c r="AU27" s="126">
        <f>SUM(D27:AT27)</f>
        <v>44151486.39220275</v>
      </c>
      <c r="AV27" s="41">
        <f>F22</f>
        <v>44151486.389999881</v>
      </c>
      <c r="AW27" s="213">
        <f>+AU27-AV27</f>
        <v>2.2028684616088867E-3</v>
      </c>
    </row>
    <row r="28" spans="1:49" x14ac:dyDescent="0.2">
      <c r="A28" s="21"/>
      <c r="B28" s="21"/>
      <c r="C28" s="21"/>
      <c r="D28" s="445"/>
      <c r="E28" s="57"/>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58"/>
      <c r="AN28" s="123"/>
      <c r="AO28" s="123"/>
      <c r="AP28" s="447"/>
    </row>
    <row r="29" spans="1:49" x14ac:dyDescent="0.2">
      <c r="A29" s="432">
        <f>A27+1</f>
        <v>2</v>
      </c>
      <c r="B29" s="21" t="s">
        <v>54</v>
      </c>
      <c r="C29" s="21"/>
      <c r="D29" s="445"/>
      <c r="E29" s="57">
        <f>E53</f>
        <v>527787.68326246506</v>
      </c>
      <c r="F29" s="123">
        <f t="shared" ref="F29:AS29" si="1">F53</f>
        <v>511047.51098398818</v>
      </c>
      <c r="G29" s="123">
        <f t="shared" si="1"/>
        <v>492662.53378476249</v>
      </c>
      <c r="H29" s="123">
        <f t="shared" si="1"/>
        <v>474863.10039401648</v>
      </c>
      <c r="I29" s="123">
        <f t="shared" si="1"/>
        <v>457605.37931744958</v>
      </c>
      <c r="J29" s="123">
        <f t="shared" si="1"/>
        <v>440848.91071416874</v>
      </c>
      <c r="K29" s="123">
        <f t="shared" si="1"/>
        <v>424556.0444544538</v>
      </c>
      <c r="L29" s="123">
        <f t="shared" si="1"/>
        <v>408691.94011975813</v>
      </c>
      <c r="M29" s="123">
        <f t="shared" si="1"/>
        <v>393067.22317701305</v>
      </c>
      <c r="N29" s="123">
        <f t="shared" si="1"/>
        <v>377476.78471058002</v>
      </c>
      <c r="O29" s="123">
        <f t="shared" si="1"/>
        <v>361886.34624414711</v>
      </c>
      <c r="P29" s="123">
        <f t="shared" si="1"/>
        <v>346295.90777771408</v>
      </c>
      <c r="Q29" s="123">
        <f t="shared" si="1"/>
        <v>330705.46931128117</v>
      </c>
      <c r="R29" s="123">
        <f t="shared" si="1"/>
        <v>315115.0308448482</v>
      </c>
      <c r="S29" s="123">
        <f t="shared" si="1"/>
        <v>299524.59237841523</v>
      </c>
      <c r="T29" s="123">
        <f t="shared" si="1"/>
        <v>283934.15391198226</v>
      </c>
      <c r="U29" s="123">
        <f t="shared" si="1"/>
        <v>268343.71544554934</v>
      </c>
      <c r="V29" s="123">
        <f t="shared" si="1"/>
        <v>252753.27697911632</v>
      </c>
      <c r="W29" s="123">
        <f t="shared" si="1"/>
        <v>237162.83851268337</v>
      </c>
      <c r="X29" s="123">
        <f t="shared" si="1"/>
        <v>221572.40004625043</v>
      </c>
      <c r="Y29" s="123">
        <f t="shared" si="1"/>
        <v>207235.65470526699</v>
      </c>
      <c r="Z29" s="123">
        <f t="shared" si="1"/>
        <v>195405.73367294809</v>
      </c>
      <c r="AA29" s="123">
        <f t="shared" si="1"/>
        <v>184829.50576607874</v>
      </c>
      <c r="AB29" s="123">
        <f t="shared" si="1"/>
        <v>174253.2778592094</v>
      </c>
      <c r="AC29" s="123">
        <f t="shared" si="1"/>
        <v>163677.04995234008</v>
      </c>
      <c r="AD29" s="123">
        <f t="shared" si="1"/>
        <v>153100.82204547073</v>
      </c>
      <c r="AE29" s="123">
        <f t="shared" si="1"/>
        <v>142524.59413860136</v>
      </c>
      <c r="AF29" s="123">
        <f t="shared" si="1"/>
        <v>131948.36623173204</v>
      </c>
      <c r="AG29" s="123">
        <f t="shared" si="1"/>
        <v>121372.1383248627</v>
      </c>
      <c r="AH29" s="123">
        <f t="shared" si="1"/>
        <v>110795.91041799335</v>
      </c>
      <c r="AI29" s="123">
        <f t="shared" si="1"/>
        <v>100219.68251112403</v>
      </c>
      <c r="AJ29" s="123">
        <f t="shared" si="1"/>
        <v>89643.454604254759</v>
      </c>
      <c r="AK29" s="123">
        <f t="shared" si="1"/>
        <v>79067.226697385442</v>
      </c>
      <c r="AL29" s="123">
        <f t="shared" si="1"/>
        <v>68490.998790516096</v>
      </c>
      <c r="AM29" s="123">
        <f t="shared" si="1"/>
        <v>57914.770883646757</v>
      </c>
      <c r="AN29" s="123">
        <f t="shared" si="1"/>
        <v>47338.542976777411</v>
      </c>
      <c r="AO29" s="123">
        <f t="shared" si="1"/>
        <v>36762.31506990808</v>
      </c>
      <c r="AP29" s="123">
        <f t="shared" si="1"/>
        <v>26186.08716303873</v>
      </c>
      <c r="AQ29" s="123">
        <f t="shared" si="1"/>
        <v>15609.859256169391</v>
      </c>
      <c r="AR29" s="123">
        <f t="shared" si="1"/>
        <v>5449.6606693000522</v>
      </c>
      <c r="AS29" s="123">
        <f t="shared" si="1"/>
        <v>288.78800738537626</v>
      </c>
      <c r="AT29" s="123"/>
      <c r="AU29" s="126">
        <f>SUM(D29:AT29)</f>
        <v>9538015.2821146548</v>
      </c>
    </row>
    <row r="30" spans="1:49" x14ac:dyDescent="0.2">
      <c r="A30" s="21"/>
      <c r="B30" s="21"/>
      <c r="C30" s="21"/>
      <c r="D30" s="445"/>
      <c r="E30" s="57"/>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row>
    <row r="31" spans="1:49" x14ac:dyDescent="0.2">
      <c r="A31" s="21"/>
      <c r="B31" s="21" t="s">
        <v>55</v>
      </c>
      <c r="C31" s="21"/>
      <c r="D31" s="445"/>
      <c r="E31" s="57">
        <f>+E30/0.79</f>
        <v>0</v>
      </c>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row>
    <row r="32" spans="1:49" x14ac:dyDescent="0.2">
      <c r="A32" s="432">
        <f>A29+1</f>
        <v>3</v>
      </c>
      <c r="B32" s="21"/>
      <c r="C32" s="21"/>
      <c r="D32" s="445"/>
      <c r="E32" s="57">
        <f>E49*$F10</f>
        <v>0</v>
      </c>
      <c r="F32" s="123">
        <f t="shared" ref="F32:AS32" si="2">F49*$F10</f>
        <v>0</v>
      </c>
      <c r="G32" s="123">
        <f t="shared" si="2"/>
        <v>0</v>
      </c>
      <c r="H32" s="123">
        <f t="shared" si="2"/>
        <v>0</v>
      </c>
      <c r="I32" s="123">
        <f t="shared" si="2"/>
        <v>0</v>
      </c>
      <c r="J32" s="123">
        <f t="shared" si="2"/>
        <v>0</v>
      </c>
      <c r="K32" s="123">
        <f t="shared" si="2"/>
        <v>0</v>
      </c>
      <c r="L32" s="123">
        <f t="shared" si="2"/>
        <v>0</v>
      </c>
      <c r="M32" s="123">
        <f t="shared" si="2"/>
        <v>0</v>
      </c>
      <c r="N32" s="123">
        <f t="shared" si="2"/>
        <v>0</v>
      </c>
      <c r="O32" s="123">
        <f t="shared" si="2"/>
        <v>0</v>
      </c>
      <c r="P32" s="123">
        <f t="shared" si="2"/>
        <v>0</v>
      </c>
      <c r="Q32" s="123">
        <f t="shared" si="2"/>
        <v>0</v>
      </c>
      <c r="R32" s="123">
        <f t="shared" si="2"/>
        <v>0</v>
      </c>
      <c r="S32" s="123">
        <f t="shared" si="2"/>
        <v>0</v>
      </c>
      <c r="T32" s="123">
        <f t="shared" si="2"/>
        <v>0</v>
      </c>
      <c r="U32" s="123">
        <f t="shared" si="2"/>
        <v>0</v>
      </c>
      <c r="V32" s="123">
        <f t="shared" si="2"/>
        <v>0</v>
      </c>
      <c r="W32" s="123">
        <f t="shared" si="2"/>
        <v>0</v>
      </c>
      <c r="X32" s="123">
        <f t="shared" si="2"/>
        <v>0</v>
      </c>
      <c r="Y32" s="123">
        <f t="shared" si="2"/>
        <v>0</v>
      </c>
      <c r="Z32" s="123">
        <f t="shared" si="2"/>
        <v>0</v>
      </c>
      <c r="AA32" s="123">
        <f t="shared" si="2"/>
        <v>0</v>
      </c>
      <c r="AB32" s="123">
        <f t="shared" si="2"/>
        <v>0</v>
      </c>
      <c r="AC32" s="123">
        <f t="shared" si="2"/>
        <v>0</v>
      </c>
      <c r="AD32" s="123">
        <f t="shared" si="2"/>
        <v>0</v>
      </c>
      <c r="AE32" s="123">
        <f t="shared" si="2"/>
        <v>0</v>
      </c>
      <c r="AF32" s="123">
        <f t="shared" si="2"/>
        <v>0</v>
      </c>
      <c r="AG32" s="123">
        <f t="shared" si="2"/>
        <v>0</v>
      </c>
      <c r="AH32" s="123">
        <f t="shared" si="2"/>
        <v>0</v>
      </c>
      <c r="AI32" s="123">
        <f t="shared" si="2"/>
        <v>0</v>
      </c>
      <c r="AJ32" s="123">
        <f t="shared" si="2"/>
        <v>0</v>
      </c>
      <c r="AK32" s="123">
        <f t="shared" si="2"/>
        <v>0</v>
      </c>
      <c r="AL32" s="123">
        <f t="shared" si="2"/>
        <v>0</v>
      </c>
      <c r="AM32" s="123">
        <f t="shared" si="2"/>
        <v>0</v>
      </c>
      <c r="AN32" s="123">
        <f t="shared" si="2"/>
        <v>0</v>
      </c>
      <c r="AO32" s="123">
        <f t="shared" si="2"/>
        <v>0</v>
      </c>
      <c r="AP32" s="123">
        <f t="shared" si="2"/>
        <v>0</v>
      </c>
      <c r="AQ32" s="123">
        <f t="shared" si="2"/>
        <v>0</v>
      </c>
      <c r="AR32" s="123">
        <f t="shared" si="2"/>
        <v>0</v>
      </c>
      <c r="AS32" s="123">
        <f t="shared" si="2"/>
        <v>0</v>
      </c>
      <c r="AT32" s="123"/>
      <c r="AU32" s="126">
        <f t="shared" ref="AU32:AU42" si="3">SUM(D32:AT32)</f>
        <v>0</v>
      </c>
    </row>
    <row r="33" spans="1:47" x14ac:dyDescent="0.2">
      <c r="A33" s="432">
        <f>A32+1</f>
        <v>4</v>
      </c>
      <c r="B33" s="32"/>
      <c r="C33" s="32" t="s">
        <v>173</v>
      </c>
      <c r="D33" s="445"/>
      <c r="E33" s="57">
        <f>E49*$F11</f>
        <v>1232221.0980262039</v>
      </c>
      <c r="F33" s="123">
        <f t="shared" ref="F33:AS33" si="4">F49*$F11</f>
        <v>1193137.9702453034</v>
      </c>
      <c r="G33" s="123">
        <f t="shared" si="4"/>
        <v>1150214.7313936858</v>
      </c>
      <c r="H33" s="123">
        <f t="shared" si="4"/>
        <v>1108658.5563397063</v>
      </c>
      <c r="I33" s="123">
        <f t="shared" si="4"/>
        <v>1068367.1120927548</v>
      </c>
      <c r="J33" s="123">
        <f t="shared" si="4"/>
        <v>1029245.9374307299</v>
      </c>
      <c r="K33" s="123">
        <f t="shared" si="4"/>
        <v>991207.13093861972</v>
      </c>
      <c r="L33" s="123">
        <f t="shared" si="4"/>
        <v>954169.35100850381</v>
      </c>
      <c r="M33" s="123">
        <f t="shared" si="4"/>
        <v>917690.46664248954</v>
      </c>
      <c r="N33" s="123">
        <f t="shared" si="4"/>
        <v>881291.61192297807</v>
      </c>
      <c r="O33" s="123">
        <f t="shared" si="4"/>
        <v>844892.75720346672</v>
      </c>
      <c r="P33" s="123">
        <f t="shared" si="4"/>
        <v>808493.90248395514</v>
      </c>
      <c r="Q33" s="123">
        <f t="shared" si="4"/>
        <v>772095.04776444368</v>
      </c>
      <c r="R33" s="123">
        <f t="shared" si="4"/>
        <v>735696.19304493233</v>
      </c>
      <c r="S33" s="123">
        <f t="shared" si="4"/>
        <v>699297.33832542074</v>
      </c>
      <c r="T33" s="123">
        <f t="shared" si="4"/>
        <v>662898.48360590928</v>
      </c>
      <c r="U33" s="123">
        <f t="shared" si="4"/>
        <v>626499.62888639781</v>
      </c>
      <c r="V33" s="123">
        <f t="shared" si="4"/>
        <v>590100.77416688635</v>
      </c>
      <c r="W33" s="123">
        <f t="shared" si="4"/>
        <v>553701.91944737488</v>
      </c>
      <c r="X33" s="123">
        <f t="shared" si="4"/>
        <v>517303.06472786347</v>
      </c>
      <c r="Y33" s="123">
        <f t="shared" si="4"/>
        <v>483831.19593208586</v>
      </c>
      <c r="Z33" s="123">
        <f t="shared" si="4"/>
        <v>456211.98702235799</v>
      </c>
      <c r="AA33" s="123">
        <f t="shared" si="4"/>
        <v>431519.7640363641</v>
      </c>
      <c r="AB33" s="123">
        <f t="shared" si="4"/>
        <v>406827.54105037014</v>
      </c>
      <c r="AC33" s="123">
        <f t="shared" si="4"/>
        <v>382135.31806437619</v>
      </c>
      <c r="AD33" s="123">
        <f t="shared" si="4"/>
        <v>357443.09507838235</v>
      </c>
      <c r="AE33" s="123">
        <f t="shared" si="4"/>
        <v>332750.8720923884</v>
      </c>
      <c r="AF33" s="123">
        <f t="shared" si="4"/>
        <v>308058.64910639444</v>
      </c>
      <c r="AG33" s="123">
        <f t="shared" si="4"/>
        <v>283366.42612040049</v>
      </c>
      <c r="AH33" s="123">
        <f t="shared" si="4"/>
        <v>258674.20313440656</v>
      </c>
      <c r="AI33" s="123">
        <f t="shared" si="4"/>
        <v>233981.98014841269</v>
      </c>
      <c r="AJ33" s="123">
        <f t="shared" si="4"/>
        <v>209289.75716241894</v>
      </c>
      <c r="AK33" s="123">
        <f t="shared" si="4"/>
        <v>184597.53417642505</v>
      </c>
      <c r="AL33" s="123">
        <f t="shared" si="4"/>
        <v>159905.31119043109</v>
      </c>
      <c r="AM33" s="123">
        <f t="shared" si="4"/>
        <v>135213.0882044372</v>
      </c>
      <c r="AN33" s="123">
        <f t="shared" si="4"/>
        <v>110520.86521844326</v>
      </c>
      <c r="AO33" s="123">
        <f t="shared" si="4"/>
        <v>85828.642232449332</v>
      </c>
      <c r="AP33" s="123">
        <f t="shared" si="4"/>
        <v>61136.4192464554</v>
      </c>
      <c r="AQ33" s="123">
        <f t="shared" si="4"/>
        <v>36444.196260461475</v>
      </c>
      <c r="AR33" s="123">
        <f t="shared" si="4"/>
        <v>12723.27313946755</v>
      </c>
      <c r="AS33" s="123">
        <f t="shared" si="4"/>
        <v>674.23073111057408</v>
      </c>
      <c r="AT33" s="123"/>
      <c r="AU33" s="126">
        <f t="shared" si="3"/>
        <v>22268317.425045662</v>
      </c>
    </row>
    <row r="34" spans="1:47" x14ac:dyDescent="0.2">
      <c r="A34" s="432">
        <f>A33+1</f>
        <v>5</v>
      </c>
      <c r="B34" s="21"/>
      <c r="C34" s="21" t="s">
        <v>9</v>
      </c>
      <c r="D34" s="445"/>
      <c r="E34" s="59">
        <f>E49*$F12</f>
        <v>1985486.9989397493</v>
      </c>
      <c r="F34" s="121">
        <f t="shared" ref="F34:AS34" si="5">F49*$F12</f>
        <v>1922512.0651302414</v>
      </c>
      <c r="G34" s="121">
        <f t="shared" si="5"/>
        <v>1853349.5318569639</v>
      </c>
      <c r="H34" s="121">
        <f t="shared" si="5"/>
        <v>1786389.7586251099</v>
      </c>
      <c r="I34" s="121">
        <f t="shared" si="5"/>
        <v>1721467.8555275486</v>
      </c>
      <c r="J34" s="121">
        <f t="shared" si="5"/>
        <v>1658431.6164961585</v>
      </c>
      <c r="K34" s="121">
        <f t="shared" si="5"/>
        <v>1597139.4053286596</v>
      </c>
      <c r="L34" s="121">
        <f t="shared" si="5"/>
        <v>1537460.1556886141</v>
      </c>
      <c r="M34" s="121">
        <f t="shared" si="5"/>
        <v>1478681.4586182872</v>
      </c>
      <c r="N34" s="121">
        <f t="shared" si="5"/>
        <v>1420031.7139112297</v>
      </c>
      <c r="O34" s="121">
        <f t="shared" si="5"/>
        <v>1361381.9692041725</v>
      </c>
      <c r="P34" s="121">
        <f t="shared" si="5"/>
        <v>1302732.224497115</v>
      </c>
      <c r="Q34" s="121">
        <f t="shared" si="5"/>
        <v>1244082.4797900578</v>
      </c>
      <c r="R34" s="121">
        <f t="shared" si="5"/>
        <v>1185432.7350830005</v>
      </c>
      <c r="S34" s="121">
        <f t="shared" si="5"/>
        <v>1126782.990375943</v>
      </c>
      <c r="T34" s="121">
        <f t="shared" si="5"/>
        <v>1068133.2456688858</v>
      </c>
      <c r="U34" s="121">
        <f t="shared" si="5"/>
        <v>1009483.5009618284</v>
      </c>
      <c r="V34" s="121">
        <f t="shared" si="5"/>
        <v>950833.75625477103</v>
      </c>
      <c r="W34" s="121">
        <f t="shared" si="5"/>
        <v>892184.01154771366</v>
      </c>
      <c r="X34" s="121">
        <f t="shared" si="5"/>
        <v>833534.2668406564</v>
      </c>
      <c r="Y34" s="121">
        <f t="shared" si="5"/>
        <v>779600.79627219494</v>
      </c>
      <c r="Z34" s="121">
        <f t="shared" si="5"/>
        <v>735097.76000775711</v>
      </c>
      <c r="AA34" s="121">
        <f t="shared" si="5"/>
        <v>695310.9978819153</v>
      </c>
      <c r="AB34" s="121">
        <f t="shared" si="5"/>
        <v>655524.2357560735</v>
      </c>
      <c r="AC34" s="121">
        <f t="shared" si="5"/>
        <v>615737.47363023169</v>
      </c>
      <c r="AD34" s="121">
        <f t="shared" si="5"/>
        <v>575950.71150439</v>
      </c>
      <c r="AE34" s="121">
        <f t="shared" si="5"/>
        <v>536163.94937854807</v>
      </c>
      <c r="AF34" s="121">
        <f t="shared" si="5"/>
        <v>496377.18725270627</v>
      </c>
      <c r="AG34" s="121">
        <f t="shared" si="5"/>
        <v>456590.42512686446</v>
      </c>
      <c r="AH34" s="121">
        <f t="shared" si="5"/>
        <v>416803.66300102265</v>
      </c>
      <c r="AI34" s="121">
        <f t="shared" si="5"/>
        <v>377016.9008751809</v>
      </c>
      <c r="AJ34" s="121">
        <f t="shared" si="5"/>
        <v>337230.13874933938</v>
      </c>
      <c r="AK34" s="121">
        <f t="shared" si="5"/>
        <v>297443.37662349764</v>
      </c>
      <c r="AL34" s="121">
        <f t="shared" si="5"/>
        <v>257656.6144976558</v>
      </c>
      <c r="AM34" s="121">
        <f t="shared" si="5"/>
        <v>217869.85237181402</v>
      </c>
      <c r="AN34" s="121">
        <f t="shared" si="5"/>
        <v>178083.09024597218</v>
      </c>
      <c r="AO34" s="121">
        <f t="shared" si="5"/>
        <v>138296.32812013041</v>
      </c>
      <c r="AP34" s="121">
        <f t="shared" si="5"/>
        <v>98509.565994288569</v>
      </c>
      <c r="AQ34" s="121">
        <f t="shared" si="5"/>
        <v>58722.803868446761</v>
      </c>
      <c r="AR34" s="121">
        <f t="shared" si="5"/>
        <v>20501.10442260496</v>
      </c>
      <c r="AS34" s="121">
        <f t="shared" si="5"/>
        <v>1086.3929801640347</v>
      </c>
      <c r="AT34" s="121"/>
      <c r="AU34" s="126">
        <f t="shared" si="3"/>
        <v>35881105.108907491</v>
      </c>
    </row>
    <row r="35" spans="1:47" x14ac:dyDescent="0.2">
      <c r="A35" s="432">
        <f>A34+1</f>
        <v>6</v>
      </c>
      <c r="B35" s="21"/>
      <c r="C35" s="21" t="s">
        <v>58</v>
      </c>
      <c r="D35" s="445"/>
      <c r="E35" s="57">
        <f>E32+E33+E34</f>
        <v>3217708.0969659532</v>
      </c>
      <c r="F35" s="123">
        <f>F32+F33+F34</f>
        <v>3115650.0353755448</v>
      </c>
      <c r="G35" s="123">
        <f>G32+G33+G34</f>
        <v>3003564.2632506499</v>
      </c>
      <c r="H35" s="123">
        <f t="shared" ref="H35:AS35" si="6">H32+H33+H34</f>
        <v>2895048.314964816</v>
      </c>
      <c r="I35" s="123">
        <f t="shared" si="6"/>
        <v>2789834.9676203034</v>
      </c>
      <c r="J35" s="123">
        <f t="shared" si="6"/>
        <v>2687677.5539268884</v>
      </c>
      <c r="K35" s="123">
        <f t="shared" si="6"/>
        <v>2588346.5362672792</v>
      </c>
      <c r="L35" s="123">
        <f t="shared" si="6"/>
        <v>2491629.5066971178</v>
      </c>
      <c r="M35" s="123">
        <f t="shared" si="6"/>
        <v>2396371.9252607767</v>
      </c>
      <c r="N35" s="123">
        <f t="shared" si="6"/>
        <v>2301323.3258342077</v>
      </c>
      <c r="O35" s="123">
        <f t="shared" si="6"/>
        <v>2206274.7264076392</v>
      </c>
      <c r="P35" s="123">
        <f t="shared" si="6"/>
        <v>2111226.1269810703</v>
      </c>
      <c r="Q35" s="123">
        <f t="shared" si="6"/>
        <v>2016177.5275545013</v>
      </c>
      <c r="R35" s="123">
        <f t="shared" si="6"/>
        <v>1921128.9281279328</v>
      </c>
      <c r="S35" s="123">
        <f t="shared" si="6"/>
        <v>1826080.3287013639</v>
      </c>
      <c r="T35" s="123">
        <f t="shared" si="6"/>
        <v>1731031.7292747949</v>
      </c>
      <c r="U35" s="123">
        <f t="shared" si="6"/>
        <v>1635983.1298482262</v>
      </c>
      <c r="V35" s="123">
        <f t="shared" si="6"/>
        <v>1540934.5304216575</v>
      </c>
      <c r="W35" s="123">
        <f t="shared" si="6"/>
        <v>1445885.9309950885</v>
      </c>
      <c r="X35" s="123">
        <f t="shared" si="6"/>
        <v>1350837.3315685198</v>
      </c>
      <c r="Y35" s="123">
        <f t="shared" si="6"/>
        <v>1263431.9922042808</v>
      </c>
      <c r="Z35" s="123">
        <f t="shared" si="6"/>
        <v>1191309.7470301152</v>
      </c>
      <c r="AA35" s="123">
        <f t="shared" si="6"/>
        <v>1126830.7619182793</v>
      </c>
      <c r="AB35" s="123">
        <f t="shared" si="6"/>
        <v>1062351.7768064437</v>
      </c>
      <c r="AC35" s="123">
        <f t="shared" si="6"/>
        <v>997872.79169460782</v>
      </c>
      <c r="AD35" s="123">
        <f t="shared" si="6"/>
        <v>933393.80658277241</v>
      </c>
      <c r="AE35" s="123">
        <f t="shared" si="6"/>
        <v>868914.82147093653</v>
      </c>
      <c r="AF35" s="123">
        <f t="shared" si="6"/>
        <v>804435.83635910065</v>
      </c>
      <c r="AG35" s="123">
        <f t="shared" si="6"/>
        <v>739956.851247265</v>
      </c>
      <c r="AH35" s="123">
        <f t="shared" si="6"/>
        <v>675477.86613542924</v>
      </c>
      <c r="AI35" s="123">
        <f t="shared" si="6"/>
        <v>610998.8810235936</v>
      </c>
      <c r="AJ35" s="123">
        <f t="shared" si="6"/>
        <v>546519.8959117583</v>
      </c>
      <c r="AK35" s="123">
        <f t="shared" si="6"/>
        <v>482040.91079992265</v>
      </c>
      <c r="AL35" s="123">
        <f t="shared" si="6"/>
        <v>417561.92568808689</v>
      </c>
      <c r="AM35" s="123">
        <f t="shared" si="6"/>
        <v>353082.94057625125</v>
      </c>
      <c r="AN35" s="123">
        <f t="shared" si="6"/>
        <v>288603.95546441543</v>
      </c>
      <c r="AO35" s="123">
        <f t="shared" si="6"/>
        <v>224124.97035257972</v>
      </c>
      <c r="AP35" s="123">
        <f t="shared" si="6"/>
        <v>159645.98524074396</v>
      </c>
      <c r="AQ35" s="123">
        <f t="shared" si="6"/>
        <v>95167.000128908228</v>
      </c>
      <c r="AR35" s="123">
        <f t="shared" si="6"/>
        <v>33224.377562072506</v>
      </c>
      <c r="AS35" s="123">
        <f t="shared" si="6"/>
        <v>1760.6237112746089</v>
      </c>
      <c r="AT35" s="123"/>
      <c r="AU35" s="126">
        <f t="shared" si="3"/>
        <v>58149422.533953175</v>
      </c>
    </row>
    <row r="36" spans="1:47" x14ac:dyDescent="0.2">
      <c r="A36" s="21"/>
      <c r="B36" s="21"/>
      <c r="C36" s="21"/>
      <c r="D36" s="445"/>
      <c r="E36" s="57"/>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6">
        <f t="shared" si="3"/>
        <v>0</v>
      </c>
    </row>
    <row r="37" spans="1:47" x14ac:dyDescent="0.2">
      <c r="A37" s="432">
        <f>A35+1</f>
        <v>7</v>
      </c>
      <c r="B37" s="21" t="s">
        <v>59</v>
      </c>
      <c r="C37" s="21"/>
      <c r="D37" s="445"/>
      <c r="E37" s="60">
        <f>E27+E29+E35</f>
        <v>4849947.3160334863</v>
      </c>
      <c r="F37" s="120">
        <f>F27+F29+F35</f>
        <v>4731149.0821646014</v>
      </c>
      <c r="G37" s="120">
        <f t="shared" ref="G37:AS37" si="7">G27+G29+G35</f>
        <v>4600678.3328404808</v>
      </c>
      <c r="H37" s="120">
        <f t="shared" si="7"/>
        <v>4474362.951163901</v>
      </c>
      <c r="I37" s="120">
        <f t="shared" si="7"/>
        <v>4351891.8827428212</v>
      </c>
      <c r="J37" s="120">
        <f t="shared" si="7"/>
        <v>4232978.0004461259</v>
      </c>
      <c r="K37" s="120">
        <f t="shared" si="7"/>
        <v>4117354.1165268011</v>
      </c>
      <c r="L37" s="120">
        <f t="shared" si="7"/>
        <v>4004772.9826219445</v>
      </c>
      <c r="M37" s="120">
        <f t="shared" si="7"/>
        <v>3893890.6842428581</v>
      </c>
      <c r="N37" s="120">
        <f t="shared" si="7"/>
        <v>3783251.6463498562</v>
      </c>
      <c r="O37" s="120">
        <f t="shared" si="7"/>
        <v>3672612.6084568547</v>
      </c>
      <c r="P37" s="120">
        <f t="shared" si="7"/>
        <v>3561973.5705638528</v>
      </c>
      <c r="Q37" s="120">
        <f t="shared" si="7"/>
        <v>3451334.5326708509</v>
      </c>
      <c r="R37" s="120">
        <f t="shared" si="7"/>
        <v>3340695.4947778494</v>
      </c>
      <c r="S37" s="120">
        <f t="shared" si="7"/>
        <v>3230056.4568848475</v>
      </c>
      <c r="T37" s="120">
        <f t="shared" si="7"/>
        <v>3119417.4189918456</v>
      </c>
      <c r="U37" s="120">
        <f t="shared" si="7"/>
        <v>3008778.3810988441</v>
      </c>
      <c r="V37" s="120">
        <f t="shared" si="7"/>
        <v>2898139.3432058422</v>
      </c>
      <c r="W37" s="120">
        <f t="shared" si="7"/>
        <v>2787500.3053128403</v>
      </c>
      <c r="X37" s="120">
        <f t="shared" si="7"/>
        <v>2676861.2674198383</v>
      </c>
      <c r="Y37" s="120">
        <f t="shared" si="7"/>
        <v>2575119.1827146159</v>
      </c>
      <c r="Z37" s="120">
        <f t="shared" si="7"/>
        <v>2491167.0165081318</v>
      </c>
      <c r="AA37" s="120">
        <f t="shared" si="7"/>
        <v>2416111.8034894266</v>
      </c>
      <c r="AB37" s="120">
        <f t="shared" si="7"/>
        <v>2341056.5904707215</v>
      </c>
      <c r="AC37" s="120">
        <f t="shared" si="7"/>
        <v>2266001.3774520163</v>
      </c>
      <c r="AD37" s="120">
        <f t="shared" si="7"/>
        <v>2190946.1644333117</v>
      </c>
      <c r="AE37" s="120">
        <f t="shared" si="7"/>
        <v>2115890.9514146065</v>
      </c>
      <c r="AF37" s="120">
        <f t="shared" si="7"/>
        <v>2040835.7383959012</v>
      </c>
      <c r="AG37" s="120">
        <f t="shared" si="7"/>
        <v>1965780.5253771963</v>
      </c>
      <c r="AH37" s="120">
        <f t="shared" si="7"/>
        <v>1890725.3123584911</v>
      </c>
      <c r="AI37" s="120">
        <f t="shared" si="7"/>
        <v>1815670.099339786</v>
      </c>
      <c r="AJ37" s="120">
        <f t="shared" si="7"/>
        <v>1740614.8863210815</v>
      </c>
      <c r="AK37" s="120">
        <f t="shared" si="7"/>
        <v>1665559.6733023766</v>
      </c>
      <c r="AL37" s="120">
        <f t="shared" si="7"/>
        <v>1590504.4602836715</v>
      </c>
      <c r="AM37" s="120">
        <f t="shared" si="7"/>
        <v>1515449.2472649664</v>
      </c>
      <c r="AN37" s="120">
        <f t="shared" si="7"/>
        <v>1440394.0342462612</v>
      </c>
      <c r="AO37" s="120">
        <f t="shared" si="7"/>
        <v>1365338.8212275561</v>
      </c>
      <c r="AP37" s="120">
        <f t="shared" si="7"/>
        <v>1290283.6082088512</v>
      </c>
      <c r="AQ37" s="120">
        <f t="shared" si="7"/>
        <v>1215228.3951901461</v>
      </c>
      <c r="AR37" s="120">
        <f t="shared" si="7"/>
        <v>1056235.574036441</v>
      </c>
      <c r="AS37" s="120">
        <f t="shared" si="7"/>
        <v>62364.371718659982</v>
      </c>
      <c r="AT37" s="120"/>
      <c r="AU37" s="126">
        <f t="shared" si="3"/>
        <v>111838924.20827056</v>
      </c>
    </row>
    <row r="38" spans="1:47" x14ac:dyDescent="0.2">
      <c r="A38" s="432">
        <f>A37+1</f>
        <v>8</v>
      </c>
      <c r="B38" s="21" t="s">
        <v>60</v>
      </c>
      <c r="C38" s="21"/>
      <c r="D38" s="445"/>
      <c r="E38" s="59">
        <f>E37/(1-$F16)-E37</f>
        <v>230909.70922701433</v>
      </c>
      <c r="F38" s="619">
        <f>F37/(1-$G16)-F37</f>
        <v>235660.20001140516</v>
      </c>
      <c r="G38" s="619">
        <f t="shared" ref="G38:AR38" si="8">G37/(1-$G16)-G37</f>
        <v>229161.40609318577</v>
      </c>
      <c r="H38" s="619">
        <f t="shared" si="8"/>
        <v>222869.59249918256</v>
      </c>
      <c r="I38" s="619">
        <f t="shared" si="8"/>
        <v>216769.26550071128</v>
      </c>
      <c r="J38" s="619">
        <f t="shared" si="8"/>
        <v>210846.12319437042</v>
      </c>
      <c r="K38" s="619">
        <f t="shared" si="8"/>
        <v>205086.85686449707</v>
      </c>
      <c r="L38" s="619">
        <f t="shared" si="8"/>
        <v>199479.15098316129</v>
      </c>
      <c r="M38" s="619">
        <f t="shared" si="8"/>
        <v>193956.06469694711</v>
      </c>
      <c r="N38" s="619">
        <f t="shared" si="8"/>
        <v>188445.09530111356</v>
      </c>
      <c r="O38" s="619">
        <f t="shared" si="8"/>
        <v>182934.12590528047</v>
      </c>
      <c r="P38" s="619">
        <f t="shared" si="8"/>
        <v>177423.15650944691</v>
      </c>
      <c r="Q38" s="619">
        <f t="shared" si="8"/>
        <v>171912.18711361336</v>
      </c>
      <c r="R38" s="619">
        <f t="shared" si="8"/>
        <v>166401.21771778027</v>
      </c>
      <c r="S38" s="619">
        <f t="shared" si="8"/>
        <v>160890.24832194671</v>
      </c>
      <c r="T38" s="619">
        <f t="shared" si="8"/>
        <v>155379.27892611362</v>
      </c>
      <c r="U38" s="619">
        <f t="shared" si="8"/>
        <v>149868.30953028006</v>
      </c>
      <c r="V38" s="619">
        <f t="shared" si="8"/>
        <v>144357.34013444651</v>
      </c>
      <c r="W38" s="619">
        <f t="shared" si="8"/>
        <v>138846.37073861342</v>
      </c>
      <c r="X38" s="619">
        <f t="shared" si="8"/>
        <v>133335.40134277986</v>
      </c>
      <c r="Y38" s="619">
        <f t="shared" si="8"/>
        <v>128267.59231482167</v>
      </c>
      <c r="Z38" s="619">
        <f t="shared" si="8"/>
        <v>124085.90538506676</v>
      </c>
      <c r="AA38" s="619">
        <f t="shared" si="8"/>
        <v>120347.37882318674</v>
      </c>
      <c r="AB38" s="619">
        <f t="shared" si="8"/>
        <v>116608.85226130672</v>
      </c>
      <c r="AC38" s="619">
        <f t="shared" si="8"/>
        <v>112870.3256994267</v>
      </c>
      <c r="AD38" s="619">
        <f t="shared" si="8"/>
        <v>109131.79913754668</v>
      </c>
      <c r="AE38" s="619">
        <f t="shared" si="8"/>
        <v>105393.27257566666</v>
      </c>
      <c r="AF38" s="619">
        <f t="shared" si="8"/>
        <v>101654.74601378641</v>
      </c>
      <c r="AG38" s="619">
        <f t="shared" si="8"/>
        <v>97916.219451906392</v>
      </c>
      <c r="AH38" s="619">
        <f t="shared" si="8"/>
        <v>94177.692890026374</v>
      </c>
      <c r="AI38" s="619">
        <f t="shared" si="8"/>
        <v>90439.166328146355</v>
      </c>
      <c r="AJ38" s="619">
        <f t="shared" si="8"/>
        <v>86700.639766266337</v>
      </c>
      <c r="AK38" s="619">
        <f t="shared" si="8"/>
        <v>82962.113204386318</v>
      </c>
      <c r="AL38" s="619">
        <f t="shared" si="8"/>
        <v>79223.5866425063</v>
      </c>
      <c r="AM38" s="619">
        <f t="shared" si="8"/>
        <v>75485.060080626281</v>
      </c>
      <c r="AN38" s="619">
        <f t="shared" si="8"/>
        <v>71746.533518746262</v>
      </c>
      <c r="AO38" s="619">
        <f t="shared" si="8"/>
        <v>68008.006956866244</v>
      </c>
      <c r="AP38" s="619">
        <f t="shared" si="8"/>
        <v>64269.480394986225</v>
      </c>
      <c r="AQ38" s="619">
        <f t="shared" si="8"/>
        <v>60530.953833106207</v>
      </c>
      <c r="AR38" s="619">
        <f t="shared" si="8"/>
        <v>52611.465484132757</v>
      </c>
      <c r="AS38" s="121">
        <f t="shared" ref="AS38" si="9">AS37/(1-$F16)-AS37</f>
        <v>2969.2155401511918</v>
      </c>
      <c r="AT38" s="121"/>
      <c r="AU38" s="126">
        <f t="shared" si="3"/>
        <v>5559931.106914551</v>
      </c>
    </row>
    <row r="39" spans="1:47" x14ac:dyDescent="0.2">
      <c r="A39" s="432">
        <f>A38+1</f>
        <v>9</v>
      </c>
      <c r="B39" s="21"/>
      <c r="C39" s="21" t="s">
        <v>61</v>
      </c>
      <c r="D39" s="445"/>
      <c r="E39" s="60">
        <f>SUM(E37:E38)</f>
        <v>5080857.0252605006</v>
      </c>
      <c r="F39" s="120">
        <f t="shared" ref="F39:AS39" si="10">SUM(F37:F38)</f>
        <v>4966809.2821760066</v>
      </c>
      <c r="G39" s="120">
        <f t="shared" si="10"/>
        <v>4829839.7389336666</v>
      </c>
      <c r="H39" s="120">
        <f t="shared" si="10"/>
        <v>4697232.5436630836</v>
      </c>
      <c r="I39" s="120">
        <f t="shared" si="10"/>
        <v>4568661.1482435325</v>
      </c>
      <c r="J39" s="120">
        <f t="shared" si="10"/>
        <v>4443824.1236404963</v>
      </c>
      <c r="K39" s="120">
        <f t="shared" si="10"/>
        <v>4322440.9733912982</v>
      </c>
      <c r="L39" s="120">
        <f t="shared" si="10"/>
        <v>4204252.1336051058</v>
      </c>
      <c r="M39" s="120">
        <f t="shared" si="10"/>
        <v>4087846.7489398052</v>
      </c>
      <c r="N39" s="120">
        <f t="shared" si="10"/>
        <v>3971696.7416509697</v>
      </c>
      <c r="O39" s="120">
        <f t="shared" si="10"/>
        <v>3855546.7343621352</v>
      </c>
      <c r="P39" s="120">
        <f t="shared" si="10"/>
        <v>3739396.7270732997</v>
      </c>
      <c r="Q39" s="120">
        <f t="shared" si="10"/>
        <v>3623246.7197844642</v>
      </c>
      <c r="R39" s="120">
        <f t="shared" si="10"/>
        <v>3507096.7124956297</v>
      </c>
      <c r="S39" s="120">
        <f t="shared" si="10"/>
        <v>3390946.7052067942</v>
      </c>
      <c r="T39" s="120">
        <f t="shared" si="10"/>
        <v>3274796.6979179592</v>
      </c>
      <c r="U39" s="120">
        <f t="shared" si="10"/>
        <v>3158646.6906291242</v>
      </c>
      <c r="V39" s="120">
        <f t="shared" si="10"/>
        <v>3042496.6833402887</v>
      </c>
      <c r="W39" s="120">
        <f t="shared" si="10"/>
        <v>2926346.6760514537</v>
      </c>
      <c r="X39" s="120">
        <f t="shared" si="10"/>
        <v>2810196.6687626182</v>
      </c>
      <c r="Y39" s="120">
        <f t="shared" si="10"/>
        <v>2703386.7750294376</v>
      </c>
      <c r="Z39" s="120">
        <f t="shared" si="10"/>
        <v>2615252.9218931985</v>
      </c>
      <c r="AA39" s="120">
        <f t="shared" si="10"/>
        <v>2536459.1823126134</v>
      </c>
      <c r="AB39" s="120">
        <f t="shared" si="10"/>
        <v>2457665.4427320282</v>
      </c>
      <c r="AC39" s="120">
        <f t="shared" si="10"/>
        <v>2378871.703151443</v>
      </c>
      <c r="AD39" s="120">
        <f t="shared" si="10"/>
        <v>2300077.9635708584</v>
      </c>
      <c r="AE39" s="120">
        <f t="shared" si="10"/>
        <v>2221284.2239902732</v>
      </c>
      <c r="AF39" s="120">
        <f t="shared" si="10"/>
        <v>2142490.4844096876</v>
      </c>
      <c r="AG39" s="120">
        <f t="shared" si="10"/>
        <v>2063696.7448291027</v>
      </c>
      <c r="AH39" s="120">
        <f t="shared" si="10"/>
        <v>1984903.0052485175</v>
      </c>
      <c r="AI39" s="120">
        <f t="shared" si="10"/>
        <v>1906109.2656679323</v>
      </c>
      <c r="AJ39" s="120">
        <f t="shared" si="10"/>
        <v>1827315.5260873479</v>
      </c>
      <c r="AK39" s="120">
        <f t="shared" si="10"/>
        <v>1748521.786506763</v>
      </c>
      <c r="AL39" s="120">
        <f t="shared" si="10"/>
        <v>1669728.0469261778</v>
      </c>
      <c r="AM39" s="120">
        <f t="shared" si="10"/>
        <v>1590934.3073455926</v>
      </c>
      <c r="AN39" s="120">
        <f t="shared" si="10"/>
        <v>1512140.5677650075</v>
      </c>
      <c r="AO39" s="120">
        <f t="shared" si="10"/>
        <v>1433346.8281844223</v>
      </c>
      <c r="AP39" s="120">
        <f t="shared" si="10"/>
        <v>1354553.0886038374</v>
      </c>
      <c r="AQ39" s="120">
        <f t="shared" si="10"/>
        <v>1275759.3490232523</v>
      </c>
      <c r="AR39" s="120">
        <f t="shared" si="10"/>
        <v>1108847.0395205738</v>
      </c>
      <c r="AS39" s="120">
        <f t="shared" si="10"/>
        <v>65333.587258811174</v>
      </c>
      <c r="AT39" s="120"/>
      <c r="AU39" s="126">
        <f t="shared" si="3"/>
        <v>117398855.3151851</v>
      </c>
    </row>
    <row r="40" spans="1:47" x14ac:dyDescent="0.2">
      <c r="A40" s="432">
        <f t="shared" ref="A40:A66" si="11">A39+1</f>
        <v>10</v>
      </c>
      <c r="B40" s="21"/>
      <c r="C40" s="21"/>
      <c r="D40" s="445"/>
      <c r="E40" s="6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6">
        <f t="shared" si="3"/>
        <v>0</v>
      </c>
    </row>
    <row r="41" spans="1:47" x14ac:dyDescent="0.2">
      <c r="A41" s="432">
        <f t="shared" si="11"/>
        <v>11</v>
      </c>
      <c r="B41" s="21"/>
      <c r="C41" s="21"/>
      <c r="D41" s="445"/>
      <c r="E41" s="57"/>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6">
        <f t="shared" si="3"/>
        <v>0</v>
      </c>
    </row>
    <row r="42" spans="1:47" x14ac:dyDescent="0.2">
      <c r="A42" s="432">
        <f t="shared" si="11"/>
        <v>12</v>
      </c>
      <c r="B42" s="21" t="s">
        <v>208</v>
      </c>
      <c r="C42" s="21"/>
      <c r="D42" s="445"/>
      <c r="E42" s="59">
        <f>E39</f>
        <v>5080857.0252605006</v>
      </c>
      <c r="F42" s="121">
        <f>F39</f>
        <v>4966809.2821760066</v>
      </c>
      <c r="G42" s="121">
        <f t="shared" ref="G42:AS42" si="12">G39</f>
        <v>4829839.7389336666</v>
      </c>
      <c r="H42" s="121">
        <f t="shared" si="12"/>
        <v>4697232.5436630836</v>
      </c>
      <c r="I42" s="121">
        <f t="shared" si="12"/>
        <v>4568661.1482435325</v>
      </c>
      <c r="J42" s="121">
        <f t="shared" si="12"/>
        <v>4443824.1236404963</v>
      </c>
      <c r="K42" s="121">
        <f t="shared" si="12"/>
        <v>4322440.9733912982</v>
      </c>
      <c r="L42" s="121">
        <f t="shared" si="12"/>
        <v>4204252.1336051058</v>
      </c>
      <c r="M42" s="121">
        <f t="shared" si="12"/>
        <v>4087846.7489398052</v>
      </c>
      <c r="N42" s="121">
        <f t="shared" si="12"/>
        <v>3971696.7416509697</v>
      </c>
      <c r="O42" s="121">
        <f t="shared" si="12"/>
        <v>3855546.7343621352</v>
      </c>
      <c r="P42" s="121">
        <f t="shared" si="12"/>
        <v>3739396.7270732997</v>
      </c>
      <c r="Q42" s="121">
        <f t="shared" si="12"/>
        <v>3623246.7197844642</v>
      </c>
      <c r="R42" s="121">
        <f t="shared" si="12"/>
        <v>3507096.7124956297</v>
      </c>
      <c r="S42" s="121">
        <f t="shared" si="12"/>
        <v>3390946.7052067942</v>
      </c>
      <c r="T42" s="121">
        <f t="shared" si="12"/>
        <v>3274796.6979179592</v>
      </c>
      <c r="U42" s="121">
        <f t="shared" si="12"/>
        <v>3158646.6906291242</v>
      </c>
      <c r="V42" s="121">
        <f t="shared" si="12"/>
        <v>3042496.6833402887</v>
      </c>
      <c r="W42" s="121">
        <f t="shared" si="12"/>
        <v>2926346.6760514537</v>
      </c>
      <c r="X42" s="121">
        <f t="shared" si="12"/>
        <v>2810196.6687626182</v>
      </c>
      <c r="Y42" s="121">
        <f t="shared" si="12"/>
        <v>2703386.7750294376</v>
      </c>
      <c r="Z42" s="121">
        <f t="shared" si="12"/>
        <v>2615252.9218931985</v>
      </c>
      <c r="AA42" s="121">
        <f t="shared" si="12"/>
        <v>2536459.1823126134</v>
      </c>
      <c r="AB42" s="121">
        <f t="shared" si="12"/>
        <v>2457665.4427320282</v>
      </c>
      <c r="AC42" s="121">
        <f t="shared" si="12"/>
        <v>2378871.703151443</v>
      </c>
      <c r="AD42" s="121">
        <f t="shared" si="12"/>
        <v>2300077.9635708584</v>
      </c>
      <c r="AE42" s="121">
        <f t="shared" si="12"/>
        <v>2221284.2239902732</v>
      </c>
      <c r="AF42" s="121">
        <f t="shared" si="12"/>
        <v>2142490.4844096876</v>
      </c>
      <c r="AG42" s="121">
        <f t="shared" si="12"/>
        <v>2063696.7448291027</v>
      </c>
      <c r="AH42" s="121">
        <f t="shared" si="12"/>
        <v>1984903.0052485175</v>
      </c>
      <c r="AI42" s="121">
        <f t="shared" si="12"/>
        <v>1906109.2656679323</v>
      </c>
      <c r="AJ42" s="121">
        <f t="shared" si="12"/>
        <v>1827315.5260873479</v>
      </c>
      <c r="AK42" s="121">
        <f t="shared" si="12"/>
        <v>1748521.786506763</v>
      </c>
      <c r="AL42" s="121">
        <f t="shared" si="12"/>
        <v>1669728.0469261778</v>
      </c>
      <c r="AM42" s="121">
        <f t="shared" si="12"/>
        <v>1590934.3073455926</v>
      </c>
      <c r="AN42" s="121">
        <f t="shared" si="12"/>
        <v>1512140.5677650075</v>
      </c>
      <c r="AO42" s="121">
        <f t="shared" si="12"/>
        <v>1433346.8281844223</v>
      </c>
      <c r="AP42" s="121">
        <f t="shared" si="12"/>
        <v>1354553.0886038374</v>
      </c>
      <c r="AQ42" s="121">
        <f t="shared" si="12"/>
        <v>1275759.3490232523</v>
      </c>
      <c r="AR42" s="121">
        <f t="shared" si="12"/>
        <v>1108847.0395205738</v>
      </c>
      <c r="AS42" s="121">
        <f t="shared" si="12"/>
        <v>65333.587258811174</v>
      </c>
      <c r="AT42" s="121"/>
      <c r="AU42" s="126">
        <f t="shared" si="3"/>
        <v>117398855.3151851</v>
      </c>
    </row>
    <row r="43" spans="1:47" x14ac:dyDescent="0.2">
      <c r="A43" s="432">
        <f t="shared" si="11"/>
        <v>13</v>
      </c>
      <c r="B43" s="21"/>
      <c r="C43" s="21"/>
      <c r="D43" s="445"/>
      <c r="E43" s="107"/>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row>
    <row r="44" spans="1:47" outlineLevel="1" x14ac:dyDescent="0.2">
      <c r="A44" s="432">
        <f t="shared" si="11"/>
        <v>14</v>
      </c>
      <c r="B44" s="21"/>
      <c r="C44" s="21"/>
      <c r="D44" s="445"/>
      <c r="E44" s="62"/>
      <c r="F44" s="445"/>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row>
    <row r="45" spans="1:47" outlineLevel="1" x14ac:dyDescent="0.2">
      <c r="A45" s="432">
        <f t="shared" si="11"/>
        <v>15</v>
      </c>
      <c r="B45" s="21" t="s">
        <v>63</v>
      </c>
      <c r="C45" s="445"/>
      <c r="D45" s="445"/>
      <c r="E45" s="64">
        <f>+E42/$F$22</f>
        <v>0.11507782502224642</v>
      </c>
      <c r="F45" s="122">
        <f t="shared" ref="F45:AS45" si="13">+F42/$F$22</f>
        <v>0.11249472414819917</v>
      </c>
      <c r="G45" s="122">
        <f t="shared" si="13"/>
        <v>0.10939246068117889</v>
      </c>
      <c r="H45" s="122">
        <f t="shared" si="13"/>
        <v>0.10638900131631777</v>
      </c>
      <c r="I45" s="122">
        <f t="shared" si="13"/>
        <v>0.10347694996919321</v>
      </c>
      <c r="J45" s="122">
        <f t="shared" si="13"/>
        <v>0.10064947948495349</v>
      </c>
      <c r="K45" s="122">
        <f t="shared" si="13"/>
        <v>9.7900236816722719E-2</v>
      </c>
      <c r="L45" s="122">
        <f t="shared" si="13"/>
        <v>9.5223343025600843E-2</v>
      </c>
      <c r="M45" s="122">
        <f t="shared" si="13"/>
        <v>9.2586843234018154E-2</v>
      </c>
      <c r="N45" s="122">
        <f t="shared" si="13"/>
        <v>8.9956127559740362E-2</v>
      </c>
      <c r="O45" s="122">
        <f t="shared" si="13"/>
        <v>8.7325411885462584E-2</v>
      </c>
      <c r="P45" s="122">
        <f t="shared" si="13"/>
        <v>8.4694696211184792E-2</v>
      </c>
      <c r="Q45" s="122">
        <f t="shared" si="13"/>
        <v>8.2063980536906986E-2</v>
      </c>
      <c r="R45" s="122">
        <f t="shared" si="13"/>
        <v>7.9433264862629221E-2</v>
      </c>
      <c r="S45" s="122">
        <f t="shared" si="13"/>
        <v>7.6802549188351416E-2</v>
      </c>
      <c r="T45" s="122">
        <f t="shared" si="13"/>
        <v>7.4171833514073637E-2</v>
      </c>
      <c r="U45" s="122">
        <f t="shared" si="13"/>
        <v>7.1541117839795845E-2</v>
      </c>
      <c r="V45" s="122">
        <f t="shared" si="13"/>
        <v>6.8910402165518053E-2</v>
      </c>
      <c r="W45" s="122">
        <f t="shared" si="13"/>
        <v>6.6279686491240261E-2</v>
      </c>
      <c r="X45" s="122">
        <f t="shared" si="13"/>
        <v>6.3648970816962469E-2</v>
      </c>
      <c r="Y45" s="122">
        <f t="shared" si="13"/>
        <v>6.1229802121491948E-2</v>
      </c>
      <c r="Z45" s="122">
        <f t="shared" si="13"/>
        <v>5.9233632562040804E-2</v>
      </c>
      <c r="AA45" s="122">
        <f t="shared" si="13"/>
        <v>5.7449009981396917E-2</v>
      </c>
      <c r="AB45" s="122">
        <f t="shared" si="13"/>
        <v>5.5664387400753031E-2</v>
      </c>
      <c r="AC45" s="122">
        <f t="shared" si="13"/>
        <v>5.3879764820109137E-2</v>
      </c>
      <c r="AD45" s="122">
        <f t="shared" si="13"/>
        <v>5.2095142239465257E-2</v>
      </c>
      <c r="AE45" s="122">
        <f t="shared" si="13"/>
        <v>5.031051965882137E-2</v>
      </c>
      <c r="AF45" s="122">
        <f t="shared" si="13"/>
        <v>4.852589707817747E-2</v>
      </c>
      <c r="AG45" s="122">
        <f t="shared" si="13"/>
        <v>4.6741274497533583E-2</v>
      </c>
      <c r="AH45" s="122">
        <f t="shared" si="13"/>
        <v>4.4956651916889696E-2</v>
      </c>
      <c r="AI45" s="122">
        <f t="shared" si="13"/>
        <v>4.317202933624581E-2</v>
      </c>
      <c r="AJ45" s="122">
        <f t="shared" si="13"/>
        <v>4.138740675560193E-2</v>
      </c>
      <c r="AK45" s="122">
        <f t="shared" si="13"/>
        <v>3.960278417495805E-2</v>
      </c>
      <c r="AL45" s="122">
        <f t="shared" si="13"/>
        <v>3.7818161594314156E-2</v>
      </c>
      <c r="AM45" s="122">
        <f t="shared" si="13"/>
        <v>3.603353901367027E-2</v>
      </c>
      <c r="AN45" s="122">
        <f t="shared" si="13"/>
        <v>3.4248916433026383E-2</v>
      </c>
      <c r="AO45" s="122">
        <f t="shared" si="13"/>
        <v>3.2464293852382489E-2</v>
      </c>
      <c r="AP45" s="122">
        <f t="shared" si="13"/>
        <v>3.0679671271738606E-2</v>
      </c>
      <c r="AQ45" s="122">
        <f t="shared" si="13"/>
        <v>2.8895048691094716E-2</v>
      </c>
      <c r="AR45" s="122">
        <f t="shared" si="13"/>
        <v>2.5114602705011597E-2</v>
      </c>
      <c r="AS45" s="122">
        <f t="shared" si="13"/>
        <v>1.4797596321379782E-3</v>
      </c>
      <c r="AT45" s="122"/>
    </row>
    <row r="46" spans="1:47" outlineLevel="1" x14ac:dyDescent="0.2">
      <c r="A46" s="432">
        <f t="shared" si="11"/>
        <v>16</v>
      </c>
      <c r="B46" s="21"/>
      <c r="C46" s="21"/>
      <c r="D46" s="445"/>
      <c r="E46" s="62"/>
      <c r="F46" s="445"/>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row>
    <row r="47" spans="1:47" outlineLevel="1" x14ac:dyDescent="0.2">
      <c r="A47" s="432">
        <f t="shared" si="11"/>
        <v>17</v>
      </c>
      <c r="B47" s="21"/>
      <c r="C47" s="21"/>
      <c r="D47" s="445"/>
      <c r="E47" s="62">
        <f>+E27/2</f>
        <v>552225.76790253422</v>
      </c>
      <c r="F47" s="120"/>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row>
    <row r="48" spans="1:47" outlineLevel="1" x14ac:dyDescent="0.2">
      <c r="A48" s="432">
        <f t="shared" si="11"/>
        <v>18</v>
      </c>
      <c r="B48" s="21"/>
      <c r="C48" s="21"/>
      <c r="D48" s="445"/>
      <c r="E48" s="62">
        <f>+E60/2</f>
        <v>57879.066401092343</v>
      </c>
      <c r="F48" s="120"/>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row>
    <row r="49" spans="1:47" x14ac:dyDescent="0.2">
      <c r="A49" s="432">
        <f t="shared" si="11"/>
        <v>19</v>
      </c>
      <c r="B49" s="65" t="s">
        <v>64</v>
      </c>
      <c r="C49" s="21"/>
      <c r="D49" s="445"/>
      <c r="E49" s="60">
        <f>F22-E27/2-E60/2</f>
        <v>43541381.555696256</v>
      </c>
      <c r="F49" s="138">
        <f>$F$22-(SUM($E$27:E27)+F27/2)-(SUM($E$60:E60)+F60/2)</f>
        <v>42160352.305487752</v>
      </c>
      <c r="G49" s="138">
        <f>$F$22-(SUM($E$27:F27)+G27/2)-(SUM($E$60:F60)+G60/2)</f>
        <v>40643630.084582537</v>
      </c>
      <c r="H49" s="138">
        <f>$F$22-(SUM($E$27:G27)+H27/2)-(SUM($E$60:G60)+H60/2)</f>
        <v>39175214.004936621</v>
      </c>
      <c r="I49" s="138">
        <f>$F$22-(SUM($E$27:H27)+I27/2)-(SUM($E$60:H60)+I60/2)</f>
        <v>37751488.059814662</v>
      </c>
      <c r="J49" s="138">
        <f>$F$22-(SUM($E$27:I27)+J27/2)-(SUM($E$60:I60)+J60/2)</f>
        <v>36369114.396845579</v>
      </c>
      <c r="K49" s="138">
        <f>$F$22-(SUM($E$27:J27)+K27/2)-(SUM($E$60:J60)+K60/2)</f>
        <v>35024986.95896183</v>
      </c>
      <c r="L49" s="138">
        <f>$F$22-(SUM($E$27:K27)+L27/2)-(SUM($E$60:K60)+L60/2)</f>
        <v>33716231.48439943</v>
      </c>
      <c r="M49" s="138">
        <f>$F$22-(SUM($E$27:L27)+M27/2)-(SUM($E$60:L60)+M60/2)</f>
        <v>32427224.969699278</v>
      </c>
      <c r="N49" s="138">
        <f>$F$22-(SUM($E$27:M27)+N27/2)-(SUM($E$60:M60)+N60/2)</f>
        <v>31141046.357702408</v>
      </c>
      <c r="O49" s="138">
        <f>$F$22-(SUM($E$27:N27)+O27/2)-(SUM($E$60:N60)+O60/2)</f>
        <v>29854867.745705537</v>
      </c>
      <c r="P49" s="138">
        <f>$F$22-(SUM($E$27:O27)+P27/2)-(SUM($E$60:O60)+P60/2)</f>
        <v>28568689.133708663</v>
      </c>
      <c r="Q49" s="138">
        <f>$F$22-(SUM($E$27:P27)+Q27/2)-(SUM($E$60:P60)+Q60/2)</f>
        <v>27282510.521711793</v>
      </c>
      <c r="R49" s="138">
        <f>$F$22-(SUM($E$27:Q27)+R27/2)-(SUM($E$60:Q60)+R60/2)</f>
        <v>25996331.909714922</v>
      </c>
      <c r="S49" s="138">
        <f>$F$22-(SUM($E$27:R27)+S27/2)-(SUM($E$60:R60)+S60/2)</f>
        <v>24710153.297718048</v>
      </c>
      <c r="T49" s="138">
        <f>$F$22-(SUM($E$27:S27)+T27/2)-(SUM($E$60:S60)+T60/2)</f>
        <v>23423974.685721178</v>
      </c>
      <c r="U49" s="138">
        <f>$F$22-(SUM($E$27:T27)+U27/2)-(SUM($E$60:T60)+U60/2)</f>
        <v>22137796.073724307</v>
      </c>
      <c r="V49" s="138">
        <f>$F$22-(SUM($E$27:U27)+V27/2)-(SUM($E$60:U60)+V60/2)</f>
        <v>20851617.461727433</v>
      </c>
      <c r="W49" s="138">
        <f>$F$22-(SUM($E$27:V27)+W27/2)-(SUM($E$60:V60)+W60/2)</f>
        <v>19565438.849730562</v>
      </c>
      <c r="X49" s="138">
        <f>$F$22-(SUM($E$27:W27)+X27/2)-(SUM($E$60:W60)+X60/2)</f>
        <v>18279260.237733692</v>
      </c>
      <c r="Y49" s="138">
        <f>$F$22-(SUM($E$27:X27)+Y27/2)-(SUM($E$60:X60)+Y60/2)</f>
        <v>17096508.690179713</v>
      </c>
      <c r="Z49" s="138">
        <f>$F$22-(SUM($E$27:Y27)+Z27/2)-(SUM($E$60:Y60)+Z60/2)</f>
        <v>16120564.912450813</v>
      </c>
      <c r="AA49" s="138">
        <f>$F$22-(SUM($E$27:Z27)+AA27/2)-(SUM($E$60:Z60)+AA60/2)</f>
        <v>15248048.19916481</v>
      </c>
      <c r="AB49" s="138">
        <f>$F$22-(SUM($E$27:AA27)+AB27/2)-(SUM($E$60:AA60)+AB60/2)</f>
        <v>14375531.485878805</v>
      </c>
      <c r="AC49" s="138">
        <f>$F$22-(SUM($E$27:AB27)+AC27/2)-(SUM($E$60:AB60)+AC60/2)</f>
        <v>13503014.7725928</v>
      </c>
      <c r="AD49" s="138">
        <f>$F$22-(SUM($E$27:AC27)+AD27/2)-(SUM($E$60:AC60)+AD60/2)</f>
        <v>12630498.059306797</v>
      </c>
      <c r="AE49" s="138">
        <f>$F$22-(SUM($E$27:AD27)+AE27/2)-(SUM($E$60:AD60)+AE60/2)</f>
        <v>11757981.346020792</v>
      </c>
      <c r="AF49" s="138">
        <f>$F$22-(SUM($E$27:AE27)+AF27/2)-(SUM($E$60:AE60)+AF60/2)</f>
        <v>10885464.632734787</v>
      </c>
      <c r="AG49" s="138">
        <f>$F$22-(SUM($E$27:AF27)+AG27/2)-(SUM($E$60:AF60)+AG60/2)</f>
        <v>10012947.919448782</v>
      </c>
      <c r="AH49" s="138">
        <f>$F$22-(SUM($E$27:AG27)+AH27/2)-(SUM($E$60:AG60)+AH60/2)</f>
        <v>9140431.2061627768</v>
      </c>
      <c r="AI49" s="138">
        <f>$F$22-(SUM($E$27:AH27)+AI27/2)-(SUM($E$60:AH60)+AI60/2)</f>
        <v>8267914.4928767737</v>
      </c>
      <c r="AJ49" s="138">
        <f>$F$22-(SUM($E$27:AI27)+AJ27/2)-(SUM($E$60:AI60)+AJ60/2)</f>
        <v>7395397.7795907762</v>
      </c>
      <c r="AK49" s="138">
        <f>$F$22-(SUM($E$27:AJ27)+AK27/2)-(SUM($E$60:AJ60)+AK60/2)</f>
        <v>6522881.0663047722</v>
      </c>
      <c r="AL49" s="138">
        <f>$F$22-(SUM($E$27:AK27)+AL27/2)-(SUM($E$60:AK60)+AL60/2)</f>
        <v>5650364.3530187672</v>
      </c>
      <c r="AM49" s="138">
        <f>$F$22-(SUM($E$27:AL27)+AM27/2)-(SUM($E$60:AL60)+AM60/2)</f>
        <v>4777847.6397327632</v>
      </c>
      <c r="AN49" s="138">
        <f>$F$22-(SUM($E$27:AM27)+AN27/2)-(SUM($E$60:AM60)+AN60/2)</f>
        <v>3905330.9264467582</v>
      </c>
      <c r="AO49" s="138">
        <f>$F$22-(SUM($E$27:AN27)+AO27/2)-(SUM($E$60:AN60)+AO60/2)</f>
        <v>3032814.2131607542</v>
      </c>
      <c r="AP49" s="138">
        <f>$F$22-(SUM($E$27:AO27)+AP27/2)-(SUM($E$60:AO60)+AP60/2)</f>
        <v>2160297.4998747492</v>
      </c>
      <c r="AQ49" s="138">
        <f>$F$22-(SUM($E$27:AP27)+AQ27/2)-(SUM($E$60:AP60)+AQ60/2)</f>
        <v>1287780.7865887447</v>
      </c>
      <c r="AR49" s="138">
        <f>$F$22-(SUM($E$27:AQ27)+AR27/2)-(SUM($E$60:AQ60)+AR60/2)</f>
        <v>449585.62330274034</v>
      </c>
      <c r="AS49" s="138">
        <f>$F$22-(SUM($E$27:AR27)+AS27/2)-(SUM($E$60:AR60)+AS60/2)</f>
        <v>23824.407459737602</v>
      </c>
      <c r="AT49" s="138"/>
      <c r="AU49" s="126"/>
    </row>
    <row r="50" spans="1:47" x14ac:dyDescent="0.2">
      <c r="A50" s="432">
        <f t="shared" si="11"/>
        <v>20</v>
      </c>
      <c r="B50" s="21"/>
      <c r="C50" s="21"/>
      <c r="D50" s="445"/>
      <c r="E50" s="108"/>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6">
        <f t="shared" ref="AU50:AU60" si="14">SUM(D50:AT50)</f>
        <v>0</v>
      </c>
    </row>
    <row r="51" spans="1:47" x14ac:dyDescent="0.2">
      <c r="A51" s="432">
        <f t="shared" si="11"/>
        <v>21</v>
      </c>
      <c r="B51" s="21"/>
      <c r="C51" s="21"/>
      <c r="D51" s="445"/>
      <c r="E51" s="57"/>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6">
        <f t="shared" si="14"/>
        <v>0</v>
      </c>
    </row>
    <row r="52" spans="1:47" x14ac:dyDescent="0.2">
      <c r="A52" s="432">
        <f t="shared" si="11"/>
        <v>22</v>
      </c>
      <c r="B52" s="21" t="s">
        <v>65</v>
      </c>
      <c r="C52" s="21"/>
      <c r="D52" s="445"/>
      <c r="E52" s="57">
        <f>(E34)/(1-$F$15)</f>
        <v>2513274.6822022144</v>
      </c>
      <c r="F52" s="123">
        <f t="shared" ref="F52:AS52" si="15">(F34)/(1-$F$15)</f>
        <v>2433559.5761142294</v>
      </c>
      <c r="G52" s="123">
        <f t="shared" si="15"/>
        <v>2346012.0656417264</v>
      </c>
      <c r="H52" s="123">
        <f t="shared" si="15"/>
        <v>2261252.8590191263</v>
      </c>
      <c r="I52" s="123">
        <f t="shared" si="15"/>
        <v>2179073.234844998</v>
      </c>
      <c r="J52" s="123">
        <f t="shared" si="15"/>
        <v>2099280.5272103273</v>
      </c>
      <c r="K52" s="123">
        <f t="shared" si="15"/>
        <v>2021695.4497831133</v>
      </c>
      <c r="L52" s="123">
        <f t="shared" si="15"/>
        <v>1946152.0958083721</v>
      </c>
      <c r="M52" s="123">
        <f t="shared" si="15"/>
        <v>1871748.6817953002</v>
      </c>
      <c r="N52" s="123">
        <f t="shared" si="15"/>
        <v>1797508.4986218098</v>
      </c>
      <c r="O52" s="123">
        <f t="shared" si="15"/>
        <v>1723268.3154483195</v>
      </c>
      <c r="P52" s="123">
        <f t="shared" si="15"/>
        <v>1649028.1322748291</v>
      </c>
      <c r="Q52" s="123">
        <f t="shared" si="15"/>
        <v>1574787.9491013389</v>
      </c>
      <c r="R52" s="123">
        <f t="shared" si="15"/>
        <v>1500547.7659278486</v>
      </c>
      <c r="S52" s="123">
        <f t="shared" si="15"/>
        <v>1426307.5827543582</v>
      </c>
      <c r="T52" s="123">
        <f t="shared" si="15"/>
        <v>1352067.399580868</v>
      </c>
      <c r="U52" s="123">
        <f t="shared" si="15"/>
        <v>1277827.2164073777</v>
      </c>
      <c r="V52" s="123">
        <f t="shared" si="15"/>
        <v>1203587.0332338873</v>
      </c>
      <c r="W52" s="123">
        <f t="shared" si="15"/>
        <v>1129346.8500603971</v>
      </c>
      <c r="X52" s="123">
        <f t="shared" si="15"/>
        <v>1055106.6668869068</v>
      </c>
      <c r="Y52" s="123">
        <f t="shared" si="15"/>
        <v>986836.45097746188</v>
      </c>
      <c r="Z52" s="123">
        <f t="shared" si="15"/>
        <v>930503.4936807052</v>
      </c>
      <c r="AA52" s="123">
        <f t="shared" si="15"/>
        <v>880140.50364799402</v>
      </c>
      <c r="AB52" s="123">
        <f t="shared" si="15"/>
        <v>829777.51361528283</v>
      </c>
      <c r="AC52" s="123">
        <f t="shared" si="15"/>
        <v>779414.52358257177</v>
      </c>
      <c r="AD52" s="123">
        <f t="shared" si="15"/>
        <v>729051.5335498607</v>
      </c>
      <c r="AE52" s="123">
        <f t="shared" si="15"/>
        <v>678688.5435171494</v>
      </c>
      <c r="AF52" s="123">
        <f t="shared" si="15"/>
        <v>628325.55348443834</v>
      </c>
      <c r="AG52" s="123">
        <f t="shared" si="15"/>
        <v>577962.56345172715</v>
      </c>
      <c r="AH52" s="123">
        <f t="shared" si="15"/>
        <v>527599.57341901597</v>
      </c>
      <c r="AI52" s="123">
        <f t="shared" si="15"/>
        <v>477236.5833863049</v>
      </c>
      <c r="AJ52" s="123">
        <f t="shared" si="15"/>
        <v>426873.59335359413</v>
      </c>
      <c r="AK52" s="123">
        <f t="shared" si="15"/>
        <v>376510.60332088306</v>
      </c>
      <c r="AL52" s="123">
        <f t="shared" si="15"/>
        <v>326147.61328817188</v>
      </c>
      <c r="AM52" s="123">
        <f t="shared" si="15"/>
        <v>275784.62325546076</v>
      </c>
      <c r="AN52" s="123">
        <f t="shared" si="15"/>
        <v>225421.6332227496</v>
      </c>
      <c r="AO52" s="123">
        <f t="shared" si="15"/>
        <v>175058.64319003848</v>
      </c>
      <c r="AP52" s="123">
        <f t="shared" si="15"/>
        <v>124695.6531573273</v>
      </c>
      <c r="AQ52" s="123">
        <f t="shared" si="15"/>
        <v>74332.663124616156</v>
      </c>
      <c r="AR52" s="123">
        <f t="shared" si="15"/>
        <v>25950.76509190501</v>
      </c>
      <c r="AS52" s="123">
        <f t="shared" si="15"/>
        <v>1375.1809875494109</v>
      </c>
      <c r="AT52" s="123"/>
      <c r="AU52" s="126"/>
    </row>
    <row r="53" spans="1:47" x14ac:dyDescent="0.2">
      <c r="A53" s="432">
        <f t="shared" si="11"/>
        <v>23</v>
      </c>
      <c r="B53" s="21" t="s">
        <v>66</v>
      </c>
      <c r="C53" s="21"/>
      <c r="D53" s="445"/>
      <c r="E53" s="59">
        <f t="shared" ref="E53:AS53" si="16">E52*$F15</f>
        <v>527787.68326246506</v>
      </c>
      <c r="F53" s="121">
        <f t="shared" si="16"/>
        <v>511047.51098398818</v>
      </c>
      <c r="G53" s="121">
        <f t="shared" si="16"/>
        <v>492662.53378476249</v>
      </c>
      <c r="H53" s="121">
        <f t="shared" si="16"/>
        <v>474863.10039401648</v>
      </c>
      <c r="I53" s="121">
        <f t="shared" si="16"/>
        <v>457605.37931744958</v>
      </c>
      <c r="J53" s="121">
        <f t="shared" si="16"/>
        <v>440848.91071416874</v>
      </c>
      <c r="K53" s="121">
        <f t="shared" si="16"/>
        <v>424556.0444544538</v>
      </c>
      <c r="L53" s="121">
        <f t="shared" si="16"/>
        <v>408691.94011975813</v>
      </c>
      <c r="M53" s="121">
        <f t="shared" si="16"/>
        <v>393067.22317701305</v>
      </c>
      <c r="N53" s="121">
        <f t="shared" si="16"/>
        <v>377476.78471058002</v>
      </c>
      <c r="O53" s="121">
        <f t="shared" si="16"/>
        <v>361886.34624414711</v>
      </c>
      <c r="P53" s="121">
        <f t="shared" si="16"/>
        <v>346295.90777771408</v>
      </c>
      <c r="Q53" s="121">
        <f t="shared" si="16"/>
        <v>330705.46931128117</v>
      </c>
      <c r="R53" s="121">
        <f t="shared" si="16"/>
        <v>315115.0308448482</v>
      </c>
      <c r="S53" s="121">
        <f t="shared" si="16"/>
        <v>299524.59237841523</v>
      </c>
      <c r="T53" s="121">
        <f t="shared" si="16"/>
        <v>283934.15391198226</v>
      </c>
      <c r="U53" s="121">
        <f t="shared" si="16"/>
        <v>268343.71544554934</v>
      </c>
      <c r="V53" s="121">
        <f t="shared" si="16"/>
        <v>252753.27697911632</v>
      </c>
      <c r="W53" s="121">
        <f t="shared" si="16"/>
        <v>237162.83851268337</v>
      </c>
      <c r="X53" s="121">
        <f t="shared" si="16"/>
        <v>221572.40004625043</v>
      </c>
      <c r="Y53" s="121">
        <f t="shared" si="16"/>
        <v>207235.65470526699</v>
      </c>
      <c r="Z53" s="121">
        <f t="shared" si="16"/>
        <v>195405.73367294809</v>
      </c>
      <c r="AA53" s="121">
        <f t="shared" si="16"/>
        <v>184829.50576607874</v>
      </c>
      <c r="AB53" s="121">
        <f t="shared" si="16"/>
        <v>174253.2778592094</v>
      </c>
      <c r="AC53" s="121">
        <f t="shared" si="16"/>
        <v>163677.04995234008</v>
      </c>
      <c r="AD53" s="121">
        <f t="shared" si="16"/>
        <v>153100.82204547073</v>
      </c>
      <c r="AE53" s="121">
        <f t="shared" si="16"/>
        <v>142524.59413860136</v>
      </c>
      <c r="AF53" s="121">
        <f t="shared" si="16"/>
        <v>131948.36623173204</v>
      </c>
      <c r="AG53" s="121">
        <f t="shared" si="16"/>
        <v>121372.1383248627</v>
      </c>
      <c r="AH53" s="121">
        <f t="shared" si="16"/>
        <v>110795.91041799335</v>
      </c>
      <c r="AI53" s="121">
        <f t="shared" si="16"/>
        <v>100219.68251112403</v>
      </c>
      <c r="AJ53" s="121">
        <f t="shared" si="16"/>
        <v>89643.454604254759</v>
      </c>
      <c r="AK53" s="121">
        <f t="shared" si="16"/>
        <v>79067.226697385442</v>
      </c>
      <c r="AL53" s="121">
        <f t="shared" si="16"/>
        <v>68490.998790516096</v>
      </c>
      <c r="AM53" s="121">
        <f t="shared" si="16"/>
        <v>57914.770883646757</v>
      </c>
      <c r="AN53" s="121">
        <f t="shared" si="16"/>
        <v>47338.542976777411</v>
      </c>
      <c r="AO53" s="121">
        <f t="shared" si="16"/>
        <v>36762.31506990808</v>
      </c>
      <c r="AP53" s="121">
        <f t="shared" si="16"/>
        <v>26186.08716303873</v>
      </c>
      <c r="AQ53" s="121">
        <f t="shared" si="16"/>
        <v>15609.859256169391</v>
      </c>
      <c r="AR53" s="121">
        <f t="shared" si="16"/>
        <v>5449.6606693000522</v>
      </c>
      <c r="AS53" s="121">
        <f t="shared" si="16"/>
        <v>288.78800738537626</v>
      </c>
      <c r="AT53" s="121"/>
      <c r="AU53" s="126"/>
    </row>
    <row r="54" spans="1:47" x14ac:dyDescent="0.2">
      <c r="A54" s="432">
        <f t="shared" si="11"/>
        <v>24</v>
      </c>
      <c r="B54" s="21" t="s">
        <v>67</v>
      </c>
      <c r="C54" s="21"/>
      <c r="D54" s="445"/>
      <c r="E54" s="57">
        <f>E52-E53</f>
        <v>1985486.9989397493</v>
      </c>
      <c r="F54" s="123">
        <f t="shared" ref="F54:AS54" si="17">F52-F53</f>
        <v>1922512.0651302412</v>
      </c>
      <c r="G54" s="123">
        <f t="shared" si="17"/>
        <v>1853349.5318569639</v>
      </c>
      <c r="H54" s="123">
        <f t="shared" si="17"/>
        <v>1786389.7586251097</v>
      </c>
      <c r="I54" s="123">
        <f t="shared" si="17"/>
        <v>1721467.8555275484</v>
      </c>
      <c r="J54" s="123">
        <f t="shared" si="17"/>
        <v>1658431.6164961585</v>
      </c>
      <c r="K54" s="123">
        <f t="shared" si="17"/>
        <v>1597139.4053286596</v>
      </c>
      <c r="L54" s="123">
        <f t="shared" si="17"/>
        <v>1537460.1556886141</v>
      </c>
      <c r="M54" s="123">
        <f t="shared" si="17"/>
        <v>1478681.4586182872</v>
      </c>
      <c r="N54" s="123">
        <f t="shared" si="17"/>
        <v>1420031.7139112297</v>
      </c>
      <c r="O54" s="123">
        <f t="shared" si="17"/>
        <v>1361381.9692041725</v>
      </c>
      <c r="P54" s="123">
        <f t="shared" si="17"/>
        <v>1302732.224497115</v>
      </c>
      <c r="Q54" s="123">
        <f t="shared" si="17"/>
        <v>1244082.4797900578</v>
      </c>
      <c r="R54" s="123">
        <f t="shared" si="17"/>
        <v>1185432.7350830005</v>
      </c>
      <c r="S54" s="123">
        <f t="shared" si="17"/>
        <v>1126782.990375943</v>
      </c>
      <c r="T54" s="123">
        <f t="shared" si="17"/>
        <v>1068133.2456688858</v>
      </c>
      <c r="U54" s="123">
        <f t="shared" si="17"/>
        <v>1009483.5009618284</v>
      </c>
      <c r="V54" s="123">
        <f t="shared" si="17"/>
        <v>950833.75625477103</v>
      </c>
      <c r="W54" s="123">
        <f t="shared" si="17"/>
        <v>892184.01154771366</v>
      </c>
      <c r="X54" s="123">
        <f t="shared" si="17"/>
        <v>833534.2668406564</v>
      </c>
      <c r="Y54" s="123">
        <f t="shared" si="17"/>
        <v>779600.79627219494</v>
      </c>
      <c r="Z54" s="123">
        <f t="shared" si="17"/>
        <v>735097.76000775711</v>
      </c>
      <c r="AA54" s="123">
        <f t="shared" si="17"/>
        <v>695310.9978819153</v>
      </c>
      <c r="AB54" s="123">
        <f t="shared" si="17"/>
        <v>655524.23575607338</v>
      </c>
      <c r="AC54" s="123">
        <f t="shared" si="17"/>
        <v>615737.47363023169</v>
      </c>
      <c r="AD54" s="123">
        <f t="shared" si="17"/>
        <v>575950.71150439</v>
      </c>
      <c r="AE54" s="123">
        <f t="shared" si="17"/>
        <v>536163.94937854807</v>
      </c>
      <c r="AF54" s="123">
        <f t="shared" si="17"/>
        <v>496377.18725270627</v>
      </c>
      <c r="AG54" s="123">
        <f t="shared" si="17"/>
        <v>456590.42512686446</v>
      </c>
      <c r="AH54" s="123">
        <f t="shared" si="17"/>
        <v>416803.66300102265</v>
      </c>
      <c r="AI54" s="123">
        <f t="shared" si="17"/>
        <v>377016.90087518084</v>
      </c>
      <c r="AJ54" s="123">
        <f t="shared" si="17"/>
        <v>337230.13874933938</v>
      </c>
      <c r="AK54" s="123">
        <f t="shared" si="17"/>
        <v>297443.37662349764</v>
      </c>
      <c r="AL54" s="123">
        <f t="shared" si="17"/>
        <v>257656.61449765577</v>
      </c>
      <c r="AM54" s="123">
        <f t="shared" si="17"/>
        <v>217869.85237181399</v>
      </c>
      <c r="AN54" s="123">
        <f t="shared" si="17"/>
        <v>178083.09024597218</v>
      </c>
      <c r="AO54" s="123">
        <f t="shared" si="17"/>
        <v>138296.32812013041</v>
      </c>
      <c r="AP54" s="123">
        <f t="shared" si="17"/>
        <v>98509.565994288569</v>
      </c>
      <c r="AQ54" s="123">
        <f t="shared" si="17"/>
        <v>58722.803868446761</v>
      </c>
      <c r="AR54" s="123">
        <f t="shared" si="17"/>
        <v>20501.104422604956</v>
      </c>
      <c r="AS54" s="123">
        <f t="shared" si="17"/>
        <v>1086.3929801640347</v>
      </c>
      <c r="AT54" s="123"/>
      <c r="AU54" s="126"/>
    </row>
    <row r="55" spans="1:47" x14ac:dyDescent="0.2">
      <c r="A55" s="432">
        <f t="shared" si="11"/>
        <v>25</v>
      </c>
      <c r="B55" s="21"/>
      <c r="C55" s="21"/>
      <c r="D55" s="445"/>
      <c r="E55" s="448"/>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126">
        <f t="shared" si="14"/>
        <v>0</v>
      </c>
    </row>
    <row r="56" spans="1:47" x14ac:dyDescent="0.2">
      <c r="A56" s="432">
        <f t="shared" si="11"/>
        <v>26</v>
      </c>
      <c r="B56" s="21"/>
      <c r="C56" s="21"/>
      <c r="D56" s="445"/>
      <c r="E56" s="108"/>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126">
        <f t="shared" si="14"/>
        <v>0</v>
      </c>
    </row>
    <row r="57" spans="1:47" x14ac:dyDescent="0.2">
      <c r="A57" s="432">
        <f t="shared" si="11"/>
        <v>27</v>
      </c>
      <c r="B57" s="21" t="s">
        <v>68</v>
      </c>
      <c r="C57" s="21"/>
      <c r="D57" s="445"/>
      <c r="E57" s="57">
        <f>E27+E28</f>
        <v>1104451.5358050684</v>
      </c>
      <c r="F57" s="123">
        <f>F27</f>
        <v>1104451.5358050684</v>
      </c>
      <c r="G57" s="123">
        <f>G27</f>
        <v>1104451.5358050684</v>
      </c>
      <c r="H57" s="123">
        <f t="shared" ref="H57:AS57" si="18">H27</f>
        <v>1104451.5358050684</v>
      </c>
      <c r="I57" s="123">
        <f t="shared" si="18"/>
        <v>1104451.5358050684</v>
      </c>
      <c r="J57" s="123">
        <f t="shared" si="18"/>
        <v>1104451.5358050684</v>
      </c>
      <c r="K57" s="123">
        <f t="shared" si="18"/>
        <v>1104451.5358050684</v>
      </c>
      <c r="L57" s="123">
        <f t="shared" si="18"/>
        <v>1104451.5358050684</v>
      </c>
      <c r="M57" s="123">
        <f t="shared" si="18"/>
        <v>1104451.5358050684</v>
      </c>
      <c r="N57" s="123">
        <f t="shared" si="18"/>
        <v>1104451.5358050684</v>
      </c>
      <c r="O57" s="123">
        <f t="shared" si="18"/>
        <v>1104451.5358050684</v>
      </c>
      <c r="P57" s="123">
        <f t="shared" si="18"/>
        <v>1104451.5358050684</v>
      </c>
      <c r="Q57" s="123">
        <f t="shared" si="18"/>
        <v>1104451.5358050684</v>
      </c>
      <c r="R57" s="123">
        <f t="shared" si="18"/>
        <v>1104451.5358050684</v>
      </c>
      <c r="S57" s="123">
        <f t="shared" si="18"/>
        <v>1104451.5358050684</v>
      </c>
      <c r="T57" s="123">
        <f t="shared" si="18"/>
        <v>1104451.5358050684</v>
      </c>
      <c r="U57" s="123">
        <f t="shared" si="18"/>
        <v>1104451.5358050684</v>
      </c>
      <c r="V57" s="123">
        <f t="shared" si="18"/>
        <v>1104451.5358050684</v>
      </c>
      <c r="W57" s="123">
        <f t="shared" si="18"/>
        <v>1104451.5358050684</v>
      </c>
      <c r="X57" s="123">
        <f t="shared" si="18"/>
        <v>1104451.5358050684</v>
      </c>
      <c r="Y57" s="123">
        <f t="shared" si="18"/>
        <v>1104451.5358050684</v>
      </c>
      <c r="Z57" s="123">
        <f t="shared" si="18"/>
        <v>1104451.5358050684</v>
      </c>
      <c r="AA57" s="123">
        <f t="shared" si="18"/>
        <v>1104451.5358050684</v>
      </c>
      <c r="AB57" s="123">
        <f t="shared" si="18"/>
        <v>1104451.5358050684</v>
      </c>
      <c r="AC57" s="123">
        <f t="shared" si="18"/>
        <v>1104451.5358050684</v>
      </c>
      <c r="AD57" s="123">
        <f t="shared" si="18"/>
        <v>1104451.5358050684</v>
      </c>
      <c r="AE57" s="123">
        <f t="shared" si="18"/>
        <v>1104451.5358050684</v>
      </c>
      <c r="AF57" s="123">
        <f t="shared" si="18"/>
        <v>1104451.5358050684</v>
      </c>
      <c r="AG57" s="123">
        <f t="shared" si="18"/>
        <v>1104451.5358050684</v>
      </c>
      <c r="AH57" s="123">
        <f t="shared" si="18"/>
        <v>1104451.5358050684</v>
      </c>
      <c r="AI57" s="123">
        <f t="shared" si="18"/>
        <v>1104451.5358050684</v>
      </c>
      <c r="AJ57" s="123">
        <f t="shared" si="18"/>
        <v>1104451.5358050684</v>
      </c>
      <c r="AK57" s="123">
        <f t="shared" si="18"/>
        <v>1104451.5358050684</v>
      </c>
      <c r="AL57" s="123">
        <f t="shared" si="18"/>
        <v>1104451.5358050684</v>
      </c>
      <c r="AM57" s="123">
        <f t="shared" si="18"/>
        <v>1104451.5358050684</v>
      </c>
      <c r="AN57" s="123">
        <f t="shared" si="18"/>
        <v>1104451.5358050684</v>
      </c>
      <c r="AO57" s="123">
        <f t="shared" si="18"/>
        <v>1104451.5358050684</v>
      </c>
      <c r="AP57" s="123">
        <f t="shared" si="18"/>
        <v>1104451.5358050684</v>
      </c>
      <c r="AQ57" s="123">
        <f t="shared" si="18"/>
        <v>1104451.5358050684</v>
      </c>
      <c r="AR57" s="123">
        <f t="shared" si="18"/>
        <v>1017561.5358050684</v>
      </c>
      <c r="AS57" s="123">
        <f t="shared" si="18"/>
        <v>60314.96</v>
      </c>
      <c r="AT57" s="123"/>
      <c r="AU57" s="126">
        <f t="shared" si="14"/>
        <v>44151486.39220275</v>
      </c>
    </row>
    <row r="58" spans="1:47" x14ac:dyDescent="0.2">
      <c r="A58" s="432">
        <f t="shared" si="11"/>
        <v>28</v>
      </c>
      <c r="B58" s="21" t="s">
        <v>69</v>
      </c>
      <c r="C58" s="21"/>
      <c r="D58" s="445"/>
      <c r="E58" s="57">
        <f>$F22*E62</f>
        <v>1655680.7396249955</v>
      </c>
      <c r="F58" s="123">
        <f t="shared" ref="F58:AS58" si="19">$F22*F62</f>
        <v>3187295.8024940914</v>
      </c>
      <c r="G58" s="123">
        <f t="shared" si="19"/>
        <v>2947994.7462602919</v>
      </c>
      <c r="H58" s="123">
        <f t="shared" si="19"/>
        <v>2727237.3143102927</v>
      </c>
      <c r="I58" s="123">
        <f t="shared" si="19"/>
        <v>2522374.417460693</v>
      </c>
      <c r="J58" s="123">
        <f t="shared" si="19"/>
        <v>2333406.0557114938</v>
      </c>
      <c r="K58" s="123">
        <f t="shared" si="19"/>
        <v>2158124.6547431941</v>
      </c>
      <c r="L58" s="123">
        <f t="shared" si="19"/>
        <v>1996530.2145557948</v>
      </c>
      <c r="M58" s="123">
        <f t="shared" si="19"/>
        <v>1970039.3227217947</v>
      </c>
      <c r="N58" s="123">
        <f t="shared" si="19"/>
        <v>1969597.8078578948</v>
      </c>
      <c r="O58" s="123">
        <f t="shared" si="19"/>
        <v>1970039.3227217947</v>
      </c>
      <c r="P58" s="123">
        <f t="shared" si="19"/>
        <v>1969597.8078578948</v>
      </c>
      <c r="Q58" s="123">
        <f t="shared" si="19"/>
        <v>1970039.3227217947</v>
      </c>
      <c r="R58" s="123">
        <f t="shared" si="19"/>
        <v>1969597.8078578948</v>
      </c>
      <c r="S58" s="123">
        <f t="shared" si="19"/>
        <v>1970039.3227217947</v>
      </c>
      <c r="T58" s="123">
        <f t="shared" si="19"/>
        <v>1969597.8078578948</v>
      </c>
      <c r="U58" s="123">
        <f t="shared" si="19"/>
        <v>1970039.3227217947</v>
      </c>
      <c r="V58" s="123">
        <f t="shared" si="19"/>
        <v>1969597.8078578948</v>
      </c>
      <c r="W58" s="123">
        <f t="shared" si="19"/>
        <v>1970039.3227217947</v>
      </c>
      <c r="X58" s="123">
        <f t="shared" si="19"/>
        <v>1969597.8078578948</v>
      </c>
      <c r="Y58" s="123">
        <f t="shared" si="19"/>
        <v>985019.66136089736</v>
      </c>
      <c r="Z58" s="123">
        <f t="shared" si="19"/>
        <v>0</v>
      </c>
      <c r="AA58" s="123">
        <f t="shared" si="19"/>
        <v>0</v>
      </c>
      <c r="AB58" s="123">
        <f t="shared" si="19"/>
        <v>0</v>
      </c>
      <c r="AC58" s="123">
        <f t="shared" si="19"/>
        <v>0</v>
      </c>
      <c r="AD58" s="123">
        <f t="shared" si="19"/>
        <v>0</v>
      </c>
      <c r="AE58" s="123">
        <f t="shared" si="19"/>
        <v>0</v>
      </c>
      <c r="AF58" s="123">
        <f t="shared" si="19"/>
        <v>0</v>
      </c>
      <c r="AG58" s="123">
        <f t="shared" si="19"/>
        <v>0</v>
      </c>
      <c r="AH58" s="123">
        <f t="shared" si="19"/>
        <v>0</v>
      </c>
      <c r="AI58" s="123">
        <f t="shared" si="19"/>
        <v>0</v>
      </c>
      <c r="AJ58" s="123">
        <f t="shared" si="19"/>
        <v>0</v>
      </c>
      <c r="AK58" s="123">
        <f t="shared" si="19"/>
        <v>0</v>
      </c>
      <c r="AL58" s="123">
        <f t="shared" si="19"/>
        <v>0</v>
      </c>
      <c r="AM58" s="123">
        <f t="shared" si="19"/>
        <v>0</v>
      </c>
      <c r="AN58" s="123">
        <f t="shared" si="19"/>
        <v>0</v>
      </c>
      <c r="AO58" s="123">
        <f t="shared" si="19"/>
        <v>0</v>
      </c>
      <c r="AP58" s="123">
        <f t="shared" si="19"/>
        <v>0</v>
      </c>
      <c r="AQ58" s="123">
        <f t="shared" si="19"/>
        <v>0</v>
      </c>
      <c r="AR58" s="123">
        <f t="shared" si="19"/>
        <v>0</v>
      </c>
      <c r="AS58" s="123">
        <f t="shared" si="19"/>
        <v>0</v>
      </c>
      <c r="AT58" s="123"/>
      <c r="AU58" s="126">
        <f t="shared" si="14"/>
        <v>44151486.389999874</v>
      </c>
    </row>
    <row r="59" spans="1:47" x14ac:dyDescent="0.2">
      <c r="A59" s="432">
        <f t="shared" si="11"/>
        <v>29</v>
      </c>
      <c r="B59" s="21" t="s">
        <v>70</v>
      </c>
      <c r="C59" s="21"/>
      <c r="D59" s="445"/>
      <c r="E59" s="57">
        <f>E58-E57</f>
        <v>551229.20381992706</v>
      </c>
      <c r="F59" s="123">
        <f>F58-F57</f>
        <v>2082844.266689023</v>
      </c>
      <c r="G59" s="123">
        <f>G58-G57</f>
        <v>1843543.2104552235</v>
      </c>
      <c r="H59" s="123">
        <f t="shared" ref="H59:AS59" si="20">H58-H57</f>
        <v>1622785.7785052243</v>
      </c>
      <c r="I59" s="123">
        <f t="shared" si="20"/>
        <v>1417922.8816556246</v>
      </c>
      <c r="J59" s="123">
        <f t="shared" si="20"/>
        <v>1228954.5199064254</v>
      </c>
      <c r="K59" s="123">
        <f t="shared" si="20"/>
        <v>1053673.1189381257</v>
      </c>
      <c r="L59" s="123">
        <f t="shared" si="20"/>
        <v>892078.67875072639</v>
      </c>
      <c r="M59" s="123">
        <f t="shared" si="20"/>
        <v>865587.78691672627</v>
      </c>
      <c r="N59" s="123">
        <f t="shared" si="20"/>
        <v>865146.27205282636</v>
      </c>
      <c r="O59" s="123">
        <f t="shared" si="20"/>
        <v>865587.78691672627</v>
      </c>
      <c r="P59" s="123">
        <f t="shared" si="20"/>
        <v>865146.27205282636</v>
      </c>
      <c r="Q59" s="123">
        <f t="shared" si="20"/>
        <v>865587.78691672627</v>
      </c>
      <c r="R59" s="123">
        <f t="shared" si="20"/>
        <v>865146.27205282636</v>
      </c>
      <c r="S59" s="123">
        <f t="shared" si="20"/>
        <v>865587.78691672627</v>
      </c>
      <c r="T59" s="123">
        <f t="shared" si="20"/>
        <v>865146.27205282636</v>
      </c>
      <c r="U59" s="123">
        <f t="shared" si="20"/>
        <v>865587.78691672627</v>
      </c>
      <c r="V59" s="123">
        <f t="shared" si="20"/>
        <v>865146.27205282636</v>
      </c>
      <c r="W59" s="123">
        <f t="shared" si="20"/>
        <v>865587.78691672627</v>
      </c>
      <c r="X59" s="123">
        <f t="shared" si="20"/>
        <v>865146.27205282636</v>
      </c>
      <c r="Y59" s="123">
        <f t="shared" si="20"/>
        <v>-119431.87444417109</v>
      </c>
      <c r="Z59" s="123">
        <f t="shared" si="20"/>
        <v>-1104451.5358050684</v>
      </c>
      <c r="AA59" s="123">
        <f t="shared" si="20"/>
        <v>-1104451.5358050684</v>
      </c>
      <c r="AB59" s="123">
        <f t="shared" si="20"/>
        <v>-1104451.5358050684</v>
      </c>
      <c r="AC59" s="123">
        <f t="shared" si="20"/>
        <v>-1104451.5358050684</v>
      </c>
      <c r="AD59" s="123">
        <f t="shared" si="20"/>
        <v>-1104451.5358050684</v>
      </c>
      <c r="AE59" s="123">
        <f t="shared" si="20"/>
        <v>-1104451.5358050684</v>
      </c>
      <c r="AF59" s="123">
        <f t="shared" si="20"/>
        <v>-1104451.5358050684</v>
      </c>
      <c r="AG59" s="123">
        <f t="shared" si="20"/>
        <v>-1104451.5358050684</v>
      </c>
      <c r="AH59" s="123">
        <f t="shared" si="20"/>
        <v>-1104451.5358050684</v>
      </c>
      <c r="AI59" s="123">
        <f t="shared" si="20"/>
        <v>-1104451.5358050684</v>
      </c>
      <c r="AJ59" s="123">
        <f t="shared" si="20"/>
        <v>-1104451.5358050684</v>
      </c>
      <c r="AK59" s="123">
        <f t="shared" si="20"/>
        <v>-1104451.5358050684</v>
      </c>
      <c r="AL59" s="123">
        <f t="shared" si="20"/>
        <v>-1104451.5358050684</v>
      </c>
      <c r="AM59" s="123">
        <f t="shared" si="20"/>
        <v>-1104451.5358050684</v>
      </c>
      <c r="AN59" s="123">
        <f t="shared" si="20"/>
        <v>-1104451.5358050684</v>
      </c>
      <c r="AO59" s="123">
        <f t="shared" si="20"/>
        <v>-1104451.5358050684</v>
      </c>
      <c r="AP59" s="123">
        <f t="shared" si="20"/>
        <v>-1104451.5358050684</v>
      </c>
      <c r="AQ59" s="123">
        <f t="shared" si="20"/>
        <v>-1104451.5358050684</v>
      </c>
      <c r="AR59" s="123">
        <f t="shared" si="20"/>
        <v>-1017561.5358050684</v>
      </c>
      <c r="AS59" s="123">
        <f t="shared" si="20"/>
        <v>-60314.96</v>
      </c>
      <c r="AT59" s="123"/>
      <c r="AU59" s="126">
        <f t="shared" si="14"/>
        <v>-2.2028657040209509E-3</v>
      </c>
    </row>
    <row r="60" spans="1:47" x14ac:dyDescent="0.2">
      <c r="A60" s="432">
        <f t="shared" si="11"/>
        <v>30</v>
      </c>
      <c r="B60" s="21" t="s">
        <v>71</v>
      </c>
      <c r="C60" s="21"/>
      <c r="D60" s="445"/>
      <c r="E60" s="57">
        <f>E59*F15</f>
        <v>115758.13280218469</v>
      </c>
      <c r="F60" s="123">
        <f t="shared" ref="F60:AS60" si="21">F59*$F$15</f>
        <v>437397.29600469483</v>
      </c>
      <c r="G60" s="123">
        <f t="shared" si="21"/>
        <v>387144.07419559691</v>
      </c>
      <c r="H60" s="123">
        <f t="shared" si="21"/>
        <v>340785.0134860971</v>
      </c>
      <c r="I60" s="123">
        <f t="shared" si="21"/>
        <v>297763.80514768115</v>
      </c>
      <c r="J60" s="123">
        <f t="shared" si="21"/>
        <v>258080.44918034933</v>
      </c>
      <c r="K60" s="123">
        <f t="shared" si="21"/>
        <v>221271.35497700638</v>
      </c>
      <c r="L60" s="123">
        <f t="shared" si="21"/>
        <v>187336.52253765255</v>
      </c>
      <c r="M60" s="123">
        <f t="shared" si="21"/>
        <v>181773.43525251251</v>
      </c>
      <c r="N60" s="123">
        <f t="shared" si="21"/>
        <v>181680.71713109352</v>
      </c>
      <c r="O60" s="123">
        <f t="shared" si="21"/>
        <v>181773.43525251251</v>
      </c>
      <c r="P60" s="123">
        <f t="shared" si="21"/>
        <v>181680.71713109352</v>
      </c>
      <c r="Q60" s="123">
        <f t="shared" si="21"/>
        <v>181773.43525251251</v>
      </c>
      <c r="R60" s="123">
        <f t="shared" si="21"/>
        <v>181680.71713109352</v>
      </c>
      <c r="S60" s="123">
        <f t="shared" si="21"/>
        <v>181773.43525251251</v>
      </c>
      <c r="T60" s="123">
        <f t="shared" si="21"/>
        <v>181680.71713109352</v>
      </c>
      <c r="U60" s="123">
        <f t="shared" si="21"/>
        <v>181773.43525251251</v>
      </c>
      <c r="V60" s="123">
        <f t="shared" si="21"/>
        <v>181680.71713109352</v>
      </c>
      <c r="W60" s="123">
        <f t="shared" si="21"/>
        <v>181773.43525251251</v>
      </c>
      <c r="X60" s="123">
        <f t="shared" si="21"/>
        <v>181680.71713109352</v>
      </c>
      <c r="Y60" s="123">
        <f t="shared" si="21"/>
        <v>-25080.693633275929</v>
      </c>
      <c r="Z60" s="123">
        <f t="shared" si="21"/>
        <v>-231934.82251906436</v>
      </c>
      <c r="AA60" s="123">
        <f t="shared" si="21"/>
        <v>-231934.82251906436</v>
      </c>
      <c r="AB60" s="123">
        <f t="shared" si="21"/>
        <v>-231934.82251906436</v>
      </c>
      <c r="AC60" s="123">
        <f t="shared" si="21"/>
        <v>-231934.82251906436</v>
      </c>
      <c r="AD60" s="123">
        <f t="shared" si="21"/>
        <v>-231934.82251906436</v>
      </c>
      <c r="AE60" s="123">
        <f t="shared" si="21"/>
        <v>-231934.82251906436</v>
      </c>
      <c r="AF60" s="123">
        <f t="shared" si="21"/>
        <v>-231934.82251906436</v>
      </c>
      <c r="AG60" s="123">
        <f t="shared" si="21"/>
        <v>-231934.82251906436</v>
      </c>
      <c r="AH60" s="123">
        <f t="shared" si="21"/>
        <v>-231934.82251906436</v>
      </c>
      <c r="AI60" s="123">
        <f t="shared" si="21"/>
        <v>-231934.82251906436</v>
      </c>
      <c r="AJ60" s="123">
        <f t="shared" si="21"/>
        <v>-231934.82251906436</v>
      </c>
      <c r="AK60" s="123">
        <f t="shared" si="21"/>
        <v>-231934.82251906436</v>
      </c>
      <c r="AL60" s="123">
        <f t="shared" si="21"/>
        <v>-231934.82251906436</v>
      </c>
      <c r="AM60" s="123">
        <f t="shared" si="21"/>
        <v>-231934.82251906436</v>
      </c>
      <c r="AN60" s="123">
        <f t="shared" si="21"/>
        <v>-231934.82251906436</v>
      </c>
      <c r="AO60" s="123">
        <f t="shared" si="21"/>
        <v>-231934.82251906436</v>
      </c>
      <c r="AP60" s="123">
        <f t="shared" si="21"/>
        <v>-231934.82251906436</v>
      </c>
      <c r="AQ60" s="123">
        <f t="shared" si="21"/>
        <v>-231934.82251906436</v>
      </c>
      <c r="AR60" s="123">
        <f t="shared" si="21"/>
        <v>-213687.92251906436</v>
      </c>
      <c r="AS60" s="123">
        <f t="shared" si="21"/>
        <v>-12666.141599999999</v>
      </c>
      <c r="AT60" s="123"/>
      <c r="AU60" s="126">
        <f t="shared" si="14"/>
        <v>-4.626018890121486E-4</v>
      </c>
    </row>
    <row r="61" spans="1:47" x14ac:dyDescent="0.2">
      <c r="A61" s="432">
        <f t="shared" si="11"/>
        <v>31</v>
      </c>
      <c r="B61" s="21"/>
      <c r="C61" s="21"/>
      <c r="D61" s="445"/>
      <c r="E61" s="108"/>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445"/>
    </row>
    <row r="62" spans="1:47" s="69" customFormat="1" x14ac:dyDescent="0.2">
      <c r="A62" s="432">
        <f t="shared" si="11"/>
        <v>32</v>
      </c>
      <c r="B62" s="21" t="str">
        <f t="shared" ref="B62" si="22">IF($F$18=1,B66,B65)</f>
        <v>MACRS Depreciation - 20</v>
      </c>
      <c r="C62" s="21"/>
      <c r="D62" s="66"/>
      <c r="E62" s="81">
        <f t="shared" ref="E62:Y62" si="23">IF($F$18=1,E66,E65)</f>
        <v>3.7499999999999999E-2</v>
      </c>
      <c r="F62" s="77">
        <f t="shared" si="23"/>
        <v>7.2190000000000004E-2</v>
      </c>
      <c r="G62" s="77">
        <f t="shared" si="23"/>
        <v>6.6769999999999996E-2</v>
      </c>
      <c r="H62" s="80">
        <f t="shared" si="23"/>
        <v>6.1769999999999999E-2</v>
      </c>
      <c r="I62" s="80">
        <f t="shared" si="23"/>
        <v>5.713E-2</v>
      </c>
      <c r="J62" s="80">
        <f t="shared" si="23"/>
        <v>5.2850000000000001E-2</v>
      </c>
      <c r="K62" s="80">
        <f t="shared" si="23"/>
        <v>4.888E-2</v>
      </c>
      <c r="L62" s="80">
        <f t="shared" si="23"/>
        <v>4.5220000000000003E-2</v>
      </c>
      <c r="M62" s="80">
        <f t="shared" si="23"/>
        <v>4.462E-2</v>
      </c>
      <c r="N62" s="80">
        <f t="shared" si="23"/>
        <v>4.4610000000000004E-2</v>
      </c>
      <c r="O62" s="80">
        <f t="shared" si="23"/>
        <v>4.462E-2</v>
      </c>
      <c r="P62" s="80">
        <f t="shared" si="23"/>
        <v>4.4610000000000004E-2</v>
      </c>
      <c r="Q62" s="80">
        <f t="shared" si="23"/>
        <v>4.462E-2</v>
      </c>
      <c r="R62" s="80">
        <f t="shared" si="23"/>
        <v>4.4610000000000004E-2</v>
      </c>
      <c r="S62" s="80">
        <f t="shared" si="23"/>
        <v>4.462E-2</v>
      </c>
      <c r="T62" s="80">
        <f t="shared" si="23"/>
        <v>4.4610000000000004E-2</v>
      </c>
      <c r="U62" s="80">
        <f t="shared" si="23"/>
        <v>4.462E-2</v>
      </c>
      <c r="V62" s="80">
        <f t="shared" si="23"/>
        <v>4.4610000000000004E-2</v>
      </c>
      <c r="W62" s="80">
        <f t="shared" si="23"/>
        <v>4.462E-2</v>
      </c>
      <c r="X62" s="80">
        <f t="shared" si="23"/>
        <v>4.4610000000000004E-2</v>
      </c>
      <c r="Y62" s="80">
        <f t="shared" si="23"/>
        <v>2.231E-2</v>
      </c>
      <c r="Z62" s="67"/>
      <c r="AA62" s="67"/>
      <c r="AB62" s="67"/>
      <c r="AC62" s="67"/>
      <c r="AD62" s="67"/>
      <c r="AE62" s="67"/>
      <c r="AF62" s="67"/>
      <c r="AG62" s="67"/>
      <c r="AH62" s="67"/>
      <c r="AI62" s="67"/>
      <c r="AJ62" s="67"/>
      <c r="AK62" s="67"/>
      <c r="AL62" s="67"/>
      <c r="AM62" s="67"/>
      <c r="AN62" s="67"/>
      <c r="AO62" s="67"/>
      <c r="AP62" s="66"/>
    </row>
    <row r="63" spans="1:47" outlineLevel="1" x14ac:dyDescent="0.25">
      <c r="A63" s="432">
        <f t="shared" si="11"/>
        <v>33</v>
      </c>
      <c r="B63" s="21"/>
      <c r="C63" s="449"/>
      <c r="E63" s="450"/>
      <c r="F63" s="451"/>
      <c r="G63" s="451"/>
      <c r="H63" s="451"/>
      <c r="I63" s="451"/>
      <c r="J63" s="451"/>
      <c r="K63" s="451"/>
      <c r="L63" s="451"/>
      <c r="M63" s="452"/>
      <c r="N63" s="452"/>
      <c r="O63" s="452"/>
      <c r="P63" s="452"/>
      <c r="Q63" s="452"/>
      <c r="R63" s="452"/>
      <c r="S63" s="452"/>
      <c r="T63" s="452"/>
      <c r="U63" s="452"/>
      <c r="V63" s="452"/>
      <c r="W63" s="452"/>
      <c r="X63" s="452"/>
      <c r="Y63" s="452"/>
      <c r="Z63" s="445"/>
      <c r="AA63" s="445"/>
      <c r="AB63" s="445"/>
      <c r="AC63" s="445"/>
      <c r="AD63" s="445"/>
      <c r="AE63" s="445"/>
      <c r="AF63" s="445"/>
      <c r="AG63" s="445"/>
      <c r="AH63" s="445"/>
      <c r="AI63" s="445"/>
      <c r="AJ63" s="445"/>
      <c r="AK63" s="445"/>
      <c r="AL63" s="445"/>
      <c r="AM63" s="445"/>
      <c r="AN63" s="445"/>
      <c r="AO63" s="22"/>
    </row>
    <row r="64" spans="1:47" outlineLevel="1" x14ac:dyDescent="0.25">
      <c r="A64" s="432">
        <f t="shared" si="11"/>
        <v>34</v>
      </c>
      <c r="B64" s="21"/>
      <c r="C64" s="449"/>
      <c r="E64" s="450"/>
      <c r="F64" s="451"/>
      <c r="G64" s="451"/>
      <c r="H64" s="451"/>
      <c r="I64" s="451"/>
      <c r="J64" s="451"/>
      <c r="K64" s="451"/>
      <c r="L64" s="451"/>
      <c r="M64" s="452"/>
      <c r="N64" s="452"/>
      <c r="O64" s="452"/>
      <c r="P64" s="452"/>
      <c r="Q64" s="452"/>
      <c r="R64" s="452"/>
      <c r="S64" s="452"/>
      <c r="T64" s="452"/>
      <c r="U64" s="452"/>
      <c r="V64" s="452"/>
      <c r="W64" s="452"/>
      <c r="X64" s="452"/>
      <c r="Y64" s="452"/>
      <c r="Z64" s="445"/>
      <c r="AA64" s="445"/>
      <c r="AB64" s="445"/>
      <c r="AC64" s="445"/>
      <c r="AD64" s="445"/>
      <c r="AE64" s="445"/>
      <c r="AF64" s="445"/>
      <c r="AG64" s="445"/>
      <c r="AH64" s="445"/>
      <c r="AI64" s="445"/>
      <c r="AJ64" s="445"/>
      <c r="AK64" s="445"/>
      <c r="AL64" s="445"/>
      <c r="AM64" s="445"/>
      <c r="AN64" s="445"/>
      <c r="AO64" s="22"/>
    </row>
    <row r="65" spans="1:42" s="69" customFormat="1" x14ac:dyDescent="0.25">
      <c r="A65" s="432">
        <f t="shared" si="11"/>
        <v>35</v>
      </c>
      <c r="B65" s="21" t="s">
        <v>72</v>
      </c>
      <c r="C65" s="21"/>
      <c r="D65" s="70">
        <v>0</v>
      </c>
      <c r="E65" s="78">
        <f>'MACRS 20'!B5</f>
        <v>3.7499999999999999E-2</v>
      </c>
      <c r="F65" s="77">
        <f>'MACRS 20'!C5</f>
        <v>7.2190000000000004E-2</v>
      </c>
      <c r="G65" s="77">
        <f>'MACRS 20'!D5</f>
        <v>6.6769999999999996E-2</v>
      </c>
      <c r="H65" s="79">
        <f>'MACRS 20'!E5</f>
        <v>6.1769999999999999E-2</v>
      </c>
      <c r="I65" s="79">
        <f>'MACRS 20'!F5</f>
        <v>5.713E-2</v>
      </c>
      <c r="J65" s="79">
        <f>'MACRS 20'!G5</f>
        <v>5.2850000000000001E-2</v>
      </c>
      <c r="K65" s="79">
        <f>'MACRS 20'!H5</f>
        <v>4.888E-2</v>
      </c>
      <c r="L65" s="79">
        <f>'MACRS 20'!I5</f>
        <v>4.5220000000000003E-2</v>
      </c>
      <c r="M65" s="79">
        <f>'MACRS 20'!J5</f>
        <v>4.462E-2</v>
      </c>
      <c r="N65" s="79">
        <f>'MACRS 20'!K5</f>
        <v>4.4610000000000004E-2</v>
      </c>
      <c r="O65" s="79">
        <f>'MACRS 20'!L5</f>
        <v>4.462E-2</v>
      </c>
      <c r="P65" s="79">
        <f>'MACRS 20'!M5</f>
        <v>4.4610000000000004E-2</v>
      </c>
      <c r="Q65" s="79">
        <f>'MACRS 20'!N5</f>
        <v>4.462E-2</v>
      </c>
      <c r="R65" s="79">
        <f>'MACRS 20'!O5</f>
        <v>4.4610000000000004E-2</v>
      </c>
      <c r="S65" s="79">
        <f>'MACRS 20'!P5</f>
        <v>4.462E-2</v>
      </c>
      <c r="T65" s="79">
        <f>'MACRS 20'!Q5</f>
        <v>4.4610000000000004E-2</v>
      </c>
      <c r="U65" s="79">
        <f>'MACRS 20'!R5</f>
        <v>4.462E-2</v>
      </c>
      <c r="V65" s="79">
        <f>'MACRS 20'!S5</f>
        <v>4.4610000000000004E-2</v>
      </c>
      <c r="W65" s="79">
        <f>'MACRS 20'!T5</f>
        <v>4.462E-2</v>
      </c>
      <c r="X65" s="79">
        <f>'MACRS 20'!U5</f>
        <v>4.4610000000000004E-2</v>
      </c>
      <c r="Y65" s="79">
        <f>'MACRS 20'!V5</f>
        <v>2.231E-2</v>
      </c>
      <c r="Z65" s="71"/>
      <c r="AA65" s="67"/>
      <c r="AB65" s="67"/>
      <c r="AC65" s="67"/>
      <c r="AD65" s="67"/>
      <c r="AE65" s="67"/>
      <c r="AF65" s="67"/>
      <c r="AG65" s="67"/>
      <c r="AH65" s="67"/>
      <c r="AI65" s="67"/>
      <c r="AJ65" s="67"/>
      <c r="AK65" s="67"/>
      <c r="AL65" s="67"/>
      <c r="AM65" s="67"/>
      <c r="AN65" s="66"/>
      <c r="AP65" s="72"/>
    </row>
    <row r="66" spans="1:42" x14ac:dyDescent="0.2">
      <c r="A66" s="432">
        <f t="shared" si="11"/>
        <v>36</v>
      </c>
      <c r="B66" s="21" t="s">
        <v>73</v>
      </c>
      <c r="C66" s="21"/>
      <c r="D66" s="70">
        <v>0</v>
      </c>
      <c r="E66" s="78">
        <f>'MACRS 20'!B6</f>
        <v>0.51875000000000004</v>
      </c>
      <c r="F66" s="77">
        <f>'MACRS 20'!C6</f>
        <v>3.6095000000000002E-2</v>
      </c>
      <c r="G66" s="77">
        <f>'MACRS 20'!D6</f>
        <v>3.3384999999999998E-2</v>
      </c>
      <c r="H66" s="80">
        <f>'MACRS 20'!E6</f>
        <v>3.0884999999999999E-2</v>
      </c>
      <c r="I66" s="80">
        <f>'MACRS 20'!F6</f>
        <v>2.8565E-2</v>
      </c>
      <c r="J66" s="80">
        <f>'MACRS 20'!G6</f>
        <v>2.6425000000000001E-2</v>
      </c>
      <c r="K66" s="80">
        <f>'MACRS 20'!H6</f>
        <v>2.444E-2</v>
      </c>
      <c r="L66" s="80">
        <f>'MACRS 20'!I6</f>
        <v>2.2610000000000002E-2</v>
      </c>
      <c r="M66" s="80">
        <f>'MACRS 20'!J6</f>
        <v>2.231E-2</v>
      </c>
      <c r="N66" s="80">
        <f>'MACRS 20'!K6</f>
        <v>2.2305000000000002E-2</v>
      </c>
      <c r="O66" s="80">
        <f>'MACRS 20'!L6</f>
        <v>2.231E-2</v>
      </c>
      <c r="P66" s="80">
        <f>'MACRS 20'!M6</f>
        <v>2.2305000000000002E-2</v>
      </c>
      <c r="Q66" s="80">
        <f>'MACRS 20'!N6</f>
        <v>2.231E-2</v>
      </c>
      <c r="R66" s="80">
        <f>'MACRS 20'!O6</f>
        <v>2.2305000000000002E-2</v>
      </c>
      <c r="S66" s="80">
        <f>'MACRS 20'!P6</f>
        <v>2.231E-2</v>
      </c>
      <c r="T66" s="80">
        <f>'MACRS 20'!Q6</f>
        <v>2.2305000000000002E-2</v>
      </c>
      <c r="U66" s="80">
        <f>'MACRS 20'!R6</f>
        <v>2.231E-2</v>
      </c>
      <c r="V66" s="80">
        <f>'MACRS 20'!S6</f>
        <v>2.2305000000000002E-2</v>
      </c>
      <c r="W66" s="80">
        <f>'MACRS 20'!T6</f>
        <v>2.231E-2</v>
      </c>
      <c r="X66" s="80">
        <f>'MACRS 20'!U6</f>
        <v>2.2305000000000002E-2</v>
      </c>
      <c r="Y66" s="80">
        <f>'MACRS 20'!V6</f>
        <v>1.1155E-2</v>
      </c>
      <c r="Z66" s="68"/>
      <c r="AA66" s="68"/>
      <c r="AB66" s="73"/>
      <c r="AC66" s="73"/>
      <c r="AD66" s="73"/>
      <c r="AE66" s="73"/>
      <c r="AF66" s="73"/>
      <c r="AG66" s="73"/>
      <c r="AH66" s="73"/>
      <c r="AI66" s="73"/>
      <c r="AJ66" s="73"/>
      <c r="AK66" s="73"/>
      <c r="AL66" s="73"/>
      <c r="AM66" s="73"/>
      <c r="AN66" s="445"/>
      <c r="AO66" s="22"/>
      <c r="AP66" s="72">
        <f>SUM(D66:AO66)</f>
        <v>1.0000000000000004</v>
      </c>
    </row>
    <row r="69" spans="1:42" x14ac:dyDescent="0.25">
      <c r="B69" s="74"/>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E27" activePane="bottomRight" state="frozen"/>
      <selection activeCell="G16" sqref="G16"/>
      <selection pane="topRight" activeCell="G16" sqref="G16"/>
      <selection pane="bottomLeft" activeCell="G16" sqref="G16"/>
      <selection pane="bottomRight" activeCell="G16" sqref="G16"/>
    </sheetView>
  </sheetViews>
  <sheetFormatPr defaultColWidth="10.28515625" defaultRowHeight="15" outlineLevelRow="1" outlineLevelCol="1" x14ac:dyDescent="0.2"/>
  <cols>
    <col min="1" max="1" width="5.7109375" style="53" customWidth="1"/>
    <col min="2" max="2" width="7.42578125" style="53" customWidth="1"/>
    <col min="3" max="3" width="26.42578125" style="53" customWidth="1"/>
    <col min="4" max="4" width="15.5703125" style="22" customWidth="1"/>
    <col min="5" max="5" width="13.5703125" style="75" customWidth="1"/>
    <col min="6" max="6" width="13.42578125" style="75" customWidth="1"/>
    <col min="7" max="7" width="20.28515625" style="75" customWidth="1"/>
    <col min="8" max="8" width="13" style="75" bestFit="1" customWidth="1"/>
    <col min="9" max="25" width="12.7109375" style="75" bestFit="1" customWidth="1"/>
    <col min="26" max="38" width="12.28515625" style="75" bestFit="1" customWidth="1"/>
    <col min="39" max="39" width="17" style="75" customWidth="1" outlineLevel="1"/>
    <col min="40" max="40" width="13" style="75" customWidth="1" outlineLevel="1"/>
    <col min="41" max="41" width="14.28515625" style="75" customWidth="1" outlineLevel="1"/>
    <col min="42" max="42" width="12.7109375" style="22" bestFit="1" customWidth="1"/>
    <col min="43" max="43" width="12.28515625" style="22" customWidth="1"/>
    <col min="44" max="45" width="14" style="22" customWidth="1"/>
    <col min="46" max="46" width="16.5703125" style="22" customWidth="1"/>
    <col min="47" max="47" width="15" style="22" bestFit="1" customWidth="1"/>
    <col min="48" max="48" width="11.28515625" style="22" bestFit="1" customWidth="1"/>
    <col min="49" max="16384" width="10.28515625" style="22"/>
  </cols>
  <sheetData>
    <row r="1" spans="1:41" ht="17.25" customHeight="1" x14ac:dyDescent="0.25">
      <c r="A1" s="20" t="s">
        <v>0</v>
      </c>
      <c r="B1" s="21"/>
      <c r="C1" s="21"/>
      <c r="E1" s="827"/>
      <c r="F1" s="827"/>
      <c r="G1" s="22"/>
      <c r="H1" s="23"/>
      <c r="I1" s="24"/>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ht="12.75" customHeight="1" x14ac:dyDescent="0.25">
      <c r="A2" s="25" t="s">
        <v>1</v>
      </c>
      <c r="B2" s="21"/>
      <c r="C2" s="21"/>
      <c r="E2" s="22"/>
      <c r="F2" s="24"/>
      <c r="G2" s="2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x14ac:dyDescent="0.25">
      <c r="A3" s="25" t="s">
        <v>2</v>
      </c>
      <c r="B3" s="21"/>
      <c r="C3" s="432" t="s">
        <v>271</v>
      </c>
      <c r="D3" s="445" t="s">
        <v>3</v>
      </c>
      <c r="E3" s="22"/>
      <c r="F3" s="24"/>
      <c r="G3" s="24"/>
      <c r="H3" s="22"/>
      <c r="I3" s="22" t="s">
        <v>341</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ht="7.5" customHeight="1" thickBot="1" x14ac:dyDescent="0.25">
      <c r="A4" s="21"/>
      <c r="B4" s="21"/>
      <c r="C4" s="21"/>
      <c r="E4" s="22"/>
      <c r="F4" s="24"/>
      <c r="G4" s="24"/>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x14ac:dyDescent="0.2">
      <c r="A5" s="26" t="s">
        <v>4</v>
      </c>
      <c r="B5" s="27"/>
      <c r="C5" s="27"/>
      <c r="D5" s="170" t="s">
        <v>231</v>
      </c>
      <c r="E5" s="28"/>
      <c r="F5" s="29"/>
      <c r="G5" s="22"/>
      <c r="H5" s="22"/>
      <c r="I5" s="22"/>
      <c r="J5" s="22"/>
      <c r="K5" s="22"/>
      <c r="L5" s="22"/>
      <c r="M5" s="22"/>
      <c r="N5" s="41"/>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x14ac:dyDescent="0.2">
      <c r="A6" s="31"/>
      <c r="B6" s="32"/>
      <c r="C6" s="32"/>
      <c r="D6" s="134" t="s">
        <v>196</v>
      </c>
      <c r="E6" s="134"/>
      <c r="F6" s="135"/>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x14ac:dyDescent="0.2">
      <c r="A7" s="31"/>
      <c r="B7" s="32"/>
      <c r="C7" s="32"/>
      <c r="D7" s="35"/>
      <c r="E7" s="35"/>
      <c r="F7" s="36" t="s">
        <v>5</v>
      </c>
      <c r="G7" s="22"/>
      <c r="H7" s="22"/>
      <c r="I7" s="22"/>
      <c r="J7" s="22"/>
      <c r="K7" s="22"/>
      <c r="L7" s="22"/>
      <c r="M7" s="136"/>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1" x14ac:dyDescent="0.2">
      <c r="A8" s="31" t="s">
        <v>6</v>
      </c>
      <c r="B8" s="32"/>
      <c r="C8" s="32"/>
      <c r="D8" s="38" t="s">
        <v>7</v>
      </c>
      <c r="E8" s="38" t="s">
        <v>8</v>
      </c>
      <c r="F8" s="39" t="s">
        <v>8</v>
      </c>
      <c r="G8" s="22"/>
      <c r="H8" s="22"/>
      <c r="I8" s="22"/>
      <c r="J8" s="22"/>
      <c r="K8" s="22"/>
      <c r="L8" s="22"/>
      <c r="M8" s="127"/>
      <c r="N8" s="4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1" x14ac:dyDescent="0.2">
      <c r="A9" s="31"/>
      <c r="B9" s="32"/>
      <c r="C9" s="32"/>
      <c r="D9" s="33"/>
      <c r="E9" s="33"/>
      <c r="F9" s="40"/>
      <c r="G9" s="22"/>
      <c r="H9" s="22"/>
      <c r="I9" s="22"/>
      <c r="J9" s="22"/>
      <c r="K9" s="22"/>
      <c r="L9" s="22"/>
      <c r="M9" s="127"/>
      <c r="N9" s="41"/>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x14ac:dyDescent="0.2">
      <c r="A10" s="31"/>
      <c r="B10" s="32"/>
      <c r="C10" s="32"/>
      <c r="D10" s="42"/>
      <c r="E10" s="42"/>
      <c r="F10" s="43"/>
      <c r="G10" s="22"/>
      <c r="H10" s="22"/>
      <c r="I10" s="22"/>
      <c r="J10" s="22"/>
      <c r="K10" s="22"/>
      <c r="L10" s="22"/>
      <c r="M10" s="127"/>
      <c r="N10" s="41"/>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1" x14ac:dyDescent="0.2">
      <c r="A11" s="31" t="s">
        <v>173</v>
      </c>
      <c r="B11" s="32"/>
      <c r="C11" s="32"/>
      <c r="D11" s="42">
        <f>'2019 GRC'!C12</f>
        <v>0.51500000000000001</v>
      </c>
      <c r="E11" s="42">
        <f>'2019 GRC'!D12</f>
        <v>5.4951456310679617E-2</v>
      </c>
      <c r="F11" s="43">
        <f>'2019 GRC'!E12</f>
        <v>2.8299999999999999E-2</v>
      </c>
      <c r="G11" s="22"/>
      <c r="H11" s="22"/>
      <c r="I11" s="22"/>
      <c r="J11" s="22"/>
      <c r="K11" s="22"/>
      <c r="L11" s="22"/>
      <c r="M11" s="127"/>
      <c r="N11" s="41"/>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x14ac:dyDescent="0.2">
      <c r="A12" s="31" t="s">
        <v>9</v>
      </c>
      <c r="B12" s="32"/>
      <c r="C12" s="32"/>
      <c r="D12" s="44">
        <f>'2019 GRC'!C13</f>
        <v>0.48499999999999999</v>
      </c>
      <c r="E12" s="44">
        <f>'2019 GRC'!D13</f>
        <v>9.4E-2</v>
      </c>
      <c r="F12" s="45">
        <f>'2019 GRC'!E13</f>
        <v>4.5600000000000002E-2</v>
      </c>
      <c r="G12" s="22"/>
      <c r="H12" s="22"/>
      <c r="I12" s="22"/>
      <c r="J12" s="22"/>
      <c r="K12" s="22"/>
      <c r="L12" s="22"/>
      <c r="M12" s="127"/>
      <c r="N12" s="4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ht="15.75" thickBot="1" x14ac:dyDescent="0.25">
      <c r="A13" s="31" t="s">
        <v>10</v>
      </c>
      <c r="B13" s="32"/>
      <c r="C13" s="32"/>
      <c r="D13" s="46">
        <f>D10+D11+D12</f>
        <v>1</v>
      </c>
      <c r="E13" s="47"/>
      <c r="F13" s="171">
        <f>F10+F11+F12</f>
        <v>7.3899999999999993E-2</v>
      </c>
      <c r="G13" s="22"/>
      <c r="H13" s="22"/>
      <c r="I13" s="22"/>
      <c r="J13" s="22"/>
      <c r="K13" s="22"/>
      <c r="L13" s="22"/>
      <c r="M13" s="127"/>
      <c r="N13" s="4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ht="15.75" thickTop="1" x14ac:dyDescent="0.2">
      <c r="A14" s="31"/>
      <c r="B14" s="32"/>
      <c r="C14" s="32"/>
      <c r="D14" s="33"/>
      <c r="E14" s="33"/>
      <c r="F14" s="40"/>
      <c r="G14" s="22"/>
      <c r="H14" s="22"/>
      <c r="I14" s="22"/>
      <c r="J14" s="22"/>
      <c r="K14" s="22"/>
      <c r="L14" s="22"/>
      <c r="M14" s="127"/>
      <c r="N14" s="4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x14ac:dyDescent="0.2">
      <c r="A15" s="31" t="s">
        <v>11</v>
      </c>
      <c r="B15" s="32"/>
      <c r="C15" s="32"/>
      <c r="D15" s="33"/>
      <c r="E15" s="33"/>
      <c r="F15" s="43">
        <f>'2019 GRC'!I19</f>
        <v>0.21</v>
      </c>
      <c r="G15" s="22"/>
      <c r="H15" s="22"/>
      <c r="I15" s="22"/>
      <c r="J15" s="22"/>
      <c r="K15" s="22"/>
      <c r="L15" s="22"/>
      <c r="M15" s="127"/>
      <c r="N15" s="4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6" spans="1:41" x14ac:dyDescent="0.2">
      <c r="A16" s="31" t="s">
        <v>12</v>
      </c>
      <c r="B16" s="32"/>
      <c r="C16" s="32"/>
      <c r="D16" s="33"/>
      <c r="E16" s="33"/>
      <c r="F16" s="43">
        <f>'2019 GRC'!J16</f>
        <v>4.5447000000000001E-2</v>
      </c>
      <c r="G16" s="22"/>
      <c r="H16" s="22"/>
      <c r="I16" s="22"/>
      <c r="J16" s="22"/>
      <c r="K16" s="22"/>
      <c r="L16" s="22"/>
      <c r="M16" s="127"/>
      <c r="N16" s="4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row>
    <row r="17" spans="1:48" x14ac:dyDescent="0.2">
      <c r="A17" s="31" t="s">
        <v>13</v>
      </c>
      <c r="B17" s="32"/>
      <c r="C17" s="32"/>
      <c r="D17" s="33"/>
      <c r="E17" s="33"/>
      <c r="F17" s="43">
        <f>'2022 C&amp;OM'!G7</f>
        <v>2.52211164896535E-2</v>
      </c>
      <c r="G17" s="22"/>
      <c r="H17" s="22"/>
      <c r="I17" s="22"/>
      <c r="J17" s="22"/>
      <c r="K17" s="22"/>
      <c r="L17" s="22"/>
      <c r="M17" s="127"/>
      <c r="N17" s="4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8" x14ac:dyDescent="0.2">
      <c r="A18" s="31" t="s">
        <v>14</v>
      </c>
      <c r="B18" s="32"/>
      <c r="C18" s="32"/>
      <c r="D18" s="33"/>
      <c r="E18" s="33"/>
      <c r="F18" s="49">
        <v>2</v>
      </c>
      <c r="G18" s="22"/>
      <c r="H18" s="22"/>
      <c r="I18" s="22"/>
      <c r="J18" s="22"/>
      <c r="K18" s="22"/>
      <c r="L18" s="22"/>
      <c r="M18" s="127"/>
      <c r="N18" s="4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8" x14ac:dyDescent="0.2">
      <c r="A19" s="31"/>
      <c r="B19" s="32"/>
      <c r="C19" s="32"/>
      <c r="D19" s="33"/>
      <c r="E19" s="33"/>
      <c r="F19" s="34"/>
      <c r="G19" s="22"/>
      <c r="H19" s="22"/>
      <c r="I19" s="22"/>
      <c r="J19" s="22"/>
      <c r="K19" s="22"/>
      <c r="L19" s="22"/>
      <c r="M19" s="127"/>
      <c r="N19" s="41"/>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8" x14ac:dyDescent="0.2">
      <c r="A20" s="31" t="s">
        <v>15</v>
      </c>
      <c r="B20" s="32"/>
      <c r="C20" s="32"/>
      <c r="D20" s="33"/>
      <c r="E20" s="33"/>
      <c r="F20" s="34"/>
      <c r="G20" s="22"/>
      <c r="H20" s="22"/>
      <c r="I20" s="22"/>
      <c r="J20" s="22"/>
      <c r="K20" s="22"/>
      <c r="L20" s="22"/>
      <c r="N20" s="137"/>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8" ht="15.75" thickBot="1" x14ac:dyDescent="0.25">
      <c r="A21" s="31" t="s">
        <v>16</v>
      </c>
      <c r="B21" s="32"/>
      <c r="C21" s="32"/>
      <c r="D21" s="33"/>
      <c r="E21" s="33"/>
      <c r="F21" s="34"/>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8" ht="15.75" thickBot="1" x14ac:dyDescent="0.25">
      <c r="A22" s="50" t="s">
        <v>17</v>
      </c>
      <c r="B22" s="51"/>
      <c r="C22" s="51"/>
      <c r="D22" s="51"/>
      <c r="E22" s="52"/>
      <c r="F22" s="275">
        <v>44118513.764677308</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8" ht="14.25" customHeight="1" x14ac:dyDescent="0.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8" ht="6" customHeight="1" x14ac:dyDescent="0.2">
      <c r="B24" s="22"/>
      <c r="C24" s="22"/>
      <c r="D24" s="127"/>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row>
    <row r="25" spans="1:48" x14ac:dyDescent="0.2">
      <c r="A25" s="21"/>
      <c r="B25" s="21"/>
      <c r="C25" s="21"/>
      <c r="D25" s="445"/>
      <c r="E25" s="55" t="s">
        <v>18</v>
      </c>
      <c r="F25" s="116" t="s">
        <v>19</v>
      </c>
      <c r="G25" s="56" t="s">
        <v>20</v>
      </c>
      <c r="H25" s="56" t="s">
        <v>21</v>
      </c>
      <c r="I25" s="56" t="s">
        <v>22</v>
      </c>
      <c r="J25" s="56" t="s">
        <v>23</v>
      </c>
      <c r="K25" s="56" t="s">
        <v>24</v>
      </c>
      <c r="L25" s="56" t="s">
        <v>25</v>
      </c>
      <c r="M25" s="56" t="s">
        <v>26</v>
      </c>
      <c r="N25" s="56" t="s">
        <v>27</v>
      </c>
      <c r="O25" s="56" t="s">
        <v>28</v>
      </c>
      <c r="P25" s="56" t="s">
        <v>29</v>
      </c>
      <c r="Q25" s="56" t="s">
        <v>30</v>
      </c>
      <c r="R25" s="56" t="s">
        <v>31</v>
      </c>
      <c r="S25" s="56" t="s">
        <v>32</v>
      </c>
      <c r="T25" s="56" t="s">
        <v>33</v>
      </c>
      <c r="U25" s="56" t="s">
        <v>34</v>
      </c>
      <c r="V25" s="56" t="s">
        <v>35</v>
      </c>
      <c r="W25" s="56" t="s">
        <v>36</v>
      </c>
      <c r="X25" s="56" t="s">
        <v>37</v>
      </c>
      <c r="Y25" s="56" t="s">
        <v>38</v>
      </c>
      <c r="Z25" s="56" t="s">
        <v>39</v>
      </c>
      <c r="AA25" s="56" t="s">
        <v>40</v>
      </c>
      <c r="AB25" s="56" t="s">
        <v>41</v>
      </c>
      <c r="AC25" s="56" t="s">
        <v>42</v>
      </c>
      <c r="AD25" s="56" t="s">
        <v>43</v>
      </c>
      <c r="AE25" s="56" t="s">
        <v>44</v>
      </c>
      <c r="AF25" s="56" t="s">
        <v>45</v>
      </c>
      <c r="AG25" s="56" t="s">
        <v>46</v>
      </c>
      <c r="AH25" s="56" t="s">
        <v>47</v>
      </c>
      <c r="AI25" s="56" t="s">
        <v>48</v>
      </c>
      <c r="AJ25" s="56" t="s">
        <v>49</v>
      </c>
      <c r="AK25" s="56" t="s">
        <v>50</v>
      </c>
      <c r="AL25" s="56" t="s">
        <v>51</v>
      </c>
      <c r="AM25" s="56" t="s">
        <v>52</v>
      </c>
      <c r="AN25" s="56" t="s">
        <v>74</v>
      </c>
      <c r="AO25" s="56" t="s">
        <v>75</v>
      </c>
      <c r="AP25" s="56" t="s">
        <v>174</v>
      </c>
      <c r="AQ25" s="56" t="s">
        <v>175</v>
      </c>
      <c r="AR25" s="56" t="s">
        <v>176</v>
      </c>
      <c r="AS25" s="22" t="s">
        <v>177</v>
      </c>
    </row>
    <row r="26" spans="1:48" x14ac:dyDescent="0.2">
      <c r="A26" s="21"/>
      <c r="B26" s="21"/>
      <c r="C26" s="21"/>
      <c r="D26" s="445"/>
      <c r="E26" s="106">
        <v>2021</v>
      </c>
      <c r="F26" s="106">
        <v>2022</v>
      </c>
      <c r="G26" s="106">
        <v>2023</v>
      </c>
      <c r="H26" s="106">
        <v>2024</v>
      </c>
      <c r="I26" s="106">
        <v>2025</v>
      </c>
      <c r="J26" s="106">
        <v>2026</v>
      </c>
      <c r="K26" s="106">
        <v>2027</v>
      </c>
      <c r="L26" s="106">
        <v>2028</v>
      </c>
      <c r="M26" s="106">
        <v>2029</v>
      </c>
      <c r="N26" s="106">
        <v>2030</v>
      </c>
      <c r="O26" s="106">
        <v>2031</v>
      </c>
      <c r="P26" s="106">
        <v>2032</v>
      </c>
      <c r="Q26" s="106">
        <v>2033</v>
      </c>
      <c r="R26" s="106">
        <v>2034</v>
      </c>
      <c r="S26" s="106">
        <v>2035</v>
      </c>
      <c r="T26" s="106">
        <v>2036</v>
      </c>
      <c r="U26" s="106">
        <v>2037</v>
      </c>
      <c r="V26" s="106">
        <v>2038</v>
      </c>
      <c r="W26" s="106">
        <v>2039</v>
      </c>
      <c r="X26" s="106">
        <v>2040</v>
      </c>
      <c r="Y26" s="106">
        <v>2041</v>
      </c>
      <c r="Z26" s="106">
        <v>2042</v>
      </c>
      <c r="AA26" s="106">
        <v>2043</v>
      </c>
      <c r="AB26" s="106">
        <v>2044</v>
      </c>
      <c r="AC26" s="106">
        <v>2045</v>
      </c>
      <c r="AD26" s="106">
        <v>2046</v>
      </c>
      <c r="AE26" s="106">
        <v>2047</v>
      </c>
      <c r="AF26" s="106">
        <v>2048</v>
      </c>
      <c r="AG26" s="106">
        <v>2049</v>
      </c>
      <c r="AH26" s="106">
        <v>2050</v>
      </c>
      <c r="AI26" s="106">
        <v>2051</v>
      </c>
      <c r="AJ26" s="106">
        <v>2052</v>
      </c>
      <c r="AK26" s="106">
        <v>2053</v>
      </c>
      <c r="AL26" s="106">
        <v>2054</v>
      </c>
      <c r="AM26" s="106">
        <v>2055</v>
      </c>
      <c r="AN26" s="106">
        <v>2056</v>
      </c>
      <c r="AO26" s="106">
        <v>2057</v>
      </c>
      <c r="AP26" s="106">
        <v>2058</v>
      </c>
      <c r="AQ26" s="106">
        <v>2059</v>
      </c>
      <c r="AR26" s="106">
        <v>2060</v>
      </c>
      <c r="AS26" s="106">
        <v>2061</v>
      </c>
    </row>
    <row r="27" spans="1:48" x14ac:dyDescent="0.2">
      <c r="A27" s="432">
        <v>1</v>
      </c>
      <c r="B27" s="21" t="s">
        <v>207</v>
      </c>
      <c r="C27" s="21"/>
      <c r="D27" s="445"/>
      <c r="E27" s="57">
        <f>$F22*$F17</f>
        <v>1112718.1750093077</v>
      </c>
      <c r="F27" s="123">
        <f>$F22*$F17</f>
        <v>1112718.1750093077</v>
      </c>
      <c r="G27" s="123">
        <f>$F22*$F17</f>
        <v>1112718.1750093077</v>
      </c>
      <c r="H27" s="123">
        <f t="shared" ref="H27:AQ27" si="0">$F22*$F17</f>
        <v>1112718.1750093077</v>
      </c>
      <c r="I27" s="123">
        <f t="shared" si="0"/>
        <v>1112718.1750093077</v>
      </c>
      <c r="J27" s="123">
        <f t="shared" si="0"/>
        <v>1112718.1750093077</v>
      </c>
      <c r="K27" s="123">
        <f t="shared" si="0"/>
        <v>1112718.1750093077</v>
      </c>
      <c r="L27" s="123">
        <f t="shared" si="0"/>
        <v>1112718.1750093077</v>
      </c>
      <c r="M27" s="123">
        <f t="shared" si="0"/>
        <v>1112718.1750093077</v>
      </c>
      <c r="N27" s="123">
        <f t="shared" si="0"/>
        <v>1112718.1750093077</v>
      </c>
      <c r="O27" s="123">
        <f t="shared" si="0"/>
        <v>1112718.1750093077</v>
      </c>
      <c r="P27" s="123">
        <f t="shared" si="0"/>
        <v>1112718.1750093077</v>
      </c>
      <c r="Q27" s="123">
        <f t="shared" si="0"/>
        <v>1112718.1750093077</v>
      </c>
      <c r="R27" s="123">
        <f t="shared" si="0"/>
        <v>1112718.1750093077</v>
      </c>
      <c r="S27" s="123">
        <f t="shared" si="0"/>
        <v>1112718.1750093077</v>
      </c>
      <c r="T27" s="123">
        <f t="shared" si="0"/>
        <v>1112718.1750093077</v>
      </c>
      <c r="U27" s="123">
        <f t="shared" si="0"/>
        <v>1112718.1750093077</v>
      </c>
      <c r="V27" s="123">
        <f t="shared" si="0"/>
        <v>1112718.1750093077</v>
      </c>
      <c r="W27" s="123">
        <f t="shared" si="0"/>
        <v>1112718.1750093077</v>
      </c>
      <c r="X27" s="123">
        <f t="shared" si="0"/>
        <v>1112718.1750093077</v>
      </c>
      <c r="Y27" s="123">
        <f t="shared" si="0"/>
        <v>1112718.1750093077</v>
      </c>
      <c r="Z27" s="123">
        <f t="shared" si="0"/>
        <v>1112718.1750093077</v>
      </c>
      <c r="AA27" s="123">
        <f t="shared" si="0"/>
        <v>1112718.1750093077</v>
      </c>
      <c r="AB27" s="123">
        <f t="shared" si="0"/>
        <v>1112718.1750093077</v>
      </c>
      <c r="AC27" s="123">
        <f t="shared" si="0"/>
        <v>1112718.1750093077</v>
      </c>
      <c r="AD27" s="123">
        <f t="shared" si="0"/>
        <v>1112718.1750093077</v>
      </c>
      <c r="AE27" s="123">
        <f t="shared" si="0"/>
        <v>1112718.1750093077</v>
      </c>
      <c r="AF27" s="123">
        <f t="shared" si="0"/>
        <v>1112718.1750093077</v>
      </c>
      <c r="AG27" s="123">
        <f t="shared" si="0"/>
        <v>1112718.1750093077</v>
      </c>
      <c r="AH27" s="123">
        <f t="shared" si="0"/>
        <v>1112718.1750093077</v>
      </c>
      <c r="AI27" s="123">
        <f t="shared" si="0"/>
        <v>1112718.1750093077</v>
      </c>
      <c r="AJ27" s="123">
        <f t="shared" si="0"/>
        <v>1112718.1750093077</v>
      </c>
      <c r="AK27" s="123">
        <f t="shared" si="0"/>
        <v>1112718.1750093077</v>
      </c>
      <c r="AL27" s="123">
        <f t="shared" si="0"/>
        <v>1112718.1750093077</v>
      </c>
      <c r="AM27" s="123">
        <f t="shared" si="0"/>
        <v>1112718.1750093077</v>
      </c>
      <c r="AN27" s="123">
        <f t="shared" si="0"/>
        <v>1112718.1750093077</v>
      </c>
      <c r="AO27" s="123">
        <f t="shared" si="0"/>
        <v>1112718.1750093077</v>
      </c>
      <c r="AP27" s="123">
        <f t="shared" si="0"/>
        <v>1112718.1750093077</v>
      </c>
      <c r="AQ27" s="123">
        <f t="shared" si="0"/>
        <v>1112718.1750093077</v>
      </c>
      <c r="AR27" s="123">
        <f>$F22*$F17-65809</f>
        <v>1046909.1750093077</v>
      </c>
      <c r="AS27" s="123"/>
      <c r="AT27" s="126">
        <f>SUM(D27:AS27)</f>
        <v>44442918.00037232</v>
      </c>
      <c r="AU27" s="41">
        <f>F22</f>
        <v>44118513.764677308</v>
      </c>
      <c r="AV27" s="126">
        <f>+AU27-AT27</f>
        <v>-324404.23569501191</v>
      </c>
    </row>
    <row r="28" spans="1:48" x14ac:dyDescent="0.2">
      <c r="A28" s="21"/>
      <c r="B28" s="21"/>
      <c r="C28" s="21"/>
      <c r="D28" s="445"/>
      <c r="E28" s="57"/>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58"/>
      <c r="AN28" s="123"/>
      <c r="AO28" s="123"/>
      <c r="AP28" s="447"/>
    </row>
    <row r="29" spans="1:48" x14ac:dyDescent="0.2">
      <c r="A29" s="432">
        <f>A27+1</f>
        <v>2</v>
      </c>
      <c r="B29" s="21" t="s">
        <v>54</v>
      </c>
      <c r="C29" s="21"/>
      <c r="D29" s="445"/>
      <c r="E29" s="57">
        <f>E53</f>
        <v>527349.99802336656</v>
      </c>
      <c r="F29" s="123">
        <f t="shared" ref="F29:AS29" si="1">F53</f>
        <v>510535.26768275141</v>
      </c>
      <c r="G29" s="123">
        <f t="shared" si="1"/>
        <v>492076.96077270259</v>
      </c>
      <c r="H29" s="123">
        <f t="shared" si="1"/>
        <v>474203.76038310118</v>
      </c>
      <c r="I29" s="123">
        <f t="shared" si="1"/>
        <v>456871.86775329965</v>
      </c>
      <c r="J29" s="123">
        <f t="shared" si="1"/>
        <v>440040.85325808468</v>
      </c>
      <c r="K29" s="123">
        <f t="shared" si="1"/>
        <v>423673.09488510492</v>
      </c>
      <c r="L29" s="123">
        <f t="shared" si="1"/>
        <v>407733.7782348714</v>
      </c>
      <c r="M29" s="123">
        <f t="shared" si="1"/>
        <v>392033.67020048294</v>
      </c>
      <c r="N29" s="123">
        <f t="shared" si="1"/>
        <v>376367.8150430111</v>
      </c>
      <c r="O29" s="123">
        <f t="shared" si="1"/>
        <v>360701.95988553949</v>
      </c>
      <c r="P29" s="123">
        <f t="shared" si="1"/>
        <v>345036.10472806788</v>
      </c>
      <c r="Q29" s="123">
        <f t="shared" si="1"/>
        <v>329370.24957059615</v>
      </c>
      <c r="R29" s="123">
        <f t="shared" si="1"/>
        <v>313704.39441312442</v>
      </c>
      <c r="S29" s="123">
        <f t="shared" si="1"/>
        <v>298038.53925565269</v>
      </c>
      <c r="T29" s="123">
        <f t="shared" si="1"/>
        <v>282372.68409818108</v>
      </c>
      <c r="U29" s="123">
        <f t="shared" si="1"/>
        <v>266706.82894070935</v>
      </c>
      <c r="V29" s="123">
        <f t="shared" si="1"/>
        <v>251040.97378323771</v>
      </c>
      <c r="W29" s="123">
        <f t="shared" si="1"/>
        <v>235375.11862576607</v>
      </c>
      <c r="X29" s="123">
        <f t="shared" si="1"/>
        <v>219709.26346829435</v>
      </c>
      <c r="Y29" s="123">
        <f t="shared" si="1"/>
        <v>205296.16516986143</v>
      </c>
      <c r="Z29" s="123">
        <f t="shared" si="1"/>
        <v>193388.0190669336</v>
      </c>
      <c r="AA29" s="123">
        <f t="shared" si="1"/>
        <v>182732.6298230445</v>
      </c>
      <c r="AB29" s="123">
        <f t="shared" si="1"/>
        <v>172077.24057915536</v>
      </c>
      <c r="AC29" s="123">
        <f t="shared" si="1"/>
        <v>161421.85133526626</v>
      </c>
      <c r="AD29" s="123">
        <f t="shared" si="1"/>
        <v>150766.46209137715</v>
      </c>
      <c r="AE29" s="123">
        <f t="shared" si="1"/>
        <v>140111.07284748802</v>
      </c>
      <c r="AF29" s="123">
        <f t="shared" si="1"/>
        <v>129455.68360359893</v>
      </c>
      <c r="AG29" s="123">
        <f t="shared" si="1"/>
        <v>118800.29435970981</v>
      </c>
      <c r="AH29" s="123">
        <f t="shared" si="1"/>
        <v>108144.9051158207</v>
      </c>
      <c r="AI29" s="123">
        <f t="shared" si="1"/>
        <v>97489.515871931566</v>
      </c>
      <c r="AJ29" s="123">
        <f t="shared" si="1"/>
        <v>86834.126628042402</v>
      </c>
      <c r="AK29" s="123">
        <f t="shared" si="1"/>
        <v>76178.737384153254</v>
      </c>
      <c r="AL29" s="123">
        <f t="shared" si="1"/>
        <v>65523.34814026409</v>
      </c>
      <c r="AM29" s="123">
        <f t="shared" si="1"/>
        <v>54867.958896374919</v>
      </c>
      <c r="AN29" s="123">
        <f t="shared" si="1"/>
        <v>44212.569652485763</v>
      </c>
      <c r="AO29" s="123">
        <f t="shared" si="1"/>
        <v>33557.1804085966</v>
      </c>
      <c r="AP29" s="123">
        <f t="shared" si="1"/>
        <v>22901.791164707443</v>
      </c>
      <c r="AQ29" s="123">
        <f t="shared" si="1"/>
        <v>12246.401920818282</v>
      </c>
      <c r="AR29" s="123">
        <f t="shared" si="1"/>
        <v>1906.10616892912</v>
      </c>
      <c r="AS29" s="123">
        <f t="shared" si="1"/>
        <v>-3106.4949610154604</v>
      </c>
      <c r="AT29" s="126">
        <f>SUM(D29:AS29)</f>
        <v>9457748.74827349</v>
      </c>
    </row>
    <row r="30" spans="1:48" x14ac:dyDescent="0.2">
      <c r="A30" s="21"/>
      <c r="B30" s="21"/>
      <c r="C30" s="21"/>
      <c r="D30" s="445"/>
      <c r="E30" s="57"/>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row>
    <row r="31" spans="1:48" x14ac:dyDescent="0.2">
      <c r="A31" s="21"/>
      <c r="B31" s="21" t="s">
        <v>55</v>
      </c>
      <c r="C31" s="21"/>
      <c r="D31" s="445"/>
      <c r="E31" s="57">
        <f>+E30/0.79</f>
        <v>0</v>
      </c>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row>
    <row r="32" spans="1:48" x14ac:dyDescent="0.2">
      <c r="A32" s="432">
        <f>A29+1</f>
        <v>3</v>
      </c>
      <c r="B32" s="21"/>
      <c r="C32" s="21"/>
      <c r="D32" s="445"/>
      <c r="E32" s="57">
        <f>E49*$F10</f>
        <v>0</v>
      </c>
      <c r="F32" s="123">
        <f t="shared" ref="F32:AS32" si="2">F49*$F10</f>
        <v>0</v>
      </c>
      <c r="G32" s="123">
        <f t="shared" si="2"/>
        <v>0</v>
      </c>
      <c r="H32" s="123">
        <f t="shared" si="2"/>
        <v>0</v>
      </c>
      <c r="I32" s="123">
        <f t="shared" si="2"/>
        <v>0</v>
      </c>
      <c r="J32" s="123">
        <f t="shared" si="2"/>
        <v>0</v>
      </c>
      <c r="K32" s="123">
        <f t="shared" si="2"/>
        <v>0</v>
      </c>
      <c r="L32" s="123">
        <f t="shared" si="2"/>
        <v>0</v>
      </c>
      <c r="M32" s="123">
        <f t="shared" si="2"/>
        <v>0</v>
      </c>
      <c r="N32" s="123">
        <f t="shared" si="2"/>
        <v>0</v>
      </c>
      <c r="O32" s="123">
        <f t="shared" si="2"/>
        <v>0</v>
      </c>
      <c r="P32" s="123">
        <f t="shared" si="2"/>
        <v>0</v>
      </c>
      <c r="Q32" s="123">
        <f t="shared" si="2"/>
        <v>0</v>
      </c>
      <c r="R32" s="123">
        <f t="shared" si="2"/>
        <v>0</v>
      </c>
      <c r="S32" s="123">
        <f t="shared" si="2"/>
        <v>0</v>
      </c>
      <c r="T32" s="123">
        <f t="shared" si="2"/>
        <v>0</v>
      </c>
      <c r="U32" s="123">
        <f t="shared" si="2"/>
        <v>0</v>
      </c>
      <c r="V32" s="123">
        <f t="shared" si="2"/>
        <v>0</v>
      </c>
      <c r="W32" s="123">
        <f t="shared" si="2"/>
        <v>0</v>
      </c>
      <c r="X32" s="123">
        <f t="shared" si="2"/>
        <v>0</v>
      </c>
      <c r="Y32" s="123">
        <f t="shared" si="2"/>
        <v>0</v>
      </c>
      <c r="Z32" s="123">
        <f t="shared" si="2"/>
        <v>0</v>
      </c>
      <c r="AA32" s="123">
        <f t="shared" si="2"/>
        <v>0</v>
      </c>
      <c r="AB32" s="123">
        <f t="shared" si="2"/>
        <v>0</v>
      </c>
      <c r="AC32" s="123">
        <f t="shared" si="2"/>
        <v>0</v>
      </c>
      <c r="AD32" s="123">
        <f t="shared" si="2"/>
        <v>0</v>
      </c>
      <c r="AE32" s="123">
        <f t="shared" si="2"/>
        <v>0</v>
      </c>
      <c r="AF32" s="123">
        <f t="shared" si="2"/>
        <v>0</v>
      </c>
      <c r="AG32" s="123">
        <f t="shared" si="2"/>
        <v>0</v>
      </c>
      <c r="AH32" s="123">
        <f t="shared" si="2"/>
        <v>0</v>
      </c>
      <c r="AI32" s="123">
        <f t="shared" si="2"/>
        <v>0</v>
      </c>
      <c r="AJ32" s="123">
        <f t="shared" si="2"/>
        <v>0</v>
      </c>
      <c r="AK32" s="123">
        <f t="shared" si="2"/>
        <v>0</v>
      </c>
      <c r="AL32" s="123">
        <f t="shared" si="2"/>
        <v>0</v>
      </c>
      <c r="AM32" s="123">
        <f t="shared" si="2"/>
        <v>0</v>
      </c>
      <c r="AN32" s="123">
        <f t="shared" si="2"/>
        <v>0</v>
      </c>
      <c r="AO32" s="123">
        <f t="shared" si="2"/>
        <v>0</v>
      </c>
      <c r="AP32" s="123">
        <f t="shared" si="2"/>
        <v>0</v>
      </c>
      <c r="AQ32" s="123">
        <f t="shared" si="2"/>
        <v>0</v>
      </c>
      <c r="AR32" s="123">
        <f t="shared" si="2"/>
        <v>0</v>
      </c>
      <c r="AS32" s="123">
        <f t="shared" si="2"/>
        <v>0</v>
      </c>
      <c r="AT32" s="126">
        <f t="shared" ref="AT32:AT42" si="3">SUM(D32:AS32)</f>
        <v>0</v>
      </c>
    </row>
    <row r="33" spans="1:46" x14ac:dyDescent="0.2">
      <c r="A33" s="432">
        <f>A32+1</f>
        <v>4</v>
      </c>
      <c r="B33" s="32"/>
      <c r="C33" s="32" t="s">
        <v>173</v>
      </c>
      <c r="D33" s="445"/>
      <c r="E33" s="57">
        <f>E49*$F11</f>
        <v>1231199.2382840859</v>
      </c>
      <c r="F33" s="123">
        <f t="shared" ref="F33:AS33" si="4">F49*$F11</f>
        <v>1191942.0404744437</v>
      </c>
      <c r="G33" s="123">
        <f t="shared" si="4"/>
        <v>1148847.5994147151</v>
      </c>
      <c r="H33" s="123">
        <f t="shared" si="4"/>
        <v>1107119.2012202374</v>
      </c>
      <c r="I33" s="123">
        <f t="shared" si="4"/>
        <v>1066654.5893233626</v>
      </c>
      <c r="J33" s="123">
        <f t="shared" si="4"/>
        <v>1027359.3730462614</v>
      </c>
      <c r="K33" s="123">
        <f t="shared" si="4"/>
        <v>989145.71661928692</v>
      </c>
      <c r="L33" s="123">
        <f t="shared" si="4"/>
        <v>951932.33918097534</v>
      </c>
      <c r="M33" s="123">
        <f t="shared" si="4"/>
        <v>915277.43991981994</v>
      </c>
      <c r="N33" s="123">
        <f t="shared" si="4"/>
        <v>878702.51053849212</v>
      </c>
      <c r="O33" s="123">
        <f t="shared" si="4"/>
        <v>842127.58115716453</v>
      </c>
      <c r="P33" s="123">
        <f t="shared" si="4"/>
        <v>805552.65177583671</v>
      </c>
      <c r="Q33" s="123">
        <f t="shared" si="4"/>
        <v>768977.72239450901</v>
      </c>
      <c r="R33" s="123">
        <f t="shared" si="4"/>
        <v>732402.79301318119</v>
      </c>
      <c r="S33" s="123">
        <f t="shared" si="4"/>
        <v>695827.86363185337</v>
      </c>
      <c r="T33" s="123">
        <f t="shared" si="4"/>
        <v>659252.93425052566</v>
      </c>
      <c r="U33" s="123">
        <f t="shared" si="4"/>
        <v>622678.00486919796</v>
      </c>
      <c r="V33" s="123">
        <f t="shared" si="4"/>
        <v>586103.07548787026</v>
      </c>
      <c r="W33" s="123">
        <f t="shared" si="4"/>
        <v>549528.14610654255</v>
      </c>
      <c r="X33" s="123">
        <f t="shared" si="4"/>
        <v>512953.21672521479</v>
      </c>
      <c r="Y33" s="123">
        <f t="shared" si="4"/>
        <v>479303.08737495739</v>
      </c>
      <c r="Z33" s="123">
        <f t="shared" si="4"/>
        <v>451501.24710520415</v>
      </c>
      <c r="AA33" s="123">
        <f t="shared" si="4"/>
        <v>426624.2068665211</v>
      </c>
      <c r="AB33" s="123">
        <f t="shared" si="4"/>
        <v>401747.16662783799</v>
      </c>
      <c r="AC33" s="123">
        <f t="shared" si="4"/>
        <v>376870.12638915493</v>
      </c>
      <c r="AD33" s="123">
        <f t="shared" si="4"/>
        <v>351993.08615047188</v>
      </c>
      <c r="AE33" s="123">
        <f t="shared" si="4"/>
        <v>327116.04591178882</v>
      </c>
      <c r="AF33" s="123">
        <f t="shared" si="4"/>
        <v>302239.00567310583</v>
      </c>
      <c r="AG33" s="123">
        <f t="shared" si="4"/>
        <v>277361.96543442272</v>
      </c>
      <c r="AH33" s="123">
        <f t="shared" si="4"/>
        <v>252484.92519573966</v>
      </c>
      <c r="AI33" s="123">
        <f t="shared" si="4"/>
        <v>227607.88495705661</v>
      </c>
      <c r="AJ33" s="123">
        <f t="shared" si="4"/>
        <v>202730.84471837344</v>
      </c>
      <c r="AK33" s="123">
        <f t="shared" si="4"/>
        <v>177853.80447969027</v>
      </c>
      <c r="AL33" s="123">
        <f t="shared" si="4"/>
        <v>152976.76424100713</v>
      </c>
      <c r="AM33" s="123">
        <f t="shared" si="4"/>
        <v>128099.72400232394</v>
      </c>
      <c r="AN33" s="123">
        <f t="shared" si="4"/>
        <v>103222.6837636408</v>
      </c>
      <c r="AO33" s="123">
        <f t="shared" si="4"/>
        <v>78345.643524957617</v>
      </c>
      <c r="AP33" s="123">
        <f t="shared" si="4"/>
        <v>53468.603286274469</v>
      </c>
      <c r="AQ33" s="123">
        <f t="shared" si="4"/>
        <v>28591.563047591302</v>
      </c>
      <c r="AR33" s="123">
        <f t="shared" si="4"/>
        <v>4450.1687154081392</v>
      </c>
      <c r="AS33" s="123">
        <f t="shared" si="4"/>
        <v>-7252.7054974334433</v>
      </c>
      <c r="AT33" s="126">
        <f t="shared" si="3"/>
        <v>22080919.87940168</v>
      </c>
    </row>
    <row r="34" spans="1:46" x14ac:dyDescent="0.2">
      <c r="A34" s="432">
        <f>A33+1</f>
        <v>5</v>
      </c>
      <c r="B34" s="21"/>
      <c r="C34" s="21" t="s">
        <v>9</v>
      </c>
      <c r="D34" s="445"/>
      <c r="E34" s="59">
        <f>E49*$F12</f>
        <v>1983840.4687545698</v>
      </c>
      <c r="F34" s="121">
        <f t="shared" ref="F34:AS34" si="5">F49*$F12</f>
        <v>1920585.054616065</v>
      </c>
      <c r="G34" s="121">
        <f t="shared" si="5"/>
        <v>1851146.6619544527</v>
      </c>
      <c r="H34" s="121">
        <f t="shared" si="5"/>
        <v>1783909.384298333</v>
      </c>
      <c r="I34" s="121">
        <f t="shared" si="5"/>
        <v>1718708.4548814606</v>
      </c>
      <c r="J34" s="121">
        <f t="shared" si="5"/>
        <v>1655391.7813042235</v>
      </c>
      <c r="K34" s="121">
        <f t="shared" si="5"/>
        <v>1593817.8331392044</v>
      </c>
      <c r="L34" s="121">
        <f t="shared" si="5"/>
        <v>1533855.6419311829</v>
      </c>
      <c r="M34" s="121">
        <f t="shared" si="5"/>
        <v>1474793.3307541977</v>
      </c>
      <c r="N34" s="121">
        <f t="shared" si="5"/>
        <v>1415859.8756379944</v>
      </c>
      <c r="O34" s="121">
        <f t="shared" si="5"/>
        <v>1356926.4205217916</v>
      </c>
      <c r="P34" s="121">
        <f t="shared" si="5"/>
        <v>1297992.9654055887</v>
      </c>
      <c r="Q34" s="121">
        <f t="shared" si="5"/>
        <v>1239059.5102893857</v>
      </c>
      <c r="R34" s="121">
        <f t="shared" si="5"/>
        <v>1180126.0551731824</v>
      </c>
      <c r="S34" s="121">
        <f t="shared" si="5"/>
        <v>1121192.6000569793</v>
      </c>
      <c r="T34" s="121">
        <f t="shared" si="5"/>
        <v>1062259.1449407765</v>
      </c>
      <c r="U34" s="121">
        <f t="shared" si="5"/>
        <v>1003325.6898245735</v>
      </c>
      <c r="V34" s="121">
        <f t="shared" si="5"/>
        <v>944392.23470837064</v>
      </c>
      <c r="W34" s="121">
        <f t="shared" si="5"/>
        <v>885458.77959216759</v>
      </c>
      <c r="X34" s="121">
        <f t="shared" si="5"/>
        <v>826525.32447596453</v>
      </c>
      <c r="Y34" s="121">
        <f t="shared" si="5"/>
        <v>772304.6213532883</v>
      </c>
      <c r="Z34" s="121">
        <f t="shared" si="5"/>
        <v>727507.30982322653</v>
      </c>
      <c r="AA34" s="121">
        <f t="shared" si="5"/>
        <v>687422.75028669124</v>
      </c>
      <c r="AB34" s="121">
        <f t="shared" si="5"/>
        <v>647338.19075015595</v>
      </c>
      <c r="AC34" s="121">
        <f t="shared" si="5"/>
        <v>607253.63121362077</v>
      </c>
      <c r="AD34" s="121">
        <f t="shared" si="5"/>
        <v>567169.07167708548</v>
      </c>
      <c r="AE34" s="121">
        <f t="shared" si="5"/>
        <v>527084.51214055018</v>
      </c>
      <c r="AF34" s="121">
        <f t="shared" si="5"/>
        <v>486999.95260401507</v>
      </c>
      <c r="AG34" s="121">
        <f t="shared" si="5"/>
        <v>446915.39306747977</v>
      </c>
      <c r="AH34" s="121">
        <f t="shared" si="5"/>
        <v>406830.83353094454</v>
      </c>
      <c r="AI34" s="121">
        <f t="shared" si="5"/>
        <v>366746.27399440925</v>
      </c>
      <c r="AJ34" s="121">
        <f t="shared" si="5"/>
        <v>326661.71445787384</v>
      </c>
      <c r="AK34" s="121">
        <f t="shared" si="5"/>
        <v>286577.15492133843</v>
      </c>
      <c r="AL34" s="121">
        <f t="shared" si="5"/>
        <v>246492.59538480302</v>
      </c>
      <c r="AM34" s="121">
        <f t="shared" si="5"/>
        <v>206408.03584826758</v>
      </c>
      <c r="AN34" s="121">
        <f t="shared" si="5"/>
        <v>166323.47631173217</v>
      </c>
      <c r="AO34" s="121">
        <f t="shared" si="5"/>
        <v>126238.91677519675</v>
      </c>
      <c r="AP34" s="121">
        <f t="shared" si="5"/>
        <v>86154.357238661338</v>
      </c>
      <c r="AQ34" s="121">
        <f t="shared" si="5"/>
        <v>46069.797702125921</v>
      </c>
      <c r="AR34" s="121">
        <f t="shared" si="5"/>
        <v>7170.5898735905002</v>
      </c>
      <c r="AS34" s="121">
        <f t="shared" si="5"/>
        <v>-11686.338186677209</v>
      </c>
      <c r="AT34" s="126">
        <f t="shared" si="3"/>
        <v>35579150.053028844</v>
      </c>
    </row>
    <row r="35" spans="1:46" x14ac:dyDescent="0.2">
      <c r="A35" s="432">
        <f>A34+1</f>
        <v>6</v>
      </c>
      <c r="B35" s="21"/>
      <c r="C35" s="21" t="s">
        <v>58</v>
      </c>
      <c r="D35" s="445"/>
      <c r="E35" s="57">
        <f>E32+E33+E34</f>
        <v>3215039.7070386559</v>
      </c>
      <c r="F35" s="123">
        <f>F32+F33+F34</f>
        <v>3112527.0950905085</v>
      </c>
      <c r="G35" s="123">
        <f>G32+G33+G34</f>
        <v>2999994.2613691678</v>
      </c>
      <c r="H35" s="123">
        <f t="shared" ref="H35:AS35" si="6">H32+H33+H34</f>
        <v>2891028.5855185706</v>
      </c>
      <c r="I35" s="123">
        <f t="shared" si="6"/>
        <v>2785363.0442048232</v>
      </c>
      <c r="J35" s="123">
        <f t="shared" si="6"/>
        <v>2682751.1543504847</v>
      </c>
      <c r="K35" s="123">
        <f t="shared" si="6"/>
        <v>2582963.5497584911</v>
      </c>
      <c r="L35" s="123">
        <f t="shared" si="6"/>
        <v>2485787.9811121584</v>
      </c>
      <c r="M35" s="123">
        <f t="shared" si="6"/>
        <v>2390070.7706740177</v>
      </c>
      <c r="N35" s="123">
        <f t="shared" si="6"/>
        <v>2294562.3861764865</v>
      </c>
      <c r="O35" s="123">
        <f t="shared" si="6"/>
        <v>2199054.0016789562</v>
      </c>
      <c r="P35" s="123">
        <f t="shared" si="6"/>
        <v>2103545.6171814254</v>
      </c>
      <c r="Q35" s="123">
        <f t="shared" si="6"/>
        <v>2008037.2326838947</v>
      </c>
      <c r="R35" s="123">
        <f t="shared" si="6"/>
        <v>1912528.8481863635</v>
      </c>
      <c r="S35" s="123">
        <f t="shared" si="6"/>
        <v>1817020.4636888327</v>
      </c>
      <c r="T35" s="123">
        <f t="shared" si="6"/>
        <v>1721512.0791913022</v>
      </c>
      <c r="U35" s="123">
        <f t="shared" si="6"/>
        <v>1626003.6946937714</v>
      </c>
      <c r="V35" s="123">
        <f t="shared" si="6"/>
        <v>1530495.3101962409</v>
      </c>
      <c r="W35" s="123">
        <f t="shared" si="6"/>
        <v>1434986.9256987101</v>
      </c>
      <c r="X35" s="123">
        <f t="shared" si="6"/>
        <v>1339478.5412011794</v>
      </c>
      <c r="Y35" s="123">
        <f t="shared" si="6"/>
        <v>1251607.7087282457</v>
      </c>
      <c r="Z35" s="123">
        <f t="shared" si="6"/>
        <v>1179008.5569284307</v>
      </c>
      <c r="AA35" s="123">
        <f t="shared" si="6"/>
        <v>1114046.9571532123</v>
      </c>
      <c r="AB35" s="123">
        <f t="shared" si="6"/>
        <v>1049085.3573779939</v>
      </c>
      <c r="AC35" s="123">
        <f t="shared" si="6"/>
        <v>984123.7576027757</v>
      </c>
      <c r="AD35" s="123">
        <f t="shared" si="6"/>
        <v>919162.1578275573</v>
      </c>
      <c r="AE35" s="123">
        <f t="shared" si="6"/>
        <v>854200.55805233901</v>
      </c>
      <c r="AF35" s="123">
        <f t="shared" si="6"/>
        <v>789238.95827712095</v>
      </c>
      <c r="AG35" s="123">
        <f t="shared" si="6"/>
        <v>724277.35850190255</v>
      </c>
      <c r="AH35" s="123">
        <f t="shared" si="6"/>
        <v>659315.75872668414</v>
      </c>
      <c r="AI35" s="123">
        <f t="shared" si="6"/>
        <v>594354.15895146586</v>
      </c>
      <c r="AJ35" s="123">
        <f t="shared" si="6"/>
        <v>529392.55917624733</v>
      </c>
      <c r="AK35" s="123">
        <f t="shared" si="6"/>
        <v>464430.9594010287</v>
      </c>
      <c r="AL35" s="123">
        <f t="shared" si="6"/>
        <v>399469.35962581018</v>
      </c>
      <c r="AM35" s="123">
        <f t="shared" si="6"/>
        <v>334507.75985059154</v>
      </c>
      <c r="AN35" s="123">
        <f t="shared" si="6"/>
        <v>269546.16007537296</v>
      </c>
      <c r="AO35" s="123">
        <f t="shared" si="6"/>
        <v>204584.56030015438</v>
      </c>
      <c r="AP35" s="123">
        <f t="shared" si="6"/>
        <v>139622.9605249358</v>
      </c>
      <c r="AQ35" s="123">
        <f t="shared" si="6"/>
        <v>74661.36074971722</v>
      </c>
      <c r="AR35" s="123">
        <f t="shared" si="6"/>
        <v>11620.75858899864</v>
      </c>
      <c r="AS35" s="123">
        <f t="shared" si="6"/>
        <v>-18939.043684110653</v>
      </c>
      <c r="AT35" s="126">
        <f t="shared" si="3"/>
        <v>57660069.932430528</v>
      </c>
    </row>
    <row r="36" spans="1:46" x14ac:dyDescent="0.2">
      <c r="A36" s="21"/>
      <c r="B36" s="21"/>
      <c r="C36" s="21"/>
      <c r="D36" s="445"/>
      <c r="E36" s="57"/>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6">
        <f t="shared" si="3"/>
        <v>0</v>
      </c>
    </row>
    <row r="37" spans="1:46" x14ac:dyDescent="0.2">
      <c r="A37" s="432">
        <f>A35+1</f>
        <v>7</v>
      </c>
      <c r="B37" s="21" t="s">
        <v>59</v>
      </c>
      <c r="C37" s="21"/>
      <c r="D37" s="445"/>
      <c r="E37" s="60">
        <f>E27+E29+E35</f>
        <v>4855107.8800713299</v>
      </c>
      <c r="F37" s="120">
        <f>F27+F29+F35</f>
        <v>4735780.5377825676</v>
      </c>
      <c r="G37" s="120">
        <f t="shared" ref="G37:AS37" si="7">G27+G29+G35</f>
        <v>4604789.3971511777</v>
      </c>
      <c r="H37" s="120">
        <f t="shared" si="7"/>
        <v>4477950.5209109792</v>
      </c>
      <c r="I37" s="120">
        <f t="shared" si="7"/>
        <v>4354953.086967431</v>
      </c>
      <c r="J37" s="120">
        <f t="shared" si="7"/>
        <v>4235510.1826178767</v>
      </c>
      <c r="K37" s="120">
        <f t="shared" si="7"/>
        <v>4119354.8196529038</v>
      </c>
      <c r="L37" s="120">
        <f t="shared" si="7"/>
        <v>4006239.9343563374</v>
      </c>
      <c r="M37" s="120">
        <f t="shared" si="7"/>
        <v>3894822.6158838086</v>
      </c>
      <c r="N37" s="120">
        <f t="shared" si="7"/>
        <v>3783648.3762288052</v>
      </c>
      <c r="O37" s="120">
        <f t="shared" si="7"/>
        <v>3672474.1365738036</v>
      </c>
      <c r="P37" s="120">
        <f t="shared" si="7"/>
        <v>3561299.8969188011</v>
      </c>
      <c r="Q37" s="120">
        <f t="shared" si="7"/>
        <v>3450125.6572637986</v>
      </c>
      <c r="R37" s="120">
        <f t="shared" si="7"/>
        <v>3338951.4176087957</v>
      </c>
      <c r="S37" s="120">
        <f t="shared" si="7"/>
        <v>3227777.1779537932</v>
      </c>
      <c r="T37" s="120">
        <f t="shared" si="7"/>
        <v>3116602.9382987907</v>
      </c>
      <c r="U37" s="120">
        <f t="shared" si="7"/>
        <v>3005428.6986437887</v>
      </c>
      <c r="V37" s="120">
        <f t="shared" si="7"/>
        <v>2894254.4589887862</v>
      </c>
      <c r="W37" s="120">
        <f t="shared" si="7"/>
        <v>2783080.2193337837</v>
      </c>
      <c r="X37" s="120">
        <f t="shared" si="7"/>
        <v>2671905.9796787817</v>
      </c>
      <c r="Y37" s="120">
        <f t="shared" si="7"/>
        <v>2569622.048907415</v>
      </c>
      <c r="Z37" s="120">
        <f t="shared" si="7"/>
        <v>2485114.7510046717</v>
      </c>
      <c r="AA37" s="120">
        <f t="shared" si="7"/>
        <v>2409497.7619855646</v>
      </c>
      <c r="AB37" s="120">
        <f t="shared" si="7"/>
        <v>2333880.7729664566</v>
      </c>
      <c r="AC37" s="120">
        <f t="shared" si="7"/>
        <v>2258263.7839473495</v>
      </c>
      <c r="AD37" s="120">
        <f t="shared" si="7"/>
        <v>2182646.7949282425</v>
      </c>
      <c r="AE37" s="120">
        <f t="shared" si="7"/>
        <v>2107029.8059091349</v>
      </c>
      <c r="AF37" s="120">
        <f t="shared" si="7"/>
        <v>2031412.8168900276</v>
      </c>
      <c r="AG37" s="120">
        <f t="shared" si="7"/>
        <v>1955795.8278709201</v>
      </c>
      <c r="AH37" s="120">
        <f t="shared" si="7"/>
        <v>1880178.8388518125</v>
      </c>
      <c r="AI37" s="120">
        <f t="shared" si="7"/>
        <v>1804561.8498327052</v>
      </c>
      <c r="AJ37" s="120">
        <f t="shared" si="7"/>
        <v>1728944.8608135975</v>
      </c>
      <c r="AK37" s="120">
        <f t="shared" si="7"/>
        <v>1653327.8717944897</v>
      </c>
      <c r="AL37" s="120">
        <f t="shared" si="7"/>
        <v>1577710.8827753821</v>
      </c>
      <c r="AM37" s="120">
        <f t="shared" si="7"/>
        <v>1502093.8937562741</v>
      </c>
      <c r="AN37" s="120">
        <f t="shared" si="7"/>
        <v>1426476.9047371664</v>
      </c>
      <c r="AO37" s="120">
        <f t="shared" si="7"/>
        <v>1350859.9157180586</v>
      </c>
      <c r="AP37" s="120">
        <f t="shared" si="7"/>
        <v>1275242.9266989508</v>
      </c>
      <c r="AQ37" s="120">
        <f t="shared" si="7"/>
        <v>1199625.937679843</v>
      </c>
      <c r="AR37" s="120">
        <f t="shared" si="7"/>
        <v>1060436.0397672353</v>
      </c>
      <c r="AS37" s="120">
        <f t="shared" si="7"/>
        <v>-22045.538645126115</v>
      </c>
      <c r="AT37" s="126">
        <f t="shared" si="3"/>
        <v>111560736.68107632</v>
      </c>
    </row>
    <row r="38" spans="1:46" x14ac:dyDescent="0.2">
      <c r="A38" s="432">
        <f>A37+1</f>
        <v>8</v>
      </c>
      <c r="B38" s="21" t="s">
        <v>60</v>
      </c>
      <c r="C38" s="21"/>
      <c r="D38" s="445"/>
      <c r="E38" s="59">
        <f>E37/(1-$F16)-E37</f>
        <v>231155.40763645619</v>
      </c>
      <c r="F38" s="121">
        <f t="shared" ref="F38:AS38" si="8">F37/(1-$F16)-F37</f>
        <v>225474.14140503947</v>
      </c>
      <c r="G38" s="121">
        <f t="shared" si="8"/>
        <v>219237.55279416591</v>
      </c>
      <c r="H38" s="121">
        <f t="shared" si="8"/>
        <v>213198.6566736903</v>
      </c>
      <c r="I38" s="121">
        <f t="shared" si="8"/>
        <v>207342.65456544422</v>
      </c>
      <c r="J38" s="121">
        <f t="shared" si="8"/>
        <v>201655.88633573521</v>
      </c>
      <c r="K38" s="121">
        <f t="shared" si="8"/>
        <v>196125.64047126286</v>
      </c>
      <c r="L38" s="121">
        <f t="shared" si="8"/>
        <v>190740.15407912619</v>
      </c>
      <c r="M38" s="121">
        <f t="shared" si="8"/>
        <v>185435.49014467653</v>
      </c>
      <c r="N38" s="121">
        <f t="shared" si="8"/>
        <v>180142.39937905036</v>
      </c>
      <c r="O38" s="121">
        <f t="shared" si="8"/>
        <v>174849.30861342419</v>
      </c>
      <c r="P38" s="121">
        <f t="shared" si="8"/>
        <v>169556.21784779755</v>
      </c>
      <c r="Q38" s="121">
        <f t="shared" si="8"/>
        <v>164263.12708217138</v>
      </c>
      <c r="R38" s="121">
        <f t="shared" si="8"/>
        <v>158970.03631654521</v>
      </c>
      <c r="S38" s="121">
        <f t="shared" si="8"/>
        <v>153676.94555091858</v>
      </c>
      <c r="T38" s="121">
        <f t="shared" si="8"/>
        <v>148383.85478529241</v>
      </c>
      <c r="U38" s="121">
        <f t="shared" si="8"/>
        <v>143090.76401966624</v>
      </c>
      <c r="V38" s="121">
        <f t="shared" si="8"/>
        <v>137797.6732540396</v>
      </c>
      <c r="W38" s="121">
        <f t="shared" si="8"/>
        <v>132504.58248841343</v>
      </c>
      <c r="X38" s="121">
        <f t="shared" si="8"/>
        <v>127211.49172278726</v>
      </c>
      <c r="Y38" s="121">
        <f t="shared" si="8"/>
        <v>122341.67537758034</v>
      </c>
      <c r="Z38" s="121">
        <f t="shared" si="8"/>
        <v>118318.21814913303</v>
      </c>
      <c r="AA38" s="121">
        <f t="shared" si="8"/>
        <v>114718.03534110542</v>
      </c>
      <c r="AB38" s="121">
        <f t="shared" si="8"/>
        <v>111117.85253307736</v>
      </c>
      <c r="AC38" s="121">
        <f t="shared" si="8"/>
        <v>107517.66972504975</v>
      </c>
      <c r="AD38" s="121">
        <f t="shared" si="8"/>
        <v>103917.48691702168</v>
      </c>
      <c r="AE38" s="121">
        <f t="shared" si="8"/>
        <v>100317.30410899408</v>
      </c>
      <c r="AF38" s="121">
        <f t="shared" si="8"/>
        <v>96717.121300966246</v>
      </c>
      <c r="AG38" s="121">
        <f t="shared" si="8"/>
        <v>93116.93849293841</v>
      </c>
      <c r="AH38" s="121">
        <f t="shared" si="8"/>
        <v>89516.755684910575</v>
      </c>
      <c r="AI38" s="121">
        <f t="shared" si="8"/>
        <v>85916.572876882739</v>
      </c>
      <c r="AJ38" s="121">
        <f t="shared" si="8"/>
        <v>82316.390068854904</v>
      </c>
      <c r="AK38" s="121">
        <f t="shared" si="8"/>
        <v>78716.207260827068</v>
      </c>
      <c r="AL38" s="121">
        <f t="shared" si="8"/>
        <v>75116.024452799233</v>
      </c>
      <c r="AM38" s="121">
        <f t="shared" si="8"/>
        <v>71515.841644771397</v>
      </c>
      <c r="AN38" s="121">
        <f t="shared" si="8"/>
        <v>67915.658836743562</v>
      </c>
      <c r="AO38" s="121">
        <f t="shared" si="8"/>
        <v>64315.476028715726</v>
      </c>
      <c r="AP38" s="121">
        <f t="shared" si="8"/>
        <v>60715.29322068789</v>
      </c>
      <c r="AQ38" s="121">
        <f t="shared" si="8"/>
        <v>57115.110412660055</v>
      </c>
      <c r="AR38" s="121">
        <f t="shared" si="8"/>
        <v>50488.172683236655</v>
      </c>
      <c r="AS38" s="121">
        <f t="shared" si="8"/>
        <v>-1049.6049929182009</v>
      </c>
      <c r="AT38" s="126">
        <f t="shared" si="3"/>
        <v>5311492.1852897415</v>
      </c>
    </row>
    <row r="39" spans="1:46" x14ac:dyDescent="0.2">
      <c r="A39" s="432">
        <f>A38+1</f>
        <v>9</v>
      </c>
      <c r="B39" s="21"/>
      <c r="C39" s="21" t="s">
        <v>61</v>
      </c>
      <c r="D39" s="445"/>
      <c r="E39" s="60">
        <f>SUM(E37:E38)</f>
        <v>5086263.2877077861</v>
      </c>
      <c r="F39" s="120">
        <f t="shared" ref="F39:AS39" si="9">SUM(F37:F38)</f>
        <v>4961254.679187607</v>
      </c>
      <c r="G39" s="120">
        <f t="shared" si="9"/>
        <v>4824026.9499453437</v>
      </c>
      <c r="H39" s="120">
        <f t="shared" si="9"/>
        <v>4691149.1775846696</v>
      </c>
      <c r="I39" s="120">
        <f t="shared" si="9"/>
        <v>4562295.7415328752</v>
      </c>
      <c r="J39" s="120">
        <f t="shared" si="9"/>
        <v>4437166.0689536119</v>
      </c>
      <c r="K39" s="120">
        <f t="shared" si="9"/>
        <v>4315480.4601241667</v>
      </c>
      <c r="L39" s="120">
        <f t="shared" si="9"/>
        <v>4196980.0884354636</v>
      </c>
      <c r="M39" s="120">
        <f t="shared" si="9"/>
        <v>4080258.1060284851</v>
      </c>
      <c r="N39" s="120">
        <f t="shared" si="9"/>
        <v>3963790.7756078555</v>
      </c>
      <c r="O39" s="120">
        <f t="shared" si="9"/>
        <v>3847323.4451872278</v>
      </c>
      <c r="P39" s="120">
        <f t="shared" si="9"/>
        <v>3730856.1147665987</v>
      </c>
      <c r="Q39" s="120">
        <f t="shared" si="9"/>
        <v>3614388.78434597</v>
      </c>
      <c r="R39" s="120">
        <f t="shared" si="9"/>
        <v>3497921.4539253409</v>
      </c>
      <c r="S39" s="120">
        <f t="shared" si="9"/>
        <v>3381454.1235047118</v>
      </c>
      <c r="T39" s="120">
        <f t="shared" si="9"/>
        <v>3264986.7930840831</v>
      </c>
      <c r="U39" s="120">
        <f t="shared" si="9"/>
        <v>3148519.4626634549</v>
      </c>
      <c r="V39" s="120">
        <f t="shared" si="9"/>
        <v>3032052.1322428258</v>
      </c>
      <c r="W39" s="120">
        <f t="shared" si="9"/>
        <v>2915584.8018221972</v>
      </c>
      <c r="X39" s="120">
        <f t="shared" si="9"/>
        <v>2799117.471401569</v>
      </c>
      <c r="Y39" s="120">
        <f t="shared" si="9"/>
        <v>2691963.7242849953</v>
      </c>
      <c r="Z39" s="120">
        <f t="shared" si="9"/>
        <v>2603432.9691538047</v>
      </c>
      <c r="AA39" s="120">
        <f t="shared" si="9"/>
        <v>2524215.79732667</v>
      </c>
      <c r="AB39" s="120">
        <f t="shared" si="9"/>
        <v>2444998.625499534</v>
      </c>
      <c r="AC39" s="120">
        <f t="shared" si="9"/>
        <v>2365781.4536723993</v>
      </c>
      <c r="AD39" s="120">
        <f t="shared" si="9"/>
        <v>2286564.2818452641</v>
      </c>
      <c r="AE39" s="120">
        <f t="shared" si="9"/>
        <v>2207347.110018129</v>
      </c>
      <c r="AF39" s="120">
        <f t="shared" si="9"/>
        <v>2128129.9381909939</v>
      </c>
      <c r="AG39" s="120">
        <f t="shared" si="9"/>
        <v>2048912.7663638585</v>
      </c>
      <c r="AH39" s="120">
        <f t="shared" si="9"/>
        <v>1969695.5945367231</v>
      </c>
      <c r="AI39" s="120">
        <f t="shared" si="9"/>
        <v>1890478.422709588</v>
      </c>
      <c r="AJ39" s="120">
        <f t="shared" si="9"/>
        <v>1811261.2508824524</v>
      </c>
      <c r="AK39" s="120">
        <f t="shared" si="9"/>
        <v>1732044.0790553167</v>
      </c>
      <c r="AL39" s="120">
        <f t="shared" si="9"/>
        <v>1652826.9072281814</v>
      </c>
      <c r="AM39" s="120">
        <f t="shared" si="9"/>
        <v>1573609.7354010455</v>
      </c>
      <c r="AN39" s="120">
        <f t="shared" si="9"/>
        <v>1494392.5635739099</v>
      </c>
      <c r="AO39" s="120">
        <f t="shared" si="9"/>
        <v>1415175.3917467743</v>
      </c>
      <c r="AP39" s="120">
        <f t="shared" si="9"/>
        <v>1335958.2199196387</v>
      </c>
      <c r="AQ39" s="120">
        <f t="shared" si="9"/>
        <v>1256741.0480925031</v>
      </c>
      <c r="AR39" s="120">
        <f t="shared" si="9"/>
        <v>1110924.2124504719</v>
      </c>
      <c r="AS39" s="120">
        <f t="shared" si="9"/>
        <v>-23095.143638044316</v>
      </c>
      <c r="AT39" s="126">
        <f t="shared" si="3"/>
        <v>116872228.86636603</v>
      </c>
    </row>
    <row r="40" spans="1:46" x14ac:dyDescent="0.2">
      <c r="A40" s="432">
        <f t="shared" ref="A40:A66" si="10">A39+1</f>
        <v>10</v>
      </c>
      <c r="B40" s="21"/>
      <c r="C40" s="21"/>
      <c r="D40" s="445"/>
      <c r="E40" s="6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6">
        <f t="shared" si="3"/>
        <v>0</v>
      </c>
    </row>
    <row r="41" spans="1:46" x14ac:dyDescent="0.2">
      <c r="A41" s="432">
        <f t="shared" si="10"/>
        <v>11</v>
      </c>
      <c r="B41" s="21"/>
      <c r="C41" s="21"/>
      <c r="D41" s="445"/>
      <c r="E41" s="57"/>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6">
        <f t="shared" si="3"/>
        <v>0</v>
      </c>
    </row>
    <row r="42" spans="1:46" x14ac:dyDescent="0.2">
      <c r="A42" s="432">
        <f t="shared" si="10"/>
        <v>12</v>
      </c>
      <c r="B42" s="21" t="s">
        <v>208</v>
      </c>
      <c r="C42" s="21"/>
      <c r="D42" s="445"/>
      <c r="E42" s="59">
        <f>E39</f>
        <v>5086263.2877077861</v>
      </c>
      <c r="F42" s="121">
        <f>F39</f>
        <v>4961254.679187607</v>
      </c>
      <c r="G42" s="121">
        <f t="shared" ref="G42:AS42" si="11">G39</f>
        <v>4824026.9499453437</v>
      </c>
      <c r="H42" s="121">
        <f t="shared" si="11"/>
        <v>4691149.1775846696</v>
      </c>
      <c r="I42" s="121">
        <f t="shared" si="11"/>
        <v>4562295.7415328752</v>
      </c>
      <c r="J42" s="121">
        <f t="shared" si="11"/>
        <v>4437166.0689536119</v>
      </c>
      <c r="K42" s="121">
        <f t="shared" si="11"/>
        <v>4315480.4601241667</v>
      </c>
      <c r="L42" s="121">
        <f t="shared" si="11"/>
        <v>4196980.0884354636</v>
      </c>
      <c r="M42" s="121">
        <f t="shared" si="11"/>
        <v>4080258.1060284851</v>
      </c>
      <c r="N42" s="121">
        <f t="shared" si="11"/>
        <v>3963790.7756078555</v>
      </c>
      <c r="O42" s="121">
        <f t="shared" si="11"/>
        <v>3847323.4451872278</v>
      </c>
      <c r="P42" s="121">
        <f t="shared" si="11"/>
        <v>3730856.1147665987</v>
      </c>
      <c r="Q42" s="121">
        <f t="shared" si="11"/>
        <v>3614388.78434597</v>
      </c>
      <c r="R42" s="121">
        <f t="shared" si="11"/>
        <v>3497921.4539253409</v>
      </c>
      <c r="S42" s="121">
        <f t="shared" si="11"/>
        <v>3381454.1235047118</v>
      </c>
      <c r="T42" s="121">
        <f t="shared" si="11"/>
        <v>3264986.7930840831</v>
      </c>
      <c r="U42" s="121">
        <f t="shared" si="11"/>
        <v>3148519.4626634549</v>
      </c>
      <c r="V42" s="121">
        <f t="shared" si="11"/>
        <v>3032052.1322428258</v>
      </c>
      <c r="W42" s="121">
        <f t="shared" si="11"/>
        <v>2915584.8018221972</v>
      </c>
      <c r="X42" s="121">
        <f t="shared" si="11"/>
        <v>2799117.471401569</v>
      </c>
      <c r="Y42" s="121">
        <f t="shared" si="11"/>
        <v>2691963.7242849953</v>
      </c>
      <c r="Z42" s="121">
        <f t="shared" si="11"/>
        <v>2603432.9691538047</v>
      </c>
      <c r="AA42" s="121">
        <f t="shared" si="11"/>
        <v>2524215.79732667</v>
      </c>
      <c r="AB42" s="121">
        <f t="shared" si="11"/>
        <v>2444998.625499534</v>
      </c>
      <c r="AC42" s="121">
        <f t="shared" si="11"/>
        <v>2365781.4536723993</v>
      </c>
      <c r="AD42" s="121">
        <f t="shared" si="11"/>
        <v>2286564.2818452641</v>
      </c>
      <c r="AE42" s="121">
        <f t="shared" si="11"/>
        <v>2207347.110018129</v>
      </c>
      <c r="AF42" s="121">
        <f t="shared" si="11"/>
        <v>2128129.9381909939</v>
      </c>
      <c r="AG42" s="121">
        <f t="shared" si="11"/>
        <v>2048912.7663638585</v>
      </c>
      <c r="AH42" s="121">
        <f t="shared" si="11"/>
        <v>1969695.5945367231</v>
      </c>
      <c r="AI42" s="121">
        <f t="shared" si="11"/>
        <v>1890478.422709588</v>
      </c>
      <c r="AJ42" s="121">
        <f t="shared" si="11"/>
        <v>1811261.2508824524</v>
      </c>
      <c r="AK42" s="121">
        <f t="shared" si="11"/>
        <v>1732044.0790553167</v>
      </c>
      <c r="AL42" s="121">
        <f t="shared" si="11"/>
        <v>1652826.9072281814</v>
      </c>
      <c r="AM42" s="121">
        <f t="shared" si="11"/>
        <v>1573609.7354010455</v>
      </c>
      <c r="AN42" s="121">
        <f t="shared" si="11"/>
        <v>1494392.5635739099</v>
      </c>
      <c r="AO42" s="121">
        <f t="shared" si="11"/>
        <v>1415175.3917467743</v>
      </c>
      <c r="AP42" s="121">
        <f t="shared" si="11"/>
        <v>1335958.2199196387</v>
      </c>
      <c r="AQ42" s="121">
        <f t="shared" si="11"/>
        <v>1256741.0480925031</v>
      </c>
      <c r="AR42" s="121">
        <f t="shared" si="11"/>
        <v>1110924.2124504719</v>
      </c>
      <c r="AS42" s="121">
        <f t="shared" si="11"/>
        <v>-23095.143638044316</v>
      </c>
      <c r="AT42" s="126">
        <f t="shared" si="3"/>
        <v>116872228.86636603</v>
      </c>
    </row>
    <row r="43" spans="1:46" x14ac:dyDescent="0.2">
      <c r="A43" s="432">
        <f t="shared" si="10"/>
        <v>13</v>
      </c>
      <c r="B43" s="21"/>
      <c r="C43" s="21"/>
      <c r="D43" s="445"/>
      <c r="E43" s="107"/>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row>
    <row r="44" spans="1:46" outlineLevel="1" x14ac:dyDescent="0.2">
      <c r="A44" s="432">
        <f t="shared" si="10"/>
        <v>14</v>
      </c>
      <c r="B44" s="21"/>
      <c r="C44" s="21"/>
      <c r="D44" s="445"/>
      <c r="E44" s="62"/>
      <c r="F44" s="445"/>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row>
    <row r="45" spans="1:46" outlineLevel="1" x14ac:dyDescent="0.2">
      <c r="A45" s="432">
        <f t="shared" si="10"/>
        <v>15</v>
      </c>
      <c r="B45" s="21" t="s">
        <v>63</v>
      </c>
      <c r="C45" s="445"/>
      <c r="D45" s="445"/>
      <c r="E45" s="64">
        <f>+E42/$F$22</f>
        <v>0.11528636968228996</v>
      </c>
      <c r="F45" s="122">
        <f t="shared" ref="F45:AS45" si="12">+F42/$F$22</f>
        <v>0.11245289688701494</v>
      </c>
      <c r="G45" s="122">
        <f t="shared" si="12"/>
        <v>0.10934246279636949</v>
      </c>
      <c r="H45" s="122">
        <f t="shared" si="12"/>
        <v>0.10633062579140083</v>
      </c>
      <c r="I45" s="122">
        <f t="shared" si="12"/>
        <v>0.10341000528412167</v>
      </c>
      <c r="J45" s="122">
        <f t="shared" si="12"/>
        <v>0.10057378842408216</v>
      </c>
      <c r="K45" s="122">
        <f t="shared" si="12"/>
        <v>9.7815635475446999E-2</v>
      </c>
      <c r="L45" s="122">
        <f t="shared" si="12"/>
        <v>9.5129679816995563E-2</v>
      </c>
      <c r="M45" s="122">
        <f t="shared" si="12"/>
        <v>9.2484033523705642E-2</v>
      </c>
      <c r="N45" s="122">
        <f t="shared" si="12"/>
        <v>8.9844159228713485E-2</v>
      </c>
      <c r="O45" s="122">
        <f t="shared" si="12"/>
        <v>8.7204284933721357E-2</v>
      </c>
      <c r="P45" s="122">
        <f t="shared" si="12"/>
        <v>8.4564410638729201E-2</v>
      </c>
      <c r="Q45" s="122">
        <f t="shared" si="12"/>
        <v>8.1924536343737059E-2</v>
      </c>
      <c r="R45" s="122">
        <f t="shared" si="12"/>
        <v>7.9284662048744903E-2</v>
      </c>
      <c r="S45" s="122">
        <f t="shared" si="12"/>
        <v>7.6644787753752761E-2</v>
      </c>
      <c r="T45" s="122">
        <f t="shared" si="12"/>
        <v>7.4004913458760618E-2</v>
      </c>
      <c r="U45" s="122">
        <f t="shared" si="12"/>
        <v>7.1365039163768476E-2</v>
      </c>
      <c r="V45" s="122">
        <f t="shared" si="12"/>
        <v>6.8725164868776334E-2</v>
      </c>
      <c r="W45" s="122">
        <f t="shared" si="12"/>
        <v>6.6085290573784192E-2</v>
      </c>
      <c r="X45" s="122">
        <f t="shared" si="12"/>
        <v>6.3445416278792049E-2</v>
      </c>
      <c r="Y45" s="122">
        <f t="shared" si="12"/>
        <v>6.1016645724821933E-2</v>
      </c>
      <c r="Z45" s="122">
        <f t="shared" si="12"/>
        <v>5.9009988029972947E-2</v>
      </c>
      <c r="AA45" s="122">
        <f t="shared" si="12"/>
        <v>5.7214434076146008E-2</v>
      </c>
      <c r="AB45" s="122">
        <f t="shared" si="12"/>
        <v>5.5418880122319034E-2</v>
      </c>
      <c r="AC45" s="122">
        <f t="shared" si="12"/>
        <v>5.3623326168492094E-2</v>
      </c>
      <c r="AD45" s="122">
        <f t="shared" si="12"/>
        <v>5.1827772214665141E-2</v>
      </c>
      <c r="AE45" s="122">
        <f t="shared" si="12"/>
        <v>5.0032218260838188E-2</v>
      </c>
      <c r="AF45" s="122">
        <f t="shared" si="12"/>
        <v>4.8236664307011234E-2</v>
      </c>
      <c r="AG45" s="122">
        <f t="shared" si="12"/>
        <v>4.6441110353184281E-2</v>
      </c>
      <c r="AH45" s="122">
        <f t="shared" si="12"/>
        <v>4.4645556399357321E-2</v>
      </c>
      <c r="AI45" s="122">
        <f t="shared" si="12"/>
        <v>4.2850002445530368E-2</v>
      </c>
      <c r="AJ45" s="122">
        <f t="shared" si="12"/>
        <v>4.1054448491703407E-2</v>
      </c>
      <c r="AK45" s="122">
        <f t="shared" si="12"/>
        <v>3.9258894537876447E-2</v>
      </c>
      <c r="AL45" s="122">
        <f t="shared" si="12"/>
        <v>3.7463340584049487E-2</v>
      </c>
      <c r="AM45" s="122">
        <f t="shared" si="12"/>
        <v>3.566778663022252E-2</v>
      </c>
      <c r="AN45" s="122">
        <f t="shared" si="12"/>
        <v>3.387223267639556E-2</v>
      </c>
      <c r="AO45" s="122">
        <f t="shared" si="12"/>
        <v>3.2076678722568593E-2</v>
      </c>
      <c r="AP45" s="122">
        <f t="shared" si="12"/>
        <v>3.0281124768741632E-2</v>
      </c>
      <c r="AQ45" s="122">
        <f t="shared" si="12"/>
        <v>2.8485570814914669E-2</v>
      </c>
      <c r="AR45" s="122">
        <f t="shared" si="12"/>
        <v>2.5180454137145331E-2</v>
      </c>
      <c r="AS45" s="122">
        <f t="shared" si="12"/>
        <v>-5.2347963853068469E-4</v>
      </c>
    </row>
    <row r="46" spans="1:46" outlineLevel="1" x14ac:dyDescent="0.2">
      <c r="A46" s="432">
        <f t="shared" si="10"/>
        <v>16</v>
      </c>
      <c r="B46" s="21"/>
      <c r="C46" s="21"/>
      <c r="D46" s="445"/>
      <c r="E46" s="62"/>
      <c r="F46" s="445"/>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row>
    <row r="47" spans="1:46" outlineLevel="1" x14ac:dyDescent="0.2">
      <c r="A47" s="432">
        <f t="shared" si="10"/>
        <v>17</v>
      </c>
      <c r="B47" s="21"/>
      <c r="C47" s="21"/>
      <c r="D47" s="445"/>
      <c r="E47" s="62">
        <f>+E27/2</f>
        <v>556359.08750465384</v>
      </c>
      <c r="F47" s="120"/>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row>
    <row r="48" spans="1:46" outlineLevel="1" x14ac:dyDescent="0.2">
      <c r="A48" s="432">
        <f t="shared" si="10"/>
        <v>18</v>
      </c>
      <c r="B48" s="21"/>
      <c r="C48" s="21"/>
      <c r="D48" s="445"/>
      <c r="E48" s="62">
        <f>+E60/2</f>
        <v>56881.23957243959</v>
      </c>
      <c r="F48" s="120"/>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row>
    <row r="49" spans="1:46" x14ac:dyDescent="0.2">
      <c r="A49" s="432">
        <f t="shared" si="10"/>
        <v>19</v>
      </c>
      <c r="B49" s="65" t="s">
        <v>64</v>
      </c>
      <c r="C49" s="21"/>
      <c r="D49" s="445"/>
      <c r="E49" s="60">
        <f>F22-E27/2-E60/2</f>
        <v>43505273.43760021</v>
      </c>
      <c r="F49" s="138">
        <f>$F$22-(SUM($E$27:E27)+F27/2)-(SUM($E$60:E60)+F60/2)</f>
        <v>42118093.30298388</v>
      </c>
      <c r="G49" s="138">
        <f>$F$22-(SUM($E$27:F27)+G27/2)-(SUM($E$60:F60)+G60/2)</f>
        <v>40595321.534088872</v>
      </c>
      <c r="H49" s="138">
        <f>$F$22-(SUM($E$27:G27)+H27/2)-(SUM($E$60:G60)+H60/2)</f>
        <v>39120819.831103794</v>
      </c>
      <c r="I49" s="138">
        <f>$F$22-(SUM($E$27:H27)+I27/2)-(SUM($E$60:H60)+I60/2)</f>
        <v>37690974.887751326</v>
      </c>
      <c r="J49" s="138">
        <f>$F$22-(SUM($E$27:I27)+J27/2)-(SUM($E$60:I60)+J60/2)</f>
        <v>36302451.344390862</v>
      </c>
      <c r="K49" s="138">
        <f>$F$22-(SUM($E$27:J27)+K27/2)-(SUM($E$60:J60)+K60/2)</f>
        <v>34952145.463579044</v>
      </c>
      <c r="L49" s="138">
        <f>$F$22-(SUM($E$27:K27)+L27/2)-(SUM($E$60:K60)+L60/2)</f>
        <v>33637185.1300698</v>
      </c>
      <c r="M49" s="138">
        <f>$F$22-(SUM($E$27:L27)+M27/2)-(SUM($E$60:L60)+M60/2)</f>
        <v>32341959.007767491</v>
      </c>
      <c r="N49" s="138">
        <f>$F$22-(SUM($E$27:M27)+N27/2)-(SUM($E$60:M60)+N60/2)</f>
        <v>31049558.676271807</v>
      </c>
      <c r="O49" s="138">
        <f>$F$22-(SUM($E$27:N27)+O27/2)-(SUM($E$60:N60)+O60/2)</f>
        <v>29757158.344776131</v>
      </c>
      <c r="P49" s="138">
        <f>$F$22-(SUM($E$27:O27)+P27/2)-(SUM($E$60:O60)+P60/2)</f>
        <v>28464758.013280451</v>
      </c>
      <c r="Q49" s="138">
        <f>$F$22-(SUM($E$27:P27)+Q27/2)-(SUM($E$60:P60)+Q60/2)</f>
        <v>27172357.681784771</v>
      </c>
      <c r="R49" s="138">
        <f>$F$22-(SUM($E$27:Q27)+R27/2)-(SUM($E$60:Q60)+R60/2)</f>
        <v>25879957.350289088</v>
      </c>
      <c r="S49" s="138">
        <f>$F$22-(SUM($E$27:R27)+S27/2)-(SUM($E$60:R60)+S60/2)</f>
        <v>24587557.018793408</v>
      </c>
      <c r="T49" s="138">
        <f>$F$22-(SUM($E$27:S27)+T27/2)-(SUM($E$60:S60)+T60/2)</f>
        <v>23295156.687297728</v>
      </c>
      <c r="U49" s="138">
        <f>$F$22-(SUM($E$27:T27)+U27/2)-(SUM($E$60:T60)+U60/2)</f>
        <v>22002756.355802048</v>
      </c>
      <c r="V49" s="138">
        <f>$F$22-(SUM($E$27:U27)+V27/2)-(SUM($E$60:U60)+V60/2)</f>
        <v>20710356.024306372</v>
      </c>
      <c r="W49" s="138">
        <f>$F$22-(SUM($E$27:V27)+W27/2)-(SUM($E$60:V60)+W60/2)</f>
        <v>19417955.692810692</v>
      </c>
      <c r="X49" s="138">
        <f>$F$22-(SUM($E$27:W27)+X27/2)-(SUM($E$60:W60)+X60/2)</f>
        <v>18125555.361315012</v>
      </c>
      <c r="Y49" s="138">
        <f>$F$22-(SUM($E$27:X27)+Y27/2)-(SUM($E$60:X60)+Y60/2)</f>
        <v>16936504.854238778</v>
      </c>
      <c r="Z49" s="138">
        <f>$F$22-(SUM($E$27:Y27)+Z27/2)-(SUM($E$60:Y60)+Z60/2)</f>
        <v>15954107.671561984</v>
      </c>
      <c r="AA49" s="138">
        <f>$F$22-(SUM($E$27:Z27)+AA27/2)-(SUM($E$60:Z60)+AA60/2)</f>
        <v>15075060.313304633</v>
      </c>
      <c r="AB49" s="138">
        <f>$F$22-(SUM($E$27:AA27)+AB27/2)-(SUM($E$60:AA60)+AB60/2)</f>
        <v>14196012.95504728</v>
      </c>
      <c r="AC49" s="138">
        <f>$F$22-(SUM($E$27:AB27)+AC27/2)-(SUM($E$60:AB60)+AC60/2)</f>
        <v>13316965.596789928</v>
      </c>
      <c r="AD49" s="138">
        <f>$F$22-(SUM($E$27:AC27)+AD27/2)-(SUM($E$60:AC60)+AD60/2)</f>
        <v>12437918.238532577</v>
      </c>
      <c r="AE49" s="138">
        <f>$F$22-(SUM($E$27:AD27)+AE27/2)-(SUM($E$60:AD60)+AE60/2)</f>
        <v>11558870.880275223</v>
      </c>
      <c r="AF49" s="138">
        <f>$F$22-(SUM($E$27:AE27)+AF27/2)-(SUM($E$60:AE60)+AF60/2)</f>
        <v>10679823.522017874</v>
      </c>
      <c r="AG49" s="138">
        <f>$F$22-(SUM($E$27:AF27)+AG27/2)-(SUM($E$60:AF60)+AG60/2)</f>
        <v>9800776.1637605205</v>
      </c>
      <c r="AH49" s="138">
        <f>$F$22-(SUM($E$27:AG27)+AH27/2)-(SUM($E$60:AG60)+AH60/2)</f>
        <v>8921728.8055031691</v>
      </c>
      <c r="AI49" s="138">
        <f>$F$22-(SUM($E$27:AH27)+AI27/2)-(SUM($E$60:AH60)+AI60/2)</f>
        <v>8042681.4472458167</v>
      </c>
      <c r="AJ49" s="138">
        <f>$F$22-(SUM($E$27:AI27)+AJ27/2)-(SUM($E$60:AI60)+AJ60/2)</f>
        <v>7163634.0889884615</v>
      </c>
      <c r="AK49" s="138">
        <f>$F$22-(SUM($E$27:AJ27)+AK27/2)-(SUM($E$60:AJ60)+AK60/2)</f>
        <v>6284586.7307311054</v>
      </c>
      <c r="AL49" s="138">
        <f>$F$22-(SUM($E$27:AK27)+AL27/2)-(SUM($E$60:AK60)+AL60/2)</f>
        <v>5405539.3724737503</v>
      </c>
      <c r="AM49" s="138">
        <f>$F$22-(SUM($E$27:AL27)+AM27/2)-(SUM($E$60:AL60)+AM60/2)</f>
        <v>4526492.0142163942</v>
      </c>
      <c r="AN49" s="138">
        <f>$F$22-(SUM($E$27:AM27)+AN27/2)-(SUM($E$60:AM60)+AN60/2)</f>
        <v>3647444.655959039</v>
      </c>
      <c r="AO49" s="138">
        <f>$F$22-(SUM($E$27:AN27)+AO27/2)-(SUM($E$60:AN60)+AO60/2)</f>
        <v>2768397.2977016829</v>
      </c>
      <c r="AP49" s="138">
        <f>$F$22-(SUM($E$27:AO27)+AP27/2)-(SUM($E$60:AO60)+AP60/2)</f>
        <v>1889349.9394443275</v>
      </c>
      <c r="AQ49" s="138">
        <f>$F$22-(SUM($E$27:AP27)+AQ27/2)-(SUM($E$60:AP60)+AQ60/2)</f>
        <v>1010302.5811869719</v>
      </c>
      <c r="AR49" s="138">
        <f>$F$22-(SUM($E$27:AQ27)+AR27/2)-(SUM($E$60:AQ60)+AR60/2)</f>
        <v>157249.77792961622</v>
      </c>
      <c r="AS49" s="138">
        <f>$F$22-(SUM($E$27:AR27)+AS27/2)-(SUM($E$60:AR60)+AS60/2)</f>
        <v>-256279.34619906161</v>
      </c>
      <c r="AT49" s="126">
        <f t="shared" ref="AT49:AT60" si="13">SUM(D49:AS49)</f>
        <v>780244518.7067728</v>
      </c>
    </row>
    <row r="50" spans="1:46" x14ac:dyDescent="0.2">
      <c r="A50" s="432">
        <f t="shared" si="10"/>
        <v>20</v>
      </c>
      <c r="B50" s="21"/>
      <c r="C50" s="21"/>
      <c r="D50" s="445"/>
      <c r="E50" s="108"/>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6">
        <f t="shared" si="13"/>
        <v>0</v>
      </c>
    </row>
    <row r="51" spans="1:46" x14ac:dyDescent="0.2">
      <c r="A51" s="432">
        <f t="shared" si="10"/>
        <v>21</v>
      </c>
      <c r="B51" s="21"/>
      <c r="C51" s="21"/>
      <c r="D51" s="445"/>
      <c r="E51" s="57"/>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6">
        <f t="shared" si="13"/>
        <v>0</v>
      </c>
    </row>
    <row r="52" spans="1:46" x14ac:dyDescent="0.2">
      <c r="A52" s="432">
        <f t="shared" si="10"/>
        <v>22</v>
      </c>
      <c r="B52" s="21" t="s">
        <v>65</v>
      </c>
      <c r="C52" s="21"/>
      <c r="D52" s="445"/>
      <c r="E52" s="57">
        <f>(E34)/(1-$F$15)</f>
        <v>2511190.4667779361</v>
      </c>
      <c r="F52" s="123">
        <f t="shared" ref="F52:AS52" si="14">(F34)/(1-$F$15)</f>
        <v>2431120.3222988164</v>
      </c>
      <c r="G52" s="123">
        <f t="shared" si="14"/>
        <v>2343223.6227271552</v>
      </c>
      <c r="H52" s="123">
        <f t="shared" si="14"/>
        <v>2258113.1446814341</v>
      </c>
      <c r="I52" s="123">
        <f t="shared" si="14"/>
        <v>2175580.3226347603</v>
      </c>
      <c r="J52" s="123">
        <f t="shared" si="14"/>
        <v>2095432.6345623082</v>
      </c>
      <c r="K52" s="123">
        <f t="shared" si="14"/>
        <v>2017490.9280243092</v>
      </c>
      <c r="L52" s="123">
        <f t="shared" si="14"/>
        <v>1941589.4201660543</v>
      </c>
      <c r="M52" s="123">
        <f t="shared" si="14"/>
        <v>1866827.0009546806</v>
      </c>
      <c r="N52" s="123">
        <f t="shared" si="14"/>
        <v>1792227.6906810054</v>
      </c>
      <c r="O52" s="123">
        <f t="shared" si="14"/>
        <v>1717628.380407331</v>
      </c>
      <c r="P52" s="123">
        <f t="shared" si="14"/>
        <v>1643029.0701336565</v>
      </c>
      <c r="Q52" s="123">
        <f t="shared" si="14"/>
        <v>1568429.7598599817</v>
      </c>
      <c r="R52" s="123">
        <f t="shared" si="14"/>
        <v>1493830.4495863067</v>
      </c>
      <c r="S52" s="123">
        <f t="shared" si="14"/>
        <v>1419231.1393126319</v>
      </c>
      <c r="T52" s="123">
        <f t="shared" si="14"/>
        <v>1344631.8290389576</v>
      </c>
      <c r="U52" s="123">
        <f t="shared" si="14"/>
        <v>1270032.5187652828</v>
      </c>
      <c r="V52" s="123">
        <f t="shared" si="14"/>
        <v>1195433.2084916083</v>
      </c>
      <c r="W52" s="123">
        <f t="shared" si="14"/>
        <v>1120833.8982179337</v>
      </c>
      <c r="X52" s="123">
        <f t="shared" si="14"/>
        <v>1046234.5879442588</v>
      </c>
      <c r="Y52" s="123">
        <f t="shared" si="14"/>
        <v>977600.7865231497</v>
      </c>
      <c r="Z52" s="123">
        <f t="shared" si="14"/>
        <v>920895.32889016008</v>
      </c>
      <c r="AA52" s="123">
        <f t="shared" si="14"/>
        <v>870155.38010973576</v>
      </c>
      <c r="AB52" s="123">
        <f t="shared" si="14"/>
        <v>819415.43132931134</v>
      </c>
      <c r="AC52" s="123">
        <f t="shared" si="14"/>
        <v>768675.48254888703</v>
      </c>
      <c r="AD52" s="123">
        <f t="shared" si="14"/>
        <v>717935.5337684626</v>
      </c>
      <c r="AE52" s="123">
        <f t="shared" si="14"/>
        <v>667195.58498803817</v>
      </c>
      <c r="AF52" s="123">
        <f t="shared" si="14"/>
        <v>616455.63620761398</v>
      </c>
      <c r="AG52" s="123">
        <f t="shared" si="14"/>
        <v>565715.68742718955</v>
      </c>
      <c r="AH52" s="123">
        <f t="shared" si="14"/>
        <v>514975.73864676524</v>
      </c>
      <c r="AI52" s="123">
        <f t="shared" si="14"/>
        <v>464235.78986634081</v>
      </c>
      <c r="AJ52" s="123">
        <f t="shared" si="14"/>
        <v>413495.84108591621</v>
      </c>
      <c r="AK52" s="123">
        <f t="shared" si="14"/>
        <v>362755.89230549167</v>
      </c>
      <c r="AL52" s="123">
        <f t="shared" si="14"/>
        <v>312015.94352506712</v>
      </c>
      <c r="AM52" s="123">
        <f t="shared" si="14"/>
        <v>261275.99474464249</v>
      </c>
      <c r="AN52" s="123">
        <f t="shared" si="14"/>
        <v>210536.04596421792</v>
      </c>
      <c r="AO52" s="123">
        <f t="shared" si="14"/>
        <v>159796.09718379335</v>
      </c>
      <c r="AP52" s="123">
        <f t="shared" si="14"/>
        <v>109056.14840336877</v>
      </c>
      <c r="AQ52" s="123">
        <f t="shared" si="14"/>
        <v>58316.199622944201</v>
      </c>
      <c r="AR52" s="123">
        <f t="shared" si="14"/>
        <v>9076.6960425196194</v>
      </c>
      <c r="AS52" s="123">
        <f t="shared" si="14"/>
        <v>-14792.833147692669</v>
      </c>
      <c r="AT52" s="126">
        <f t="shared" si="13"/>
        <v>45036898.801302344</v>
      </c>
    </row>
    <row r="53" spans="1:46" x14ac:dyDescent="0.2">
      <c r="A53" s="432">
        <f t="shared" si="10"/>
        <v>23</v>
      </c>
      <c r="B53" s="21" t="s">
        <v>66</v>
      </c>
      <c r="C53" s="21"/>
      <c r="D53" s="445"/>
      <c r="E53" s="59">
        <f t="shared" ref="E53:AS53" si="15">E52*$F15</f>
        <v>527349.99802336656</v>
      </c>
      <c r="F53" s="121">
        <f t="shared" si="15"/>
        <v>510535.26768275141</v>
      </c>
      <c r="G53" s="121">
        <f t="shared" si="15"/>
        <v>492076.96077270259</v>
      </c>
      <c r="H53" s="121">
        <f t="shared" si="15"/>
        <v>474203.76038310118</v>
      </c>
      <c r="I53" s="121">
        <f t="shared" si="15"/>
        <v>456871.86775329965</v>
      </c>
      <c r="J53" s="121">
        <f t="shared" si="15"/>
        <v>440040.85325808468</v>
      </c>
      <c r="K53" s="121">
        <f t="shared" si="15"/>
        <v>423673.09488510492</v>
      </c>
      <c r="L53" s="121">
        <f t="shared" si="15"/>
        <v>407733.7782348714</v>
      </c>
      <c r="M53" s="121">
        <f t="shared" si="15"/>
        <v>392033.67020048294</v>
      </c>
      <c r="N53" s="121">
        <f t="shared" si="15"/>
        <v>376367.8150430111</v>
      </c>
      <c r="O53" s="121">
        <f t="shared" si="15"/>
        <v>360701.95988553949</v>
      </c>
      <c r="P53" s="121">
        <f t="shared" si="15"/>
        <v>345036.10472806788</v>
      </c>
      <c r="Q53" s="121">
        <f t="shared" si="15"/>
        <v>329370.24957059615</v>
      </c>
      <c r="R53" s="121">
        <f t="shared" si="15"/>
        <v>313704.39441312442</v>
      </c>
      <c r="S53" s="121">
        <f t="shared" si="15"/>
        <v>298038.53925565269</v>
      </c>
      <c r="T53" s="121">
        <f t="shared" si="15"/>
        <v>282372.68409818108</v>
      </c>
      <c r="U53" s="121">
        <f t="shared" si="15"/>
        <v>266706.82894070935</v>
      </c>
      <c r="V53" s="121">
        <f t="shared" si="15"/>
        <v>251040.97378323771</v>
      </c>
      <c r="W53" s="121">
        <f t="shared" si="15"/>
        <v>235375.11862576607</v>
      </c>
      <c r="X53" s="121">
        <f t="shared" si="15"/>
        <v>219709.26346829435</v>
      </c>
      <c r="Y53" s="121">
        <f t="shared" si="15"/>
        <v>205296.16516986143</v>
      </c>
      <c r="Z53" s="121">
        <f t="shared" si="15"/>
        <v>193388.0190669336</v>
      </c>
      <c r="AA53" s="121">
        <f t="shared" si="15"/>
        <v>182732.6298230445</v>
      </c>
      <c r="AB53" s="121">
        <f t="shared" si="15"/>
        <v>172077.24057915536</v>
      </c>
      <c r="AC53" s="121">
        <f t="shared" si="15"/>
        <v>161421.85133526626</v>
      </c>
      <c r="AD53" s="121">
        <f t="shared" si="15"/>
        <v>150766.46209137715</v>
      </c>
      <c r="AE53" s="121">
        <f t="shared" si="15"/>
        <v>140111.07284748802</v>
      </c>
      <c r="AF53" s="121">
        <f t="shared" si="15"/>
        <v>129455.68360359893</v>
      </c>
      <c r="AG53" s="121">
        <f t="shared" si="15"/>
        <v>118800.29435970981</v>
      </c>
      <c r="AH53" s="121">
        <f t="shared" si="15"/>
        <v>108144.9051158207</v>
      </c>
      <c r="AI53" s="121">
        <f t="shared" si="15"/>
        <v>97489.515871931566</v>
      </c>
      <c r="AJ53" s="121">
        <f t="shared" si="15"/>
        <v>86834.126628042402</v>
      </c>
      <c r="AK53" s="121">
        <f t="shared" si="15"/>
        <v>76178.737384153254</v>
      </c>
      <c r="AL53" s="121">
        <f t="shared" si="15"/>
        <v>65523.34814026409</v>
      </c>
      <c r="AM53" s="121">
        <f t="shared" si="15"/>
        <v>54867.958896374919</v>
      </c>
      <c r="AN53" s="121">
        <f t="shared" si="15"/>
        <v>44212.569652485763</v>
      </c>
      <c r="AO53" s="121">
        <f t="shared" si="15"/>
        <v>33557.1804085966</v>
      </c>
      <c r="AP53" s="121">
        <f t="shared" si="15"/>
        <v>22901.791164707443</v>
      </c>
      <c r="AQ53" s="121">
        <f t="shared" si="15"/>
        <v>12246.401920818282</v>
      </c>
      <c r="AR53" s="121">
        <f t="shared" si="15"/>
        <v>1906.10616892912</v>
      </c>
      <c r="AS53" s="121">
        <f t="shared" si="15"/>
        <v>-3106.4949610154604</v>
      </c>
      <c r="AT53" s="126">
        <f t="shared" si="13"/>
        <v>9457748.74827349</v>
      </c>
    </row>
    <row r="54" spans="1:46" x14ac:dyDescent="0.2">
      <c r="A54" s="432">
        <f t="shared" si="10"/>
        <v>24</v>
      </c>
      <c r="B54" s="21" t="s">
        <v>67</v>
      </c>
      <c r="C54" s="21"/>
      <c r="D54" s="445"/>
      <c r="E54" s="57">
        <f>E52-E53</f>
        <v>1983840.4687545695</v>
      </c>
      <c r="F54" s="123">
        <f t="shared" ref="F54:AS54" si="16">F52-F53</f>
        <v>1920585.054616065</v>
      </c>
      <c r="G54" s="123">
        <f t="shared" si="16"/>
        <v>1851146.6619544527</v>
      </c>
      <c r="H54" s="123">
        <f t="shared" si="16"/>
        <v>1783909.384298333</v>
      </c>
      <c r="I54" s="123">
        <f t="shared" si="16"/>
        <v>1718708.4548814606</v>
      </c>
      <c r="J54" s="123">
        <f t="shared" si="16"/>
        <v>1655391.7813042235</v>
      </c>
      <c r="K54" s="123">
        <f t="shared" si="16"/>
        <v>1593817.8331392044</v>
      </c>
      <c r="L54" s="123">
        <f t="shared" si="16"/>
        <v>1533855.6419311829</v>
      </c>
      <c r="M54" s="123">
        <f t="shared" si="16"/>
        <v>1474793.3307541977</v>
      </c>
      <c r="N54" s="123">
        <f t="shared" si="16"/>
        <v>1415859.8756379941</v>
      </c>
      <c r="O54" s="123">
        <f t="shared" si="16"/>
        <v>1356926.4205217916</v>
      </c>
      <c r="P54" s="123">
        <f t="shared" si="16"/>
        <v>1297992.9654055885</v>
      </c>
      <c r="Q54" s="123">
        <f t="shared" si="16"/>
        <v>1239059.5102893854</v>
      </c>
      <c r="R54" s="123">
        <f t="shared" si="16"/>
        <v>1180126.0551731824</v>
      </c>
      <c r="S54" s="123">
        <f t="shared" si="16"/>
        <v>1121192.6000569793</v>
      </c>
      <c r="T54" s="123">
        <f t="shared" si="16"/>
        <v>1062259.1449407765</v>
      </c>
      <c r="U54" s="123">
        <f t="shared" si="16"/>
        <v>1003325.6898245735</v>
      </c>
      <c r="V54" s="123">
        <f t="shared" si="16"/>
        <v>944392.23470837052</v>
      </c>
      <c r="W54" s="123">
        <f t="shared" si="16"/>
        <v>885458.77959216759</v>
      </c>
      <c r="X54" s="123">
        <f t="shared" si="16"/>
        <v>826525.32447596453</v>
      </c>
      <c r="Y54" s="123">
        <f t="shared" si="16"/>
        <v>772304.6213532883</v>
      </c>
      <c r="Z54" s="123">
        <f t="shared" si="16"/>
        <v>727507.30982322642</v>
      </c>
      <c r="AA54" s="123">
        <f t="shared" si="16"/>
        <v>687422.75028669124</v>
      </c>
      <c r="AB54" s="123">
        <f t="shared" si="16"/>
        <v>647338.19075015595</v>
      </c>
      <c r="AC54" s="123">
        <f t="shared" si="16"/>
        <v>607253.63121362077</v>
      </c>
      <c r="AD54" s="123">
        <f t="shared" si="16"/>
        <v>567169.07167708548</v>
      </c>
      <c r="AE54" s="123">
        <f t="shared" si="16"/>
        <v>527084.51214055018</v>
      </c>
      <c r="AF54" s="123">
        <f t="shared" si="16"/>
        <v>486999.95260401507</v>
      </c>
      <c r="AG54" s="123">
        <f t="shared" si="16"/>
        <v>446915.39306747972</v>
      </c>
      <c r="AH54" s="123">
        <f t="shared" si="16"/>
        <v>406830.83353094454</v>
      </c>
      <c r="AI54" s="123">
        <f t="shared" si="16"/>
        <v>366746.27399440925</v>
      </c>
      <c r="AJ54" s="123">
        <f t="shared" si="16"/>
        <v>326661.71445787384</v>
      </c>
      <c r="AK54" s="123">
        <f t="shared" si="16"/>
        <v>286577.15492133843</v>
      </c>
      <c r="AL54" s="123">
        <f t="shared" si="16"/>
        <v>246492.59538480302</v>
      </c>
      <c r="AM54" s="123">
        <f t="shared" si="16"/>
        <v>206408.03584826758</v>
      </c>
      <c r="AN54" s="123">
        <f t="shared" si="16"/>
        <v>166323.47631173214</v>
      </c>
      <c r="AO54" s="123">
        <f t="shared" si="16"/>
        <v>126238.91677519675</v>
      </c>
      <c r="AP54" s="123">
        <f t="shared" si="16"/>
        <v>86154.357238661323</v>
      </c>
      <c r="AQ54" s="123">
        <f t="shared" si="16"/>
        <v>46069.797702125921</v>
      </c>
      <c r="AR54" s="123">
        <f t="shared" si="16"/>
        <v>7170.5898735904993</v>
      </c>
      <c r="AS54" s="123">
        <f t="shared" si="16"/>
        <v>-11686.338186677209</v>
      </c>
      <c r="AT54" s="126">
        <f t="shared" si="13"/>
        <v>35579150.053028844</v>
      </c>
    </row>
    <row r="55" spans="1:46" x14ac:dyDescent="0.2">
      <c r="A55" s="432">
        <f t="shared" si="10"/>
        <v>25</v>
      </c>
      <c r="B55" s="21"/>
      <c r="C55" s="21"/>
      <c r="D55" s="445"/>
      <c r="E55" s="448"/>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126">
        <f t="shared" si="13"/>
        <v>0</v>
      </c>
    </row>
    <row r="56" spans="1:46" x14ac:dyDescent="0.2">
      <c r="A56" s="432">
        <f t="shared" si="10"/>
        <v>26</v>
      </c>
      <c r="B56" s="21"/>
      <c r="C56" s="21"/>
      <c r="D56" s="445"/>
      <c r="E56" s="108"/>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126">
        <f t="shared" si="13"/>
        <v>0</v>
      </c>
    </row>
    <row r="57" spans="1:46" x14ac:dyDescent="0.2">
      <c r="A57" s="432">
        <f t="shared" si="10"/>
        <v>27</v>
      </c>
      <c r="B57" s="21" t="s">
        <v>68</v>
      </c>
      <c r="C57" s="21"/>
      <c r="D57" s="445"/>
      <c r="E57" s="448">
        <f>E27+E28</f>
        <v>1112718.1750093077</v>
      </c>
      <c r="F57" s="123">
        <f>F27</f>
        <v>1112718.1750093077</v>
      </c>
      <c r="G57" s="123">
        <f>G27</f>
        <v>1112718.1750093077</v>
      </c>
      <c r="H57" s="123">
        <f t="shared" ref="H57:AS57" si="17">H27</f>
        <v>1112718.1750093077</v>
      </c>
      <c r="I57" s="123">
        <f t="shared" si="17"/>
        <v>1112718.1750093077</v>
      </c>
      <c r="J57" s="123">
        <f t="shared" si="17"/>
        <v>1112718.1750093077</v>
      </c>
      <c r="K57" s="123">
        <f t="shared" si="17"/>
        <v>1112718.1750093077</v>
      </c>
      <c r="L57" s="123">
        <f t="shared" si="17"/>
        <v>1112718.1750093077</v>
      </c>
      <c r="M57" s="123">
        <f t="shared" si="17"/>
        <v>1112718.1750093077</v>
      </c>
      <c r="N57" s="123">
        <f t="shared" si="17"/>
        <v>1112718.1750093077</v>
      </c>
      <c r="O57" s="123">
        <f t="shared" si="17"/>
        <v>1112718.1750093077</v>
      </c>
      <c r="P57" s="123">
        <f t="shared" si="17"/>
        <v>1112718.1750093077</v>
      </c>
      <c r="Q57" s="123">
        <f t="shared" si="17"/>
        <v>1112718.1750093077</v>
      </c>
      <c r="R57" s="123">
        <f t="shared" si="17"/>
        <v>1112718.1750093077</v>
      </c>
      <c r="S57" s="123">
        <f t="shared" si="17"/>
        <v>1112718.1750093077</v>
      </c>
      <c r="T57" s="123">
        <f t="shared" si="17"/>
        <v>1112718.1750093077</v>
      </c>
      <c r="U57" s="123">
        <f t="shared" si="17"/>
        <v>1112718.1750093077</v>
      </c>
      <c r="V57" s="123">
        <f t="shared" si="17"/>
        <v>1112718.1750093077</v>
      </c>
      <c r="W57" s="123">
        <f t="shared" si="17"/>
        <v>1112718.1750093077</v>
      </c>
      <c r="X57" s="123">
        <f t="shared" si="17"/>
        <v>1112718.1750093077</v>
      </c>
      <c r="Y57" s="123">
        <f t="shared" si="17"/>
        <v>1112718.1750093077</v>
      </c>
      <c r="Z57" s="123">
        <f t="shared" si="17"/>
        <v>1112718.1750093077</v>
      </c>
      <c r="AA57" s="123">
        <f t="shared" si="17"/>
        <v>1112718.1750093077</v>
      </c>
      <c r="AB57" s="123">
        <f t="shared" si="17"/>
        <v>1112718.1750093077</v>
      </c>
      <c r="AC57" s="123">
        <f t="shared" si="17"/>
        <v>1112718.1750093077</v>
      </c>
      <c r="AD57" s="123">
        <f t="shared" si="17"/>
        <v>1112718.1750093077</v>
      </c>
      <c r="AE57" s="123">
        <f t="shared" si="17"/>
        <v>1112718.1750093077</v>
      </c>
      <c r="AF57" s="123">
        <f t="shared" si="17"/>
        <v>1112718.1750093077</v>
      </c>
      <c r="AG57" s="123">
        <f t="shared" si="17"/>
        <v>1112718.1750093077</v>
      </c>
      <c r="AH57" s="123">
        <f t="shared" si="17"/>
        <v>1112718.1750093077</v>
      </c>
      <c r="AI57" s="123">
        <f t="shared" si="17"/>
        <v>1112718.1750093077</v>
      </c>
      <c r="AJ57" s="123">
        <f t="shared" si="17"/>
        <v>1112718.1750093077</v>
      </c>
      <c r="AK57" s="123">
        <f t="shared" si="17"/>
        <v>1112718.1750093077</v>
      </c>
      <c r="AL57" s="123">
        <f t="shared" si="17"/>
        <v>1112718.1750093077</v>
      </c>
      <c r="AM57" s="123">
        <f t="shared" si="17"/>
        <v>1112718.1750093077</v>
      </c>
      <c r="AN57" s="123">
        <f t="shared" si="17"/>
        <v>1112718.1750093077</v>
      </c>
      <c r="AO57" s="123">
        <f t="shared" si="17"/>
        <v>1112718.1750093077</v>
      </c>
      <c r="AP57" s="123">
        <f t="shared" si="17"/>
        <v>1112718.1750093077</v>
      </c>
      <c r="AQ57" s="123">
        <f t="shared" si="17"/>
        <v>1112718.1750093077</v>
      </c>
      <c r="AR57" s="123">
        <f t="shared" si="17"/>
        <v>1046909.1750093077</v>
      </c>
      <c r="AS57" s="123">
        <f t="shared" si="17"/>
        <v>0</v>
      </c>
      <c r="AT57" s="126">
        <f t="shared" si="13"/>
        <v>44442918.00037232</v>
      </c>
    </row>
    <row r="58" spans="1:46" x14ac:dyDescent="0.2">
      <c r="A58" s="432">
        <f t="shared" si="10"/>
        <v>28</v>
      </c>
      <c r="B58" s="21" t="s">
        <v>69</v>
      </c>
      <c r="C58" s="21"/>
      <c r="D58" s="445"/>
      <c r="E58" s="57">
        <f>$F22*E62</f>
        <v>1654444.2661753991</v>
      </c>
      <c r="F58" s="123">
        <f t="shared" ref="F58:AS58" si="18">$F22*F62</f>
        <v>3184915.5086720549</v>
      </c>
      <c r="G58" s="123">
        <f t="shared" si="18"/>
        <v>2945793.1640675035</v>
      </c>
      <c r="H58" s="123">
        <f t="shared" si="18"/>
        <v>2725200.5952441171</v>
      </c>
      <c r="I58" s="123">
        <f t="shared" si="18"/>
        <v>2520490.6913760146</v>
      </c>
      <c r="J58" s="123">
        <f t="shared" si="18"/>
        <v>2331663.4524631957</v>
      </c>
      <c r="K58" s="123">
        <f t="shared" si="18"/>
        <v>2156512.952817427</v>
      </c>
      <c r="L58" s="123">
        <f t="shared" si="18"/>
        <v>1995039.1924387079</v>
      </c>
      <c r="M58" s="123">
        <f t="shared" si="18"/>
        <v>1968568.0841799015</v>
      </c>
      <c r="N58" s="123">
        <f t="shared" si="18"/>
        <v>1968126.899042255</v>
      </c>
      <c r="O58" s="123">
        <f t="shared" si="18"/>
        <v>1968568.0841799015</v>
      </c>
      <c r="P58" s="123">
        <f t="shared" si="18"/>
        <v>1968126.899042255</v>
      </c>
      <c r="Q58" s="123">
        <f t="shared" si="18"/>
        <v>1968568.0841799015</v>
      </c>
      <c r="R58" s="123">
        <f t="shared" si="18"/>
        <v>1968126.899042255</v>
      </c>
      <c r="S58" s="123">
        <f t="shared" si="18"/>
        <v>1968568.0841799015</v>
      </c>
      <c r="T58" s="123">
        <f t="shared" si="18"/>
        <v>1968126.899042255</v>
      </c>
      <c r="U58" s="123">
        <f t="shared" si="18"/>
        <v>1968568.0841799015</v>
      </c>
      <c r="V58" s="123">
        <f t="shared" si="18"/>
        <v>1968126.899042255</v>
      </c>
      <c r="W58" s="123">
        <f t="shared" si="18"/>
        <v>1968568.0841799015</v>
      </c>
      <c r="X58" s="123">
        <f t="shared" si="18"/>
        <v>1968126.899042255</v>
      </c>
      <c r="Y58" s="123">
        <f t="shared" si="18"/>
        <v>984284.04208995076</v>
      </c>
      <c r="Z58" s="123">
        <f t="shared" si="18"/>
        <v>0</v>
      </c>
      <c r="AA58" s="123">
        <f t="shared" si="18"/>
        <v>0</v>
      </c>
      <c r="AB58" s="123">
        <f t="shared" si="18"/>
        <v>0</v>
      </c>
      <c r="AC58" s="123">
        <f t="shared" si="18"/>
        <v>0</v>
      </c>
      <c r="AD58" s="123">
        <f t="shared" si="18"/>
        <v>0</v>
      </c>
      <c r="AE58" s="123">
        <f t="shared" si="18"/>
        <v>0</v>
      </c>
      <c r="AF58" s="123">
        <f t="shared" si="18"/>
        <v>0</v>
      </c>
      <c r="AG58" s="123">
        <f t="shared" si="18"/>
        <v>0</v>
      </c>
      <c r="AH58" s="123">
        <f t="shared" si="18"/>
        <v>0</v>
      </c>
      <c r="AI58" s="123">
        <f t="shared" si="18"/>
        <v>0</v>
      </c>
      <c r="AJ58" s="123">
        <f t="shared" si="18"/>
        <v>0</v>
      </c>
      <c r="AK58" s="123">
        <f t="shared" si="18"/>
        <v>0</v>
      </c>
      <c r="AL58" s="123">
        <f t="shared" si="18"/>
        <v>0</v>
      </c>
      <c r="AM58" s="123">
        <f t="shared" si="18"/>
        <v>0</v>
      </c>
      <c r="AN58" s="123">
        <f t="shared" si="18"/>
        <v>0</v>
      </c>
      <c r="AO58" s="123">
        <f t="shared" si="18"/>
        <v>0</v>
      </c>
      <c r="AP58" s="123">
        <f t="shared" si="18"/>
        <v>0</v>
      </c>
      <c r="AQ58" s="123">
        <f t="shared" si="18"/>
        <v>0</v>
      </c>
      <c r="AR58" s="123">
        <f t="shared" si="18"/>
        <v>0</v>
      </c>
      <c r="AS58" s="123">
        <f t="shared" si="18"/>
        <v>0</v>
      </c>
      <c r="AT58" s="126">
        <f t="shared" si="13"/>
        <v>44118513.764677308</v>
      </c>
    </row>
    <row r="59" spans="1:46" x14ac:dyDescent="0.2">
      <c r="A59" s="432">
        <f t="shared" si="10"/>
        <v>29</v>
      </c>
      <c r="B59" s="21" t="s">
        <v>70</v>
      </c>
      <c r="C59" s="21"/>
      <c r="D59" s="445"/>
      <c r="E59" s="57">
        <f>E58-E57</f>
        <v>541726.09116609138</v>
      </c>
      <c r="F59" s="123">
        <f>F58-F57</f>
        <v>2072197.3336627472</v>
      </c>
      <c r="G59" s="123">
        <f>G58-G57</f>
        <v>1833074.9890581958</v>
      </c>
      <c r="H59" s="123">
        <f t="shared" ref="H59:AS59" si="19">H58-H57</f>
        <v>1612482.4202348094</v>
      </c>
      <c r="I59" s="123">
        <f t="shared" si="19"/>
        <v>1407772.5163667069</v>
      </c>
      <c r="J59" s="123">
        <f t="shared" si="19"/>
        <v>1218945.277453888</v>
      </c>
      <c r="K59" s="123">
        <f t="shared" si="19"/>
        <v>1043794.7778081193</v>
      </c>
      <c r="L59" s="123">
        <f t="shared" si="19"/>
        <v>882321.01742940024</v>
      </c>
      <c r="M59" s="123">
        <f t="shared" si="19"/>
        <v>855849.90917059383</v>
      </c>
      <c r="N59" s="123">
        <f t="shared" si="19"/>
        <v>855408.72403294733</v>
      </c>
      <c r="O59" s="123">
        <f t="shared" si="19"/>
        <v>855849.90917059383</v>
      </c>
      <c r="P59" s="123">
        <f t="shared" si="19"/>
        <v>855408.72403294733</v>
      </c>
      <c r="Q59" s="123">
        <f t="shared" si="19"/>
        <v>855849.90917059383</v>
      </c>
      <c r="R59" s="123">
        <f t="shared" si="19"/>
        <v>855408.72403294733</v>
      </c>
      <c r="S59" s="123">
        <f t="shared" si="19"/>
        <v>855849.90917059383</v>
      </c>
      <c r="T59" s="123">
        <f t="shared" si="19"/>
        <v>855408.72403294733</v>
      </c>
      <c r="U59" s="123">
        <f t="shared" si="19"/>
        <v>855849.90917059383</v>
      </c>
      <c r="V59" s="123">
        <f t="shared" si="19"/>
        <v>855408.72403294733</v>
      </c>
      <c r="W59" s="123">
        <f t="shared" si="19"/>
        <v>855849.90917059383</v>
      </c>
      <c r="X59" s="123">
        <f t="shared" si="19"/>
        <v>855408.72403294733</v>
      </c>
      <c r="Y59" s="123">
        <f t="shared" si="19"/>
        <v>-128434.13291935693</v>
      </c>
      <c r="Z59" s="123">
        <f t="shared" si="19"/>
        <v>-1112718.1750093077</v>
      </c>
      <c r="AA59" s="123">
        <f t="shared" si="19"/>
        <v>-1112718.1750093077</v>
      </c>
      <c r="AB59" s="123">
        <f t="shared" si="19"/>
        <v>-1112718.1750093077</v>
      </c>
      <c r="AC59" s="123">
        <f t="shared" si="19"/>
        <v>-1112718.1750093077</v>
      </c>
      <c r="AD59" s="123">
        <f t="shared" si="19"/>
        <v>-1112718.1750093077</v>
      </c>
      <c r="AE59" s="123">
        <f t="shared" si="19"/>
        <v>-1112718.1750093077</v>
      </c>
      <c r="AF59" s="123">
        <f t="shared" si="19"/>
        <v>-1112718.1750093077</v>
      </c>
      <c r="AG59" s="123">
        <f t="shared" si="19"/>
        <v>-1112718.1750093077</v>
      </c>
      <c r="AH59" s="123">
        <f t="shared" si="19"/>
        <v>-1112718.1750093077</v>
      </c>
      <c r="AI59" s="123">
        <f t="shared" si="19"/>
        <v>-1112718.1750093077</v>
      </c>
      <c r="AJ59" s="123">
        <f t="shared" si="19"/>
        <v>-1112718.1750093077</v>
      </c>
      <c r="AK59" s="123">
        <f t="shared" si="19"/>
        <v>-1112718.1750093077</v>
      </c>
      <c r="AL59" s="123">
        <f t="shared" si="19"/>
        <v>-1112718.1750093077</v>
      </c>
      <c r="AM59" s="123">
        <f t="shared" si="19"/>
        <v>-1112718.1750093077</v>
      </c>
      <c r="AN59" s="123">
        <f t="shared" si="19"/>
        <v>-1112718.1750093077</v>
      </c>
      <c r="AO59" s="123">
        <f t="shared" si="19"/>
        <v>-1112718.1750093077</v>
      </c>
      <c r="AP59" s="123">
        <f t="shared" si="19"/>
        <v>-1112718.1750093077</v>
      </c>
      <c r="AQ59" s="123">
        <f t="shared" si="19"/>
        <v>-1112718.1750093077</v>
      </c>
      <c r="AR59" s="123">
        <f t="shared" si="19"/>
        <v>-1046909.1750093077</v>
      </c>
      <c r="AS59" s="123">
        <f t="shared" si="19"/>
        <v>0</v>
      </c>
      <c r="AT59" s="126">
        <f t="shared" si="13"/>
        <v>-324404.23569499771</v>
      </c>
    </row>
    <row r="60" spans="1:46" x14ac:dyDescent="0.2">
      <c r="A60" s="432">
        <f t="shared" si="10"/>
        <v>30</v>
      </c>
      <c r="B60" s="21" t="s">
        <v>71</v>
      </c>
      <c r="C60" s="21"/>
      <c r="D60" s="445"/>
      <c r="E60" s="57">
        <f>E59*F15</f>
        <v>113762.47914487918</v>
      </c>
      <c r="F60" s="123">
        <f t="shared" ref="F60:AS60" si="20">F59*$F$15</f>
        <v>435161.4400691769</v>
      </c>
      <c r="G60" s="123">
        <f t="shared" si="20"/>
        <v>384945.7477022211</v>
      </c>
      <c r="H60" s="123">
        <f t="shared" si="20"/>
        <v>338621.30824930995</v>
      </c>
      <c r="I60" s="123">
        <f t="shared" si="20"/>
        <v>295632.22843700845</v>
      </c>
      <c r="J60" s="123">
        <f t="shared" si="20"/>
        <v>255978.50826531646</v>
      </c>
      <c r="K60" s="123">
        <f t="shared" si="20"/>
        <v>219196.90333970505</v>
      </c>
      <c r="L60" s="123">
        <f t="shared" si="20"/>
        <v>185287.41366017403</v>
      </c>
      <c r="M60" s="123">
        <f t="shared" si="20"/>
        <v>179728.4809258247</v>
      </c>
      <c r="N60" s="123">
        <f t="shared" si="20"/>
        <v>179635.83204691892</v>
      </c>
      <c r="O60" s="123">
        <f t="shared" si="20"/>
        <v>179728.4809258247</v>
      </c>
      <c r="P60" s="123">
        <f t="shared" si="20"/>
        <v>179635.83204691892</v>
      </c>
      <c r="Q60" s="123">
        <f t="shared" si="20"/>
        <v>179728.4809258247</v>
      </c>
      <c r="R60" s="123">
        <f t="shared" si="20"/>
        <v>179635.83204691892</v>
      </c>
      <c r="S60" s="123">
        <f t="shared" si="20"/>
        <v>179728.4809258247</v>
      </c>
      <c r="T60" s="123">
        <f t="shared" si="20"/>
        <v>179635.83204691892</v>
      </c>
      <c r="U60" s="123">
        <f t="shared" si="20"/>
        <v>179728.4809258247</v>
      </c>
      <c r="V60" s="123">
        <f t="shared" si="20"/>
        <v>179635.83204691892</v>
      </c>
      <c r="W60" s="123">
        <f t="shared" si="20"/>
        <v>179728.4809258247</v>
      </c>
      <c r="X60" s="123">
        <f t="shared" si="20"/>
        <v>179635.83204691892</v>
      </c>
      <c r="Y60" s="123">
        <f t="shared" si="20"/>
        <v>-26971.167913064954</v>
      </c>
      <c r="Z60" s="123">
        <f t="shared" si="20"/>
        <v>-233670.81675195461</v>
      </c>
      <c r="AA60" s="123">
        <f t="shared" si="20"/>
        <v>-233670.81675195461</v>
      </c>
      <c r="AB60" s="123">
        <f t="shared" si="20"/>
        <v>-233670.81675195461</v>
      </c>
      <c r="AC60" s="123">
        <f t="shared" si="20"/>
        <v>-233670.81675195461</v>
      </c>
      <c r="AD60" s="123">
        <f t="shared" si="20"/>
        <v>-233670.81675195461</v>
      </c>
      <c r="AE60" s="123">
        <f t="shared" si="20"/>
        <v>-233670.81675195461</v>
      </c>
      <c r="AF60" s="123">
        <f t="shared" si="20"/>
        <v>-233670.81675195461</v>
      </c>
      <c r="AG60" s="123">
        <f t="shared" si="20"/>
        <v>-233670.81675195461</v>
      </c>
      <c r="AH60" s="123">
        <f t="shared" si="20"/>
        <v>-233670.81675195461</v>
      </c>
      <c r="AI60" s="123">
        <f t="shared" si="20"/>
        <v>-233670.81675195461</v>
      </c>
      <c r="AJ60" s="123">
        <f t="shared" si="20"/>
        <v>-233670.81675195461</v>
      </c>
      <c r="AK60" s="123">
        <f t="shared" si="20"/>
        <v>-233670.81675195461</v>
      </c>
      <c r="AL60" s="123">
        <f t="shared" si="20"/>
        <v>-233670.81675195461</v>
      </c>
      <c r="AM60" s="123">
        <f t="shared" si="20"/>
        <v>-233670.81675195461</v>
      </c>
      <c r="AN60" s="123">
        <f t="shared" si="20"/>
        <v>-233670.81675195461</v>
      </c>
      <c r="AO60" s="123">
        <f t="shared" si="20"/>
        <v>-233670.81675195461</v>
      </c>
      <c r="AP60" s="123">
        <f t="shared" si="20"/>
        <v>-233670.81675195461</v>
      </c>
      <c r="AQ60" s="123">
        <f t="shared" si="20"/>
        <v>-233670.81675195461</v>
      </c>
      <c r="AR60" s="123">
        <f t="shared" si="20"/>
        <v>-219850.9267519546</v>
      </c>
      <c r="AS60" s="123">
        <f t="shared" si="20"/>
        <v>0</v>
      </c>
      <c r="AT60" s="126">
        <f t="shared" si="13"/>
        <v>-68124.889495950309</v>
      </c>
    </row>
    <row r="61" spans="1:46" x14ac:dyDescent="0.2">
      <c r="A61" s="432">
        <f t="shared" si="10"/>
        <v>31</v>
      </c>
      <c r="B61" s="21"/>
      <c r="C61" s="21"/>
      <c r="D61" s="445"/>
      <c r="E61" s="108"/>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445"/>
    </row>
    <row r="62" spans="1:46" s="69" customFormat="1" x14ac:dyDescent="0.2">
      <c r="A62" s="432">
        <f t="shared" si="10"/>
        <v>32</v>
      </c>
      <c r="B62" s="21" t="str">
        <f t="shared" ref="B62" si="21">IF($F$18=1,B66,B65)</f>
        <v>MACRS Depreciation - 20</v>
      </c>
      <c r="C62" s="21"/>
      <c r="D62" s="66"/>
      <c r="E62" s="81">
        <f t="shared" ref="E62:Y62" si="22">IF($F$18=1,E66,E65)</f>
        <v>3.7499999999999999E-2</v>
      </c>
      <c r="F62" s="77">
        <f t="shared" si="22"/>
        <v>7.2190000000000004E-2</v>
      </c>
      <c r="G62" s="77">
        <f t="shared" si="22"/>
        <v>6.6769999999999996E-2</v>
      </c>
      <c r="H62" s="80">
        <f t="shared" si="22"/>
        <v>6.1769999999999999E-2</v>
      </c>
      <c r="I62" s="80">
        <f t="shared" si="22"/>
        <v>5.713E-2</v>
      </c>
      <c r="J62" s="80">
        <f t="shared" si="22"/>
        <v>5.2850000000000001E-2</v>
      </c>
      <c r="K62" s="80">
        <f t="shared" si="22"/>
        <v>4.888E-2</v>
      </c>
      <c r="L62" s="80">
        <f t="shared" si="22"/>
        <v>4.5220000000000003E-2</v>
      </c>
      <c r="M62" s="80">
        <f t="shared" si="22"/>
        <v>4.462E-2</v>
      </c>
      <c r="N62" s="80">
        <f t="shared" si="22"/>
        <v>4.4610000000000004E-2</v>
      </c>
      <c r="O62" s="80">
        <f t="shared" si="22"/>
        <v>4.462E-2</v>
      </c>
      <c r="P62" s="80">
        <f t="shared" si="22"/>
        <v>4.4610000000000004E-2</v>
      </c>
      <c r="Q62" s="80">
        <f t="shared" si="22"/>
        <v>4.462E-2</v>
      </c>
      <c r="R62" s="80">
        <f t="shared" si="22"/>
        <v>4.4610000000000004E-2</v>
      </c>
      <c r="S62" s="80">
        <f t="shared" si="22"/>
        <v>4.462E-2</v>
      </c>
      <c r="T62" s="80">
        <f t="shared" si="22"/>
        <v>4.4610000000000004E-2</v>
      </c>
      <c r="U62" s="80">
        <f t="shared" si="22"/>
        <v>4.462E-2</v>
      </c>
      <c r="V62" s="80">
        <f t="shared" si="22"/>
        <v>4.4610000000000004E-2</v>
      </c>
      <c r="W62" s="80">
        <f t="shared" si="22"/>
        <v>4.462E-2</v>
      </c>
      <c r="X62" s="80">
        <f t="shared" si="22"/>
        <v>4.4610000000000004E-2</v>
      </c>
      <c r="Y62" s="80">
        <f t="shared" si="22"/>
        <v>2.231E-2</v>
      </c>
      <c r="Z62" s="67"/>
      <c r="AA62" s="67"/>
      <c r="AB62" s="67"/>
      <c r="AC62" s="67"/>
      <c r="AD62" s="67"/>
      <c r="AE62" s="67"/>
      <c r="AF62" s="67"/>
      <c r="AG62" s="67"/>
      <c r="AH62" s="67"/>
      <c r="AI62" s="67"/>
      <c r="AJ62" s="67"/>
      <c r="AK62" s="67"/>
      <c r="AL62" s="67"/>
      <c r="AM62" s="67"/>
      <c r="AN62" s="67"/>
      <c r="AO62" s="67"/>
      <c r="AP62" s="66"/>
    </row>
    <row r="63" spans="1:46" outlineLevel="1" x14ac:dyDescent="0.25">
      <c r="A63" s="432">
        <f t="shared" si="10"/>
        <v>33</v>
      </c>
      <c r="B63" s="21"/>
      <c r="C63" s="449"/>
      <c r="E63" s="450"/>
      <c r="F63" s="451"/>
      <c r="G63" s="451"/>
      <c r="H63" s="451"/>
      <c r="I63" s="451"/>
      <c r="J63" s="451"/>
      <c r="K63" s="451"/>
      <c r="L63" s="451"/>
      <c r="M63" s="452"/>
      <c r="N63" s="452"/>
      <c r="O63" s="452"/>
      <c r="P63" s="452"/>
      <c r="Q63" s="452"/>
      <c r="R63" s="452"/>
      <c r="S63" s="452"/>
      <c r="T63" s="452"/>
      <c r="U63" s="452"/>
      <c r="V63" s="452"/>
      <c r="W63" s="452"/>
      <c r="X63" s="452"/>
      <c r="Y63" s="452"/>
      <c r="Z63" s="445"/>
      <c r="AA63" s="445"/>
      <c r="AB63" s="445"/>
      <c r="AC63" s="445"/>
      <c r="AD63" s="445"/>
      <c r="AE63" s="445"/>
      <c r="AF63" s="445"/>
      <c r="AG63" s="445"/>
      <c r="AH63" s="445"/>
      <c r="AI63" s="445"/>
      <c r="AJ63" s="445"/>
      <c r="AK63" s="445"/>
      <c r="AL63" s="445"/>
      <c r="AM63" s="445"/>
      <c r="AN63" s="445"/>
      <c r="AO63" s="22"/>
    </row>
    <row r="64" spans="1:46" outlineLevel="1" x14ac:dyDescent="0.25">
      <c r="A64" s="432">
        <f t="shared" si="10"/>
        <v>34</v>
      </c>
      <c r="B64" s="21"/>
      <c r="C64" s="449"/>
      <c r="E64" s="450"/>
      <c r="F64" s="451"/>
      <c r="G64" s="451"/>
      <c r="H64" s="451"/>
      <c r="I64" s="451"/>
      <c r="J64" s="451"/>
      <c r="K64" s="451"/>
      <c r="L64" s="451"/>
      <c r="M64" s="452"/>
      <c r="N64" s="452"/>
      <c r="O64" s="452"/>
      <c r="P64" s="452"/>
      <c r="Q64" s="452"/>
      <c r="R64" s="452"/>
      <c r="S64" s="452"/>
      <c r="T64" s="452"/>
      <c r="U64" s="452"/>
      <c r="V64" s="452"/>
      <c r="W64" s="452"/>
      <c r="X64" s="452"/>
      <c r="Y64" s="452"/>
      <c r="Z64" s="445"/>
      <c r="AA64" s="445"/>
      <c r="AB64" s="445"/>
      <c r="AC64" s="445"/>
      <c r="AD64" s="445"/>
      <c r="AE64" s="445"/>
      <c r="AF64" s="445"/>
      <c r="AG64" s="445"/>
      <c r="AH64" s="445"/>
      <c r="AI64" s="445"/>
      <c r="AJ64" s="445"/>
      <c r="AK64" s="445"/>
      <c r="AL64" s="445"/>
      <c r="AM64" s="445"/>
      <c r="AN64" s="445"/>
      <c r="AO64" s="22"/>
    </row>
    <row r="65" spans="1:42" s="69" customFormat="1" x14ac:dyDescent="0.25">
      <c r="A65" s="432">
        <f t="shared" si="10"/>
        <v>35</v>
      </c>
      <c r="B65" s="21" t="s">
        <v>72</v>
      </c>
      <c r="C65" s="21"/>
      <c r="D65" s="70">
        <v>0</v>
      </c>
      <c r="E65" s="78">
        <f>'MACRS 20'!B5</f>
        <v>3.7499999999999999E-2</v>
      </c>
      <c r="F65" s="77">
        <f>'MACRS 20'!C5</f>
        <v>7.2190000000000004E-2</v>
      </c>
      <c r="G65" s="77">
        <f>'MACRS 20'!D5</f>
        <v>6.6769999999999996E-2</v>
      </c>
      <c r="H65" s="79">
        <f>'MACRS 20'!E5</f>
        <v>6.1769999999999999E-2</v>
      </c>
      <c r="I65" s="79">
        <f>'MACRS 20'!F5</f>
        <v>5.713E-2</v>
      </c>
      <c r="J65" s="79">
        <f>'MACRS 20'!G5</f>
        <v>5.2850000000000001E-2</v>
      </c>
      <c r="K65" s="79">
        <f>'MACRS 20'!H5</f>
        <v>4.888E-2</v>
      </c>
      <c r="L65" s="79">
        <f>'MACRS 20'!I5</f>
        <v>4.5220000000000003E-2</v>
      </c>
      <c r="M65" s="79">
        <f>'MACRS 20'!J5</f>
        <v>4.462E-2</v>
      </c>
      <c r="N65" s="79">
        <f>'MACRS 20'!K5</f>
        <v>4.4610000000000004E-2</v>
      </c>
      <c r="O65" s="79">
        <f>'MACRS 20'!L5</f>
        <v>4.462E-2</v>
      </c>
      <c r="P65" s="79">
        <f>'MACRS 20'!M5</f>
        <v>4.4610000000000004E-2</v>
      </c>
      <c r="Q65" s="79">
        <f>'MACRS 20'!N5</f>
        <v>4.462E-2</v>
      </c>
      <c r="R65" s="79">
        <f>'MACRS 20'!O5</f>
        <v>4.4610000000000004E-2</v>
      </c>
      <c r="S65" s="79">
        <f>'MACRS 20'!P5</f>
        <v>4.462E-2</v>
      </c>
      <c r="T65" s="79">
        <f>'MACRS 20'!Q5</f>
        <v>4.4610000000000004E-2</v>
      </c>
      <c r="U65" s="79">
        <f>'MACRS 20'!R5</f>
        <v>4.462E-2</v>
      </c>
      <c r="V65" s="79">
        <f>'MACRS 20'!S5</f>
        <v>4.4610000000000004E-2</v>
      </c>
      <c r="W65" s="79">
        <f>'MACRS 20'!T5</f>
        <v>4.462E-2</v>
      </c>
      <c r="X65" s="79">
        <f>'MACRS 20'!U5</f>
        <v>4.4610000000000004E-2</v>
      </c>
      <c r="Y65" s="79">
        <f>'MACRS 20'!V5</f>
        <v>2.231E-2</v>
      </c>
      <c r="Z65" s="71"/>
      <c r="AA65" s="67"/>
      <c r="AB65" s="67"/>
      <c r="AC65" s="67"/>
      <c r="AD65" s="67"/>
      <c r="AE65" s="67"/>
      <c r="AF65" s="67"/>
      <c r="AG65" s="67"/>
      <c r="AH65" s="67"/>
      <c r="AI65" s="67"/>
      <c r="AJ65" s="67"/>
      <c r="AK65" s="67"/>
      <c r="AL65" s="67"/>
      <c r="AM65" s="67"/>
      <c r="AN65" s="66"/>
      <c r="AP65" s="72"/>
    </row>
    <row r="66" spans="1:42" x14ac:dyDescent="0.2">
      <c r="A66" s="432">
        <f t="shared" si="10"/>
        <v>36</v>
      </c>
      <c r="B66" s="21" t="s">
        <v>73</v>
      </c>
      <c r="C66" s="21"/>
      <c r="D66" s="70">
        <v>0</v>
      </c>
      <c r="E66" s="78">
        <f>'MACRS 20'!B6</f>
        <v>0.51875000000000004</v>
      </c>
      <c r="F66" s="77">
        <f>'MACRS 20'!C6</f>
        <v>3.6095000000000002E-2</v>
      </c>
      <c r="G66" s="77">
        <f>'MACRS 20'!D6</f>
        <v>3.3384999999999998E-2</v>
      </c>
      <c r="H66" s="80">
        <f>'MACRS 20'!E6</f>
        <v>3.0884999999999999E-2</v>
      </c>
      <c r="I66" s="80">
        <f>'MACRS 20'!F6</f>
        <v>2.8565E-2</v>
      </c>
      <c r="J66" s="80">
        <f>'MACRS 20'!G6</f>
        <v>2.6425000000000001E-2</v>
      </c>
      <c r="K66" s="80">
        <f>'MACRS 20'!H6</f>
        <v>2.444E-2</v>
      </c>
      <c r="L66" s="80">
        <f>'MACRS 20'!I6</f>
        <v>2.2610000000000002E-2</v>
      </c>
      <c r="M66" s="80">
        <f>'MACRS 20'!J6</f>
        <v>2.231E-2</v>
      </c>
      <c r="N66" s="80">
        <f>'MACRS 20'!K6</f>
        <v>2.2305000000000002E-2</v>
      </c>
      <c r="O66" s="80">
        <f>'MACRS 20'!L6</f>
        <v>2.231E-2</v>
      </c>
      <c r="P66" s="80">
        <f>'MACRS 20'!M6</f>
        <v>2.2305000000000002E-2</v>
      </c>
      <c r="Q66" s="80">
        <f>'MACRS 20'!N6</f>
        <v>2.231E-2</v>
      </c>
      <c r="R66" s="80">
        <f>'MACRS 20'!O6</f>
        <v>2.2305000000000002E-2</v>
      </c>
      <c r="S66" s="80">
        <f>'MACRS 20'!P6</f>
        <v>2.231E-2</v>
      </c>
      <c r="T66" s="80">
        <f>'MACRS 20'!Q6</f>
        <v>2.2305000000000002E-2</v>
      </c>
      <c r="U66" s="80">
        <f>'MACRS 20'!R6</f>
        <v>2.231E-2</v>
      </c>
      <c r="V66" s="80">
        <f>'MACRS 20'!S6</f>
        <v>2.2305000000000002E-2</v>
      </c>
      <c r="W66" s="80">
        <f>'MACRS 20'!T6</f>
        <v>2.231E-2</v>
      </c>
      <c r="X66" s="80">
        <f>'MACRS 20'!U6</f>
        <v>2.2305000000000002E-2</v>
      </c>
      <c r="Y66" s="80">
        <f>'MACRS 20'!V6</f>
        <v>1.1155E-2</v>
      </c>
      <c r="Z66" s="68"/>
      <c r="AA66" s="68"/>
      <c r="AB66" s="73"/>
      <c r="AC66" s="73"/>
      <c r="AD66" s="73"/>
      <c r="AE66" s="73"/>
      <c r="AF66" s="73"/>
      <c r="AG66" s="73"/>
      <c r="AH66" s="73"/>
      <c r="AI66" s="73"/>
      <c r="AJ66" s="73"/>
      <c r="AK66" s="73"/>
      <c r="AL66" s="73"/>
      <c r="AM66" s="73"/>
      <c r="AN66" s="445"/>
      <c r="AO66" s="22"/>
      <c r="AP66" s="72">
        <f>SUM(D66:AO66)</f>
        <v>1.0000000000000004</v>
      </c>
    </row>
    <row r="69" spans="1:42" x14ac:dyDescent="0.25">
      <c r="B69" s="74"/>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E27" activePane="bottomRight" state="frozen"/>
      <selection activeCell="G16" sqref="G16"/>
      <selection pane="topRight" activeCell="G16" sqref="G16"/>
      <selection pane="bottomLeft" activeCell="G16" sqref="G16"/>
      <selection pane="bottomRight" activeCell="G16" sqref="G16"/>
    </sheetView>
  </sheetViews>
  <sheetFormatPr defaultColWidth="10.28515625" defaultRowHeight="15" outlineLevelRow="1" outlineLevelCol="1" x14ac:dyDescent="0.2"/>
  <cols>
    <col min="1" max="1" width="5.7109375" style="53" customWidth="1"/>
    <col min="2" max="2" width="7.42578125" style="53" customWidth="1"/>
    <col min="3" max="3" width="26.42578125" style="53" customWidth="1"/>
    <col min="4" max="4" width="15.5703125" style="22" customWidth="1"/>
    <col min="5" max="5" width="13.5703125" style="75" customWidth="1"/>
    <col min="6" max="6" width="13.42578125" style="75" customWidth="1"/>
    <col min="7" max="7" width="17.28515625" style="75" customWidth="1"/>
    <col min="8" max="8" width="12.5703125" style="75" customWidth="1"/>
    <col min="9" max="25" width="12.7109375" style="75" bestFit="1" customWidth="1"/>
    <col min="26" max="38" width="12.28515625" style="75" bestFit="1" customWidth="1"/>
    <col min="39" max="39" width="17" style="75" customWidth="1" outlineLevel="1"/>
    <col min="40" max="40" width="13" style="75" customWidth="1" outlineLevel="1"/>
    <col min="41" max="41" width="14.28515625" style="75" customWidth="1" outlineLevel="1"/>
    <col min="42" max="42" width="12.7109375" style="22" bestFit="1" customWidth="1"/>
    <col min="43" max="43" width="12.28515625" style="22" customWidth="1"/>
    <col min="44" max="45" width="14" style="22" customWidth="1"/>
    <col min="46" max="46" width="14.28515625" style="22" bestFit="1" customWidth="1"/>
    <col min="47" max="47" width="16.5703125" style="22" customWidth="1"/>
    <col min="48" max="48" width="15" style="22" bestFit="1" customWidth="1"/>
    <col min="49" max="16384" width="10.28515625" style="22"/>
  </cols>
  <sheetData>
    <row r="1" spans="1:41" ht="17.25" customHeight="1" x14ac:dyDescent="0.25">
      <c r="A1" s="20" t="s">
        <v>0</v>
      </c>
      <c r="B1" s="21"/>
      <c r="C1" s="21"/>
      <c r="E1" s="827"/>
      <c r="F1" s="827"/>
      <c r="G1" s="22"/>
      <c r="H1" s="23"/>
      <c r="I1" s="24"/>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ht="12.75" customHeight="1" x14ac:dyDescent="0.25">
      <c r="A2" s="25" t="s">
        <v>1</v>
      </c>
      <c r="B2" s="21"/>
      <c r="C2" s="21"/>
      <c r="E2" s="22"/>
      <c r="F2" s="24"/>
      <c r="G2" s="2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x14ac:dyDescent="0.25">
      <c r="A3" s="25" t="s">
        <v>2</v>
      </c>
      <c r="B3" s="21"/>
      <c r="C3" s="432" t="s">
        <v>206</v>
      </c>
      <c r="D3" s="445" t="s">
        <v>3</v>
      </c>
      <c r="E3" s="22"/>
      <c r="F3" s="24"/>
      <c r="G3" s="24"/>
      <c r="H3" s="172" t="s">
        <v>282</v>
      </c>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ht="7.5" customHeight="1" thickBot="1" x14ac:dyDescent="0.25">
      <c r="A4" s="21"/>
      <c r="B4" s="21"/>
      <c r="C4" s="21"/>
      <c r="E4" s="22"/>
      <c r="F4" s="24"/>
      <c r="G4" s="24"/>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x14ac:dyDescent="0.2">
      <c r="A5" s="26" t="s">
        <v>4</v>
      </c>
      <c r="B5" s="27"/>
      <c r="C5" s="27"/>
      <c r="D5" s="170" t="s">
        <v>231</v>
      </c>
      <c r="E5" s="28"/>
      <c r="F5" s="29"/>
      <c r="G5" s="29"/>
      <c r="H5" s="22"/>
      <c r="I5" s="22"/>
      <c r="J5" s="22"/>
      <c r="K5" s="22"/>
      <c r="L5" s="22"/>
      <c r="M5" s="22"/>
      <c r="N5" s="41"/>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x14ac:dyDescent="0.2">
      <c r="A6" s="31"/>
      <c r="B6" s="32"/>
      <c r="C6" s="32"/>
      <c r="D6" s="134" t="s">
        <v>196</v>
      </c>
      <c r="E6" s="134"/>
      <c r="F6" s="135"/>
      <c r="G6" s="135" t="s">
        <v>336</v>
      </c>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x14ac:dyDescent="0.2">
      <c r="A7" s="31"/>
      <c r="B7" s="32"/>
      <c r="C7" s="32"/>
      <c r="D7" s="35"/>
      <c r="E7" s="35"/>
      <c r="F7" s="36" t="s">
        <v>5</v>
      </c>
      <c r="G7" s="36" t="s">
        <v>5</v>
      </c>
      <c r="H7" s="22"/>
      <c r="I7" s="22"/>
      <c r="J7" s="22"/>
      <c r="K7" s="22"/>
      <c r="L7" s="22"/>
      <c r="M7" s="136"/>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1" x14ac:dyDescent="0.2">
      <c r="A8" s="31" t="s">
        <v>6</v>
      </c>
      <c r="B8" s="32"/>
      <c r="C8" s="32"/>
      <c r="D8" s="38" t="s">
        <v>7</v>
      </c>
      <c r="E8" s="38" t="s">
        <v>8</v>
      </c>
      <c r="F8" s="39" t="s">
        <v>8</v>
      </c>
      <c r="G8" s="39" t="s">
        <v>8</v>
      </c>
      <c r="H8" s="22"/>
      <c r="I8" s="22"/>
      <c r="J8" s="22"/>
      <c r="K8" s="22"/>
      <c r="L8" s="22"/>
      <c r="M8" s="127"/>
      <c r="N8" s="4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1" x14ac:dyDescent="0.2">
      <c r="A9" s="31"/>
      <c r="B9" s="32"/>
      <c r="C9" s="32"/>
      <c r="D9" s="33"/>
      <c r="E9" s="33"/>
      <c r="F9" s="40"/>
      <c r="G9" s="40"/>
      <c r="H9" s="22"/>
      <c r="I9" s="22"/>
      <c r="J9" s="22"/>
      <c r="K9" s="22"/>
      <c r="L9" s="22"/>
      <c r="M9" s="127"/>
      <c r="N9" s="41"/>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x14ac:dyDescent="0.2">
      <c r="A10" s="31"/>
      <c r="B10" s="32"/>
      <c r="C10" s="32"/>
      <c r="D10" s="42"/>
      <c r="E10" s="42"/>
      <c r="F10" s="43"/>
      <c r="G10" s="43"/>
      <c r="H10" s="22"/>
      <c r="I10" s="22"/>
      <c r="J10" s="22"/>
      <c r="K10" s="22"/>
      <c r="L10" s="22"/>
      <c r="M10" s="127"/>
      <c r="N10" s="41"/>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1" x14ac:dyDescent="0.2">
      <c r="A11" s="31" t="s">
        <v>173</v>
      </c>
      <c r="B11" s="32"/>
      <c r="C11" s="32"/>
      <c r="D11" s="42">
        <f>'2019 GRC'!C12</f>
        <v>0.51500000000000001</v>
      </c>
      <c r="E11" s="42">
        <f>'2019 GRC'!D12</f>
        <v>5.4951456310679617E-2</v>
      </c>
      <c r="F11" s="43">
        <f>'2019 GRC'!E12</f>
        <v>2.8299999999999999E-2</v>
      </c>
      <c r="G11" s="43">
        <f>+F11</f>
        <v>2.8299999999999999E-2</v>
      </c>
      <c r="H11" s="22"/>
      <c r="I11" s="22"/>
      <c r="J11" s="22"/>
      <c r="K11" s="22"/>
      <c r="L11" s="22"/>
      <c r="M11" s="127"/>
      <c r="N11" s="41"/>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x14ac:dyDescent="0.2">
      <c r="A12" s="31" t="s">
        <v>9</v>
      </c>
      <c r="B12" s="32"/>
      <c r="C12" s="32"/>
      <c r="D12" s="44">
        <f>'2019 GRC'!C13</f>
        <v>0.48499999999999999</v>
      </c>
      <c r="E12" s="44">
        <f>'2019 GRC'!D13</f>
        <v>9.4E-2</v>
      </c>
      <c r="F12" s="45">
        <f>'2019 GRC'!E13</f>
        <v>4.5600000000000002E-2</v>
      </c>
      <c r="G12" s="43">
        <f>+F12</f>
        <v>4.5600000000000002E-2</v>
      </c>
      <c r="H12" s="22"/>
      <c r="I12" s="22"/>
      <c r="J12" s="22"/>
      <c r="K12" s="22"/>
      <c r="L12" s="22"/>
      <c r="M12" s="127"/>
      <c r="N12" s="4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ht="15.75" thickBot="1" x14ac:dyDescent="0.25">
      <c r="A13" s="31" t="s">
        <v>10</v>
      </c>
      <c r="B13" s="32"/>
      <c r="C13" s="32"/>
      <c r="D13" s="46">
        <f>D10+D11+D12</f>
        <v>1</v>
      </c>
      <c r="E13" s="47"/>
      <c r="F13" s="171">
        <f>F10+F11+F12</f>
        <v>7.3899999999999993E-2</v>
      </c>
      <c r="G13" s="171">
        <f>G10+G11+G12</f>
        <v>7.3899999999999993E-2</v>
      </c>
      <c r="H13" s="22"/>
      <c r="I13" s="22"/>
      <c r="J13" s="22"/>
      <c r="K13" s="22"/>
      <c r="L13" s="22"/>
      <c r="M13" s="127"/>
      <c r="N13" s="4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ht="15.75" thickTop="1" x14ac:dyDescent="0.2">
      <c r="A14" s="31"/>
      <c r="B14" s="32"/>
      <c r="C14" s="32"/>
      <c r="D14" s="33"/>
      <c r="E14" s="33"/>
      <c r="F14" s="40"/>
      <c r="G14" s="40"/>
      <c r="H14" s="22"/>
      <c r="I14" s="22"/>
      <c r="J14" s="22"/>
      <c r="K14" s="22"/>
      <c r="L14" s="22"/>
      <c r="M14" s="127"/>
      <c r="N14" s="4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x14ac:dyDescent="0.2">
      <c r="A15" s="31" t="s">
        <v>11</v>
      </c>
      <c r="B15" s="32"/>
      <c r="C15" s="32"/>
      <c r="D15" s="33"/>
      <c r="E15" s="33"/>
      <c r="F15" s="43">
        <f>'2019 GRC'!I19</f>
        <v>0.21</v>
      </c>
      <c r="G15" s="43">
        <f>+F15</f>
        <v>0.21</v>
      </c>
      <c r="H15" s="22"/>
      <c r="I15" s="22"/>
      <c r="J15" s="22"/>
      <c r="K15" s="22"/>
      <c r="L15" s="22"/>
      <c r="M15" s="127"/>
      <c r="N15" s="4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6" spans="1:41" x14ac:dyDescent="0.2">
      <c r="A16" s="31" t="s">
        <v>12</v>
      </c>
      <c r="B16" s="32"/>
      <c r="C16" s="32"/>
      <c r="D16" s="33"/>
      <c r="E16" s="33"/>
      <c r="F16" s="43">
        <f>'2019 GRC'!J16</f>
        <v>4.5447000000000001E-2</v>
      </c>
      <c r="G16" s="43">
        <f>'2019 GRC'!$J$38</f>
        <v>4.7447000000000003E-2</v>
      </c>
      <c r="H16" s="22"/>
      <c r="I16" s="22"/>
      <c r="J16" s="22"/>
      <c r="K16" s="22"/>
      <c r="L16" s="22"/>
      <c r="M16" s="127"/>
      <c r="N16" s="4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row>
    <row r="17" spans="1:48" x14ac:dyDescent="0.2">
      <c r="A17" s="31" t="s">
        <v>13</v>
      </c>
      <c r="B17" s="32"/>
      <c r="C17" s="32"/>
      <c r="D17" s="33"/>
      <c r="E17" s="33"/>
      <c r="F17" s="43">
        <f>'Summary 2021'!F25</f>
        <v>2.4981536072077995E-2</v>
      </c>
      <c r="G17" s="43">
        <f>+F17</f>
        <v>2.4981536072077995E-2</v>
      </c>
      <c r="H17" s="22"/>
      <c r="I17" s="22"/>
      <c r="J17" s="22"/>
      <c r="K17" s="22"/>
      <c r="L17" s="22"/>
      <c r="M17" s="127"/>
      <c r="N17" s="4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8" x14ac:dyDescent="0.2">
      <c r="A18" s="31" t="s">
        <v>14</v>
      </c>
      <c r="B18" s="32"/>
      <c r="C18" s="32"/>
      <c r="D18" s="33"/>
      <c r="E18" s="33"/>
      <c r="F18" s="49">
        <v>2</v>
      </c>
      <c r="G18" s="49">
        <v>2</v>
      </c>
      <c r="H18" s="22"/>
      <c r="I18" s="22"/>
      <c r="J18" s="22"/>
      <c r="K18" s="22"/>
      <c r="L18" s="22"/>
      <c r="M18" s="127"/>
      <c r="N18" s="4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8" x14ac:dyDescent="0.2">
      <c r="A19" s="31"/>
      <c r="B19" s="32"/>
      <c r="C19" s="32"/>
      <c r="D19" s="33"/>
      <c r="E19" s="33"/>
      <c r="F19" s="34"/>
      <c r="G19" s="34"/>
      <c r="H19" s="22"/>
      <c r="I19" s="22"/>
      <c r="J19" s="22"/>
      <c r="K19" s="22"/>
      <c r="L19" s="22"/>
      <c r="M19" s="127"/>
      <c r="N19" s="41"/>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8" x14ac:dyDescent="0.2">
      <c r="A20" s="31" t="s">
        <v>15</v>
      </c>
      <c r="B20" s="32"/>
      <c r="C20" s="32"/>
      <c r="D20" s="33"/>
      <c r="E20" s="33"/>
      <c r="F20" s="34"/>
      <c r="G20" s="34"/>
      <c r="H20" s="22"/>
      <c r="I20" s="22"/>
      <c r="J20" s="22"/>
      <c r="K20" s="22"/>
      <c r="L20" s="22"/>
      <c r="N20" s="137"/>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8" x14ac:dyDescent="0.2">
      <c r="A21" s="31" t="s">
        <v>16</v>
      </c>
      <c r="B21" s="32"/>
      <c r="C21" s="32"/>
      <c r="D21" s="33"/>
      <c r="E21" s="33"/>
      <c r="F21" s="34"/>
      <c r="G21" s="34"/>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8" ht="15.75" thickBot="1" x14ac:dyDescent="0.25">
      <c r="A22" s="50" t="s">
        <v>17</v>
      </c>
      <c r="B22" s="51"/>
      <c r="C22" s="51"/>
      <c r="D22" s="51"/>
      <c r="E22" s="52"/>
      <c r="F22" s="76">
        <v>53473094.060000032</v>
      </c>
      <c r="G22" s="76">
        <v>53473094.060000032</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8" ht="6" customHeight="1" x14ac:dyDescent="0.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8" ht="6" customHeight="1" x14ac:dyDescent="0.2">
      <c r="B24" s="22"/>
      <c r="C24" s="22"/>
      <c r="D24" s="127"/>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row>
    <row r="25" spans="1:48" x14ac:dyDescent="0.2">
      <c r="A25" s="21"/>
      <c r="B25" s="21"/>
      <c r="C25" s="21"/>
      <c r="D25" s="445"/>
      <c r="E25" s="55" t="s">
        <v>18</v>
      </c>
      <c r="F25" s="116" t="s">
        <v>19</v>
      </c>
      <c r="G25" s="56" t="s">
        <v>20</v>
      </c>
      <c r="H25" s="56" t="s">
        <v>21</v>
      </c>
      <c r="I25" s="56" t="s">
        <v>22</v>
      </c>
      <c r="J25" s="56" t="s">
        <v>23</v>
      </c>
      <c r="K25" s="56" t="s">
        <v>24</v>
      </c>
      <c r="L25" s="56" t="s">
        <v>25</v>
      </c>
      <c r="M25" s="56" t="s">
        <v>26</v>
      </c>
      <c r="N25" s="56" t="s">
        <v>27</v>
      </c>
      <c r="O25" s="56" t="s">
        <v>28</v>
      </c>
      <c r="P25" s="56" t="s">
        <v>29</v>
      </c>
      <c r="Q25" s="56" t="s">
        <v>30</v>
      </c>
      <c r="R25" s="56" t="s">
        <v>31</v>
      </c>
      <c r="S25" s="56" t="s">
        <v>32</v>
      </c>
      <c r="T25" s="56" t="s">
        <v>33</v>
      </c>
      <c r="U25" s="56" t="s">
        <v>34</v>
      </c>
      <c r="V25" s="56" t="s">
        <v>35</v>
      </c>
      <c r="W25" s="56" t="s">
        <v>36</v>
      </c>
      <c r="X25" s="56" t="s">
        <v>37</v>
      </c>
      <c r="Y25" s="56" t="s">
        <v>38</v>
      </c>
      <c r="Z25" s="56" t="s">
        <v>39</v>
      </c>
      <c r="AA25" s="56" t="s">
        <v>40</v>
      </c>
      <c r="AB25" s="56" t="s">
        <v>41</v>
      </c>
      <c r="AC25" s="56" t="s">
        <v>42</v>
      </c>
      <c r="AD25" s="56" t="s">
        <v>43</v>
      </c>
      <c r="AE25" s="56" t="s">
        <v>44</v>
      </c>
      <c r="AF25" s="56" t="s">
        <v>45</v>
      </c>
      <c r="AG25" s="56" t="s">
        <v>46</v>
      </c>
      <c r="AH25" s="56" t="s">
        <v>47</v>
      </c>
      <c r="AI25" s="56" t="s">
        <v>48</v>
      </c>
      <c r="AJ25" s="56" t="s">
        <v>49</v>
      </c>
      <c r="AK25" s="56" t="s">
        <v>50</v>
      </c>
      <c r="AL25" s="56" t="s">
        <v>51</v>
      </c>
      <c r="AM25" s="56" t="s">
        <v>52</v>
      </c>
      <c r="AN25" s="56" t="s">
        <v>74</v>
      </c>
      <c r="AO25" s="56" t="s">
        <v>75</v>
      </c>
      <c r="AP25" s="56" t="s">
        <v>174</v>
      </c>
      <c r="AQ25" s="56" t="s">
        <v>175</v>
      </c>
      <c r="AR25" s="56" t="s">
        <v>176</v>
      </c>
      <c r="AS25" s="22" t="s">
        <v>177</v>
      </c>
    </row>
    <row r="26" spans="1:48" x14ac:dyDescent="0.2">
      <c r="A26" s="21"/>
      <c r="B26" s="21"/>
      <c r="C26" s="21"/>
      <c r="D26" s="445"/>
      <c r="E26" s="106">
        <v>2020</v>
      </c>
      <c r="F26" s="106">
        <v>2021</v>
      </c>
      <c r="G26" s="106">
        <v>2022</v>
      </c>
      <c r="H26" s="106">
        <v>2023</v>
      </c>
      <c r="I26" s="106">
        <v>2024</v>
      </c>
      <c r="J26" s="106">
        <v>2025</v>
      </c>
      <c r="K26" s="106">
        <v>2026</v>
      </c>
      <c r="L26" s="106">
        <v>2027</v>
      </c>
      <c r="M26" s="106">
        <v>2028</v>
      </c>
      <c r="N26" s="106">
        <v>2029</v>
      </c>
      <c r="O26" s="106">
        <v>2030</v>
      </c>
      <c r="P26" s="106">
        <v>2031</v>
      </c>
      <c r="Q26" s="106">
        <v>2032</v>
      </c>
      <c r="R26" s="106">
        <v>2033</v>
      </c>
      <c r="S26" s="106">
        <v>2034</v>
      </c>
      <c r="T26" s="106">
        <v>2035</v>
      </c>
      <c r="U26" s="106">
        <v>2036</v>
      </c>
      <c r="V26" s="106">
        <v>2037</v>
      </c>
      <c r="W26" s="106">
        <v>2038</v>
      </c>
      <c r="X26" s="106">
        <v>2039</v>
      </c>
      <c r="Y26" s="106">
        <v>2040</v>
      </c>
      <c r="Z26" s="106">
        <v>2041</v>
      </c>
      <c r="AA26" s="106">
        <v>2042</v>
      </c>
      <c r="AB26" s="106">
        <v>2043</v>
      </c>
      <c r="AC26" s="106">
        <v>2044</v>
      </c>
      <c r="AD26" s="106">
        <v>2045</v>
      </c>
      <c r="AE26" s="106">
        <v>2046</v>
      </c>
      <c r="AF26" s="106">
        <v>2047</v>
      </c>
      <c r="AG26" s="106">
        <v>2048</v>
      </c>
      <c r="AH26" s="106">
        <v>2049</v>
      </c>
      <c r="AI26" s="106">
        <v>2050</v>
      </c>
      <c r="AJ26" s="106">
        <v>2051</v>
      </c>
      <c r="AK26" s="106">
        <v>2052</v>
      </c>
      <c r="AL26" s="106">
        <v>2053</v>
      </c>
      <c r="AM26" s="106">
        <v>2054</v>
      </c>
      <c r="AN26" s="106">
        <v>2055</v>
      </c>
      <c r="AO26" s="106">
        <v>2056</v>
      </c>
      <c r="AP26" s="106">
        <v>2057</v>
      </c>
      <c r="AQ26" s="106">
        <v>2058</v>
      </c>
      <c r="AR26" s="106">
        <v>2059</v>
      </c>
      <c r="AS26" s="106">
        <v>2060</v>
      </c>
    </row>
    <row r="27" spans="1:48" x14ac:dyDescent="0.2">
      <c r="A27" s="432">
        <v>1</v>
      </c>
      <c r="B27" s="21" t="s">
        <v>207</v>
      </c>
      <c r="C27" s="21"/>
      <c r="D27" s="445"/>
      <c r="E27" s="57">
        <f>$F22*$F17</f>
        <v>1335840.0281455105</v>
      </c>
      <c r="F27" s="123">
        <f>$F22*$F17</f>
        <v>1335840.0281455105</v>
      </c>
      <c r="G27" s="123">
        <f t="shared" ref="G27:AR27" si="0">$F22*$F17</f>
        <v>1335840.0281455105</v>
      </c>
      <c r="H27" s="123">
        <f t="shared" si="0"/>
        <v>1335840.0281455105</v>
      </c>
      <c r="I27" s="123">
        <f t="shared" si="0"/>
        <v>1335840.0281455105</v>
      </c>
      <c r="J27" s="123">
        <f t="shared" si="0"/>
        <v>1335840.0281455105</v>
      </c>
      <c r="K27" s="123">
        <f t="shared" si="0"/>
        <v>1335840.0281455105</v>
      </c>
      <c r="L27" s="123">
        <f t="shared" si="0"/>
        <v>1335840.0281455105</v>
      </c>
      <c r="M27" s="123">
        <f t="shared" si="0"/>
        <v>1335840.0281455105</v>
      </c>
      <c r="N27" s="123">
        <f t="shared" si="0"/>
        <v>1335840.0281455105</v>
      </c>
      <c r="O27" s="123">
        <f t="shared" si="0"/>
        <v>1335840.0281455105</v>
      </c>
      <c r="P27" s="123">
        <f t="shared" si="0"/>
        <v>1335840.0281455105</v>
      </c>
      <c r="Q27" s="123">
        <f t="shared" si="0"/>
        <v>1335840.0281455105</v>
      </c>
      <c r="R27" s="123">
        <f t="shared" si="0"/>
        <v>1335840.0281455105</v>
      </c>
      <c r="S27" s="123">
        <f t="shared" si="0"/>
        <v>1335840.0281455105</v>
      </c>
      <c r="T27" s="123">
        <f t="shared" si="0"/>
        <v>1335840.0281455105</v>
      </c>
      <c r="U27" s="123">
        <f t="shared" si="0"/>
        <v>1335840.0281455105</v>
      </c>
      <c r="V27" s="123">
        <f t="shared" si="0"/>
        <v>1335840.0281455105</v>
      </c>
      <c r="W27" s="123">
        <f t="shared" si="0"/>
        <v>1335840.0281455105</v>
      </c>
      <c r="X27" s="123">
        <f t="shared" si="0"/>
        <v>1335840.0281455105</v>
      </c>
      <c r="Y27" s="123">
        <f t="shared" si="0"/>
        <v>1335840.0281455105</v>
      </c>
      <c r="Z27" s="123">
        <f t="shared" si="0"/>
        <v>1335840.0281455105</v>
      </c>
      <c r="AA27" s="123">
        <f t="shared" si="0"/>
        <v>1335840.0281455105</v>
      </c>
      <c r="AB27" s="123">
        <f t="shared" si="0"/>
        <v>1335840.0281455105</v>
      </c>
      <c r="AC27" s="123">
        <f t="shared" si="0"/>
        <v>1335840.0281455105</v>
      </c>
      <c r="AD27" s="123">
        <f t="shared" si="0"/>
        <v>1335840.0281455105</v>
      </c>
      <c r="AE27" s="123">
        <f t="shared" si="0"/>
        <v>1335840.0281455105</v>
      </c>
      <c r="AF27" s="123">
        <f t="shared" si="0"/>
        <v>1335840.0281455105</v>
      </c>
      <c r="AG27" s="123">
        <f t="shared" si="0"/>
        <v>1335840.0281455105</v>
      </c>
      <c r="AH27" s="123">
        <f t="shared" si="0"/>
        <v>1335840.0281455105</v>
      </c>
      <c r="AI27" s="123">
        <f t="shared" si="0"/>
        <v>1335840.0281455105</v>
      </c>
      <c r="AJ27" s="123">
        <f t="shared" si="0"/>
        <v>1335840.0281455105</v>
      </c>
      <c r="AK27" s="123">
        <f t="shared" si="0"/>
        <v>1335840.0281455105</v>
      </c>
      <c r="AL27" s="123">
        <f t="shared" si="0"/>
        <v>1335840.0281455105</v>
      </c>
      <c r="AM27" s="123">
        <f t="shared" si="0"/>
        <v>1335840.0281455105</v>
      </c>
      <c r="AN27" s="123">
        <f t="shared" si="0"/>
        <v>1335840.0281455105</v>
      </c>
      <c r="AO27" s="123">
        <f t="shared" si="0"/>
        <v>1335840.0281455105</v>
      </c>
      <c r="AP27" s="123">
        <f t="shared" si="0"/>
        <v>1335840.0281455105</v>
      </c>
      <c r="AQ27" s="123">
        <f t="shared" si="0"/>
        <v>1335840.0281455105</v>
      </c>
      <c r="AR27" s="123">
        <f t="shared" si="0"/>
        <v>1335840.0281455105</v>
      </c>
      <c r="AS27" s="123">
        <v>39492.93</v>
      </c>
      <c r="AT27" s="123"/>
      <c r="AU27" s="126">
        <f>SUM(D27:AT27)</f>
        <v>53473094.055820368</v>
      </c>
      <c r="AV27" s="41">
        <f>F22</f>
        <v>53473094.060000032</v>
      </c>
    </row>
    <row r="28" spans="1:48" x14ac:dyDescent="0.2">
      <c r="A28" s="21"/>
      <c r="B28" s="21"/>
      <c r="C28" s="21"/>
      <c r="D28" s="445"/>
      <c r="E28" s="57"/>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58"/>
      <c r="AN28" s="123"/>
      <c r="AO28" s="123"/>
      <c r="AP28" s="447"/>
      <c r="AU28" s="213">
        <f>+AU27-AV27</f>
        <v>-4.1796639561653137E-3</v>
      </c>
    </row>
    <row r="29" spans="1:48" x14ac:dyDescent="0.2">
      <c r="A29" s="432">
        <f>A27+1</f>
        <v>2</v>
      </c>
      <c r="B29" s="21" t="s">
        <v>54</v>
      </c>
      <c r="C29" s="21"/>
      <c r="D29" s="445"/>
      <c r="E29" s="57">
        <f>E53</f>
        <v>639226.93335091136</v>
      </c>
      <c r="F29" s="123">
        <f t="shared" ref="F29:AS29" si="1">F53</f>
        <v>618969.60464841709</v>
      </c>
      <c r="G29" s="123">
        <f t="shared" si="1"/>
        <v>596720.20692562638</v>
      </c>
      <c r="H29" s="123">
        <f t="shared" si="1"/>
        <v>575179.97760705464</v>
      </c>
      <c r="I29" s="123">
        <f t="shared" si="1"/>
        <v>554295.83114996762</v>
      </c>
      <c r="J29" s="123">
        <f t="shared" si="1"/>
        <v>534018.76551491814</v>
      </c>
      <c r="K29" s="123">
        <f t="shared" si="1"/>
        <v>514303.18158186565</v>
      </c>
      <c r="L29" s="123">
        <f t="shared" si="1"/>
        <v>495106.88315017486</v>
      </c>
      <c r="M29" s="123">
        <f t="shared" si="1"/>
        <v>476200.51345187897</v>
      </c>
      <c r="N29" s="123">
        <f t="shared" si="1"/>
        <v>457335.65937033662</v>
      </c>
      <c r="O29" s="123">
        <f t="shared" si="1"/>
        <v>438470.80528879433</v>
      </c>
      <c r="P29" s="123">
        <f t="shared" si="1"/>
        <v>419605.9512072521</v>
      </c>
      <c r="Q29" s="123">
        <f t="shared" si="1"/>
        <v>400741.09712570976</v>
      </c>
      <c r="R29" s="123">
        <f t="shared" si="1"/>
        <v>381876.24304416758</v>
      </c>
      <c r="S29" s="123">
        <f t="shared" si="1"/>
        <v>363011.38896262518</v>
      </c>
      <c r="T29" s="123">
        <f t="shared" si="1"/>
        <v>344146.53488108289</v>
      </c>
      <c r="U29" s="123">
        <f t="shared" si="1"/>
        <v>325281.68079954066</v>
      </c>
      <c r="V29" s="123">
        <f t="shared" si="1"/>
        <v>306416.82671799831</v>
      </c>
      <c r="W29" s="123">
        <f t="shared" si="1"/>
        <v>287551.97263645602</v>
      </c>
      <c r="X29" s="123">
        <f t="shared" si="1"/>
        <v>268687.11855491373</v>
      </c>
      <c r="Y29" s="123">
        <f t="shared" si="1"/>
        <v>251340.64711234698</v>
      </c>
      <c r="Z29" s="123">
        <f t="shared" si="1"/>
        <v>237030.26036385001</v>
      </c>
      <c r="AA29" s="123">
        <f t="shared" si="1"/>
        <v>224238.25625432865</v>
      </c>
      <c r="AB29" s="123">
        <f t="shared" si="1"/>
        <v>211446.25214480725</v>
      </c>
      <c r="AC29" s="123">
        <f t="shared" si="1"/>
        <v>198654.2480352858</v>
      </c>
      <c r="AD29" s="123">
        <f t="shared" si="1"/>
        <v>185862.2439257644</v>
      </c>
      <c r="AE29" s="123">
        <f t="shared" si="1"/>
        <v>173070.23981624303</v>
      </c>
      <c r="AF29" s="123">
        <f t="shared" si="1"/>
        <v>160278.23570672167</v>
      </c>
      <c r="AG29" s="123">
        <f t="shared" si="1"/>
        <v>147486.2315972003</v>
      </c>
      <c r="AH29" s="123">
        <f t="shared" si="1"/>
        <v>134694.22748767893</v>
      </c>
      <c r="AI29" s="123">
        <f t="shared" si="1"/>
        <v>121902.22337815756</v>
      </c>
      <c r="AJ29" s="123">
        <f t="shared" si="1"/>
        <v>109110.21926863621</v>
      </c>
      <c r="AK29" s="123">
        <f t="shared" si="1"/>
        <v>96318.215159114829</v>
      </c>
      <c r="AL29" s="123">
        <f t="shared" si="1"/>
        <v>83526.211049593476</v>
      </c>
      <c r="AM29" s="123">
        <f t="shared" si="1"/>
        <v>70734.206940072108</v>
      </c>
      <c r="AN29" s="123">
        <f t="shared" si="1"/>
        <v>57942.202830550741</v>
      </c>
      <c r="AO29" s="123">
        <f t="shared" si="1"/>
        <v>45150.198721029374</v>
      </c>
      <c r="AP29" s="123">
        <f t="shared" si="1"/>
        <v>32358.194611508006</v>
      </c>
      <c r="AQ29" s="123">
        <f t="shared" si="1"/>
        <v>19566.190501986643</v>
      </c>
      <c r="AR29" s="123">
        <f t="shared" si="1"/>
        <v>6774.1863924652753</v>
      </c>
      <c r="AS29" s="123">
        <f t="shared" si="1"/>
        <v>189.09218886454863</v>
      </c>
      <c r="AT29" s="123"/>
      <c r="AU29" s="126">
        <f>SUM(D29:AT29)</f>
        <v>11564819.159455903</v>
      </c>
    </row>
    <row r="30" spans="1:48" x14ac:dyDescent="0.2">
      <c r="A30" s="21"/>
      <c r="B30" s="21"/>
      <c r="C30" s="21"/>
      <c r="D30" s="445"/>
      <c r="E30" s="57"/>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row>
    <row r="31" spans="1:48" x14ac:dyDescent="0.2">
      <c r="A31" s="21"/>
      <c r="B31" s="21" t="s">
        <v>55</v>
      </c>
      <c r="C31" s="21"/>
      <c r="D31" s="445"/>
      <c r="E31" s="57">
        <f>+E30/0.79</f>
        <v>0</v>
      </c>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row>
    <row r="32" spans="1:48" x14ac:dyDescent="0.2">
      <c r="A32" s="432">
        <f>A29+1</f>
        <v>3</v>
      </c>
      <c r="B32" s="21"/>
      <c r="C32" s="21"/>
      <c r="D32" s="445"/>
      <c r="E32" s="57">
        <f>E49*$F10</f>
        <v>0</v>
      </c>
      <c r="F32" s="123">
        <f t="shared" ref="F32:AS32" si="2">F49*$F10</f>
        <v>0</v>
      </c>
      <c r="G32" s="123">
        <f t="shared" si="2"/>
        <v>0</v>
      </c>
      <c r="H32" s="123">
        <f t="shared" si="2"/>
        <v>0</v>
      </c>
      <c r="I32" s="123">
        <f t="shared" si="2"/>
        <v>0</v>
      </c>
      <c r="J32" s="123">
        <f t="shared" si="2"/>
        <v>0</v>
      </c>
      <c r="K32" s="123">
        <f t="shared" si="2"/>
        <v>0</v>
      </c>
      <c r="L32" s="123">
        <f t="shared" si="2"/>
        <v>0</v>
      </c>
      <c r="M32" s="123">
        <f t="shared" si="2"/>
        <v>0</v>
      </c>
      <c r="N32" s="123">
        <f t="shared" si="2"/>
        <v>0</v>
      </c>
      <c r="O32" s="123">
        <f t="shared" si="2"/>
        <v>0</v>
      </c>
      <c r="P32" s="123">
        <f t="shared" si="2"/>
        <v>0</v>
      </c>
      <c r="Q32" s="123">
        <f t="shared" si="2"/>
        <v>0</v>
      </c>
      <c r="R32" s="123">
        <f t="shared" si="2"/>
        <v>0</v>
      </c>
      <c r="S32" s="123">
        <f t="shared" si="2"/>
        <v>0</v>
      </c>
      <c r="T32" s="123">
        <f t="shared" si="2"/>
        <v>0</v>
      </c>
      <c r="U32" s="123">
        <f t="shared" si="2"/>
        <v>0</v>
      </c>
      <c r="V32" s="123">
        <f t="shared" si="2"/>
        <v>0</v>
      </c>
      <c r="W32" s="123">
        <f t="shared" si="2"/>
        <v>0</v>
      </c>
      <c r="X32" s="123">
        <f t="shared" si="2"/>
        <v>0</v>
      </c>
      <c r="Y32" s="123">
        <f t="shared" si="2"/>
        <v>0</v>
      </c>
      <c r="Z32" s="123">
        <f t="shared" si="2"/>
        <v>0</v>
      </c>
      <c r="AA32" s="123">
        <f t="shared" si="2"/>
        <v>0</v>
      </c>
      <c r="AB32" s="123">
        <f t="shared" si="2"/>
        <v>0</v>
      </c>
      <c r="AC32" s="123">
        <f t="shared" si="2"/>
        <v>0</v>
      </c>
      <c r="AD32" s="123">
        <f t="shared" si="2"/>
        <v>0</v>
      </c>
      <c r="AE32" s="123">
        <f t="shared" si="2"/>
        <v>0</v>
      </c>
      <c r="AF32" s="123">
        <f t="shared" si="2"/>
        <v>0</v>
      </c>
      <c r="AG32" s="123">
        <f t="shared" si="2"/>
        <v>0</v>
      </c>
      <c r="AH32" s="123">
        <f t="shared" si="2"/>
        <v>0</v>
      </c>
      <c r="AI32" s="123">
        <f t="shared" si="2"/>
        <v>0</v>
      </c>
      <c r="AJ32" s="123">
        <f t="shared" si="2"/>
        <v>0</v>
      </c>
      <c r="AK32" s="123">
        <f t="shared" si="2"/>
        <v>0</v>
      </c>
      <c r="AL32" s="123">
        <f t="shared" si="2"/>
        <v>0</v>
      </c>
      <c r="AM32" s="123">
        <f t="shared" si="2"/>
        <v>0</v>
      </c>
      <c r="AN32" s="123">
        <f t="shared" si="2"/>
        <v>0</v>
      </c>
      <c r="AO32" s="123">
        <f t="shared" si="2"/>
        <v>0</v>
      </c>
      <c r="AP32" s="123">
        <f t="shared" si="2"/>
        <v>0</v>
      </c>
      <c r="AQ32" s="123">
        <f t="shared" si="2"/>
        <v>0</v>
      </c>
      <c r="AR32" s="123">
        <f t="shared" si="2"/>
        <v>0</v>
      </c>
      <c r="AS32" s="123">
        <f t="shared" si="2"/>
        <v>0</v>
      </c>
      <c r="AT32" s="123"/>
      <c r="AU32" s="126">
        <f t="shared" ref="AU32:AU42" si="3">SUM(D32:AT32)</f>
        <v>0</v>
      </c>
    </row>
    <row r="33" spans="1:47" x14ac:dyDescent="0.2">
      <c r="A33" s="432">
        <f>A32+1</f>
        <v>4</v>
      </c>
      <c r="B33" s="32"/>
      <c r="C33" s="32" t="s">
        <v>173</v>
      </c>
      <c r="D33" s="445"/>
      <c r="E33" s="57">
        <f>E49*$F11</f>
        <v>1492397.300430903</v>
      </c>
      <c r="F33" s="123">
        <f t="shared" ref="F33:AS33" si="4">F49*$F11</f>
        <v>1445102.6995744214</v>
      </c>
      <c r="G33" s="123">
        <f t="shared" si="4"/>
        <v>1393157.2333162311</v>
      </c>
      <c r="H33" s="123">
        <f t="shared" si="4"/>
        <v>1342867.4560736131</v>
      </c>
      <c r="I33" s="123">
        <f t="shared" si="4"/>
        <v>1294109.4295133485</v>
      </c>
      <c r="J33" s="123">
        <f t="shared" si="4"/>
        <v>1246768.7490201571</v>
      </c>
      <c r="K33" s="123">
        <f t="shared" si="4"/>
        <v>1200738.9547437103</v>
      </c>
      <c r="L33" s="123">
        <f t="shared" si="4"/>
        <v>1155921.531598628</v>
      </c>
      <c r="M33" s="123">
        <f t="shared" si="4"/>
        <v>1111781.0024272825</v>
      </c>
      <c r="N33" s="123">
        <f t="shared" si="4"/>
        <v>1067737.3993883266</v>
      </c>
      <c r="O33" s="123">
        <f t="shared" si="4"/>
        <v>1023693.7963493709</v>
      </c>
      <c r="P33" s="123">
        <f t="shared" si="4"/>
        <v>979650.19331041514</v>
      </c>
      <c r="Q33" s="123">
        <f t="shared" si="4"/>
        <v>935606.59027145908</v>
      </c>
      <c r="R33" s="123">
        <f t="shared" si="4"/>
        <v>891562.98723250348</v>
      </c>
      <c r="S33" s="123">
        <f t="shared" si="4"/>
        <v>847519.38419354754</v>
      </c>
      <c r="T33" s="123">
        <f t="shared" si="4"/>
        <v>803475.78115459182</v>
      </c>
      <c r="U33" s="123">
        <f t="shared" si="4"/>
        <v>759432.17811563599</v>
      </c>
      <c r="V33" s="123">
        <f t="shared" si="4"/>
        <v>715388.57507668016</v>
      </c>
      <c r="W33" s="123">
        <f t="shared" si="4"/>
        <v>671344.97203772422</v>
      </c>
      <c r="X33" s="123">
        <f t="shared" si="4"/>
        <v>627301.36899876839</v>
      </c>
      <c r="Y33" s="123">
        <f t="shared" si="4"/>
        <v>586802.72008048673</v>
      </c>
      <c r="Z33" s="123">
        <f t="shared" si="4"/>
        <v>553392.3904505634</v>
      </c>
      <c r="AA33" s="123">
        <f t="shared" si="4"/>
        <v>523527.01494131429</v>
      </c>
      <c r="AB33" s="123">
        <f t="shared" si="4"/>
        <v>493661.63943206507</v>
      </c>
      <c r="AC33" s="123">
        <f t="shared" si="4"/>
        <v>463796.26392281591</v>
      </c>
      <c r="AD33" s="123">
        <f t="shared" si="4"/>
        <v>433930.88841356669</v>
      </c>
      <c r="AE33" s="123">
        <f t="shared" si="4"/>
        <v>404065.51290431764</v>
      </c>
      <c r="AF33" s="123">
        <f t="shared" si="4"/>
        <v>374200.13739506854</v>
      </c>
      <c r="AG33" s="123">
        <f t="shared" si="4"/>
        <v>344334.76188581943</v>
      </c>
      <c r="AH33" s="123">
        <f t="shared" si="4"/>
        <v>314469.38637657039</v>
      </c>
      <c r="AI33" s="123">
        <f t="shared" si="4"/>
        <v>284604.01086732128</v>
      </c>
      <c r="AJ33" s="123">
        <f t="shared" si="4"/>
        <v>254738.63535807221</v>
      </c>
      <c r="AK33" s="123">
        <f t="shared" si="4"/>
        <v>224873.25984882313</v>
      </c>
      <c r="AL33" s="123">
        <f t="shared" si="4"/>
        <v>195007.88433957406</v>
      </c>
      <c r="AM33" s="123">
        <f t="shared" si="4"/>
        <v>165142.50883032498</v>
      </c>
      <c r="AN33" s="123">
        <f t="shared" si="4"/>
        <v>135277.1333210759</v>
      </c>
      <c r="AO33" s="123">
        <f t="shared" si="4"/>
        <v>105411.75781182683</v>
      </c>
      <c r="AP33" s="123">
        <f t="shared" si="4"/>
        <v>75546.382302577738</v>
      </c>
      <c r="AQ33" s="123">
        <f t="shared" si="4"/>
        <v>45681.006793328663</v>
      </c>
      <c r="AR33" s="123">
        <f t="shared" si="4"/>
        <v>15815.631284079591</v>
      </c>
      <c r="AS33" s="123">
        <f t="shared" si="4"/>
        <v>441.47181144994926</v>
      </c>
      <c r="AT33" s="123"/>
      <c r="AU33" s="126">
        <f t="shared" si="3"/>
        <v>27000277.981198359</v>
      </c>
    </row>
    <row r="34" spans="1:47" x14ac:dyDescent="0.2">
      <c r="A34" s="432">
        <f>A33+1</f>
        <v>5</v>
      </c>
      <c r="B34" s="21"/>
      <c r="C34" s="21" t="s">
        <v>9</v>
      </c>
      <c r="D34" s="445"/>
      <c r="E34" s="59">
        <f>E49*$F12</f>
        <v>2404710.8445105716</v>
      </c>
      <c r="F34" s="121">
        <f t="shared" ref="F34:AS34" si="5">F49*$F12</f>
        <v>2328504.7032011882</v>
      </c>
      <c r="G34" s="121">
        <f t="shared" si="5"/>
        <v>2244804.5879583089</v>
      </c>
      <c r="H34" s="121">
        <f t="shared" si="5"/>
        <v>2163772.2967122532</v>
      </c>
      <c r="I34" s="121">
        <f t="shared" si="5"/>
        <v>2085208.1267070209</v>
      </c>
      <c r="J34" s="121">
        <f t="shared" si="5"/>
        <v>2008927.7369370731</v>
      </c>
      <c r="K34" s="121">
        <f t="shared" si="5"/>
        <v>1934759.5878555898</v>
      </c>
      <c r="L34" s="121">
        <f t="shared" si="5"/>
        <v>1862544.9413744677</v>
      </c>
      <c r="M34" s="121">
        <f t="shared" si="5"/>
        <v>1791420.9791761162</v>
      </c>
      <c r="N34" s="121">
        <f t="shared" si="5"/>
        <v>1720453.1947741236</v>
      </c>
      <c r="O34" s="121">
        <f t="shared" si="5"/>
        <v>1649485.4103721313</v>
      </c>
      <c r="P34" s="121">
        <f t="shared" si="5"/>
        <v>1578517.6259701392</v>
      </c>
      <c r="Q34" s="121">
        <f t="shared" si="5"/>
        <v>1507549.8415681464</v>
      </c>
      <c r="R34" s="121">
        <f t="shared" si="5"/>
        <v>1436582.0571661543</v>
      </c>
      <c r="S34" s="121">
        <f t="shared" si="5"/>
        <v>1365614.2727641615</v>
      </c>
      <c r="T34" s="121">
        <f t="shared" si="5"/>
        <v>1294646.4883621691</v>
      </c>
      <c r="U34" s="121">
        <f t="shared" si="5"/>
        <v>1223678.7039601768</v>
      </c>
      <c r="V34" s="121">
        <f t="shared" si="5"/>
        <v>1152710.9195581842</v>
      </c>
      <c r="W34" s="121">
        <f t="shared" si="5"/>
        <v>1081743.1351561919</v>
      </c>
      <c r="X34" s="121">
        <f t="shared" si="5"/>
        <v>1010775.3507541993</v>
      </c>
      <c r="Y34" s="121">
        <f t="shared" si="5"/>
        <v>945519.57723216247</v>
      </c>
      <c r="Z34" s="121">
        <f t="shared" si="5"/>
        <v>891685.26517829311</v>
      </c>
      <c r="AA34" s="121">
        <f t="shared" si="5"/>
        <v>843562.96400437935</v>
      </c>
      <c r="AB34" s="121">
        <f t="shared" si="5"/>
        <v>795440.66283046536</v>
      </c>
      <c r="AC34" s="121">
        <f t="shared" si="5"/>
        <v>747318.36165655148</v>
      </c>
      <c r="AD34" s="121">
        <f t="shared" si="5"/>
        <v>699196.06048263761</v>
      </c>
      <c r="AE34" s="121">
        <f t="shared" si="5"/>
        <v>651073.75930872385</v>
      </c>
      <c r="AF34" s="121">
        <f t="shared" si="5"/>
        <v>602951.45813481009</v>
      </c>
      <c r="AG34" s="121">
        <f t="shared" si="5"/>
        <v>554829.15696089645</v>
      </c>
      <c r="AH34" s="121">
        <f t="shared" si="5"/>
        <v>506706.85578698269</v>
      </c>
      <c r="AI34" s="121">
        <f t="shared" si="5"/>
        <v>458584.55461306899</v>
      </c>
      <c r="AJ34" s="121">
        <f t="shared" si="5"/>
        <v>410462.25343915529</v>
      </c>
      <c r="AK34" s="121">
        <f t="shared" si="5"/>
        <v>362339.95226524153</v>
      </c>
      <c r="AL34" s="121">
        <f t="shared" si="5"/>
        <v>314217.65109132783</v>
      </c>
      <c r="AM34" s="121">
        <f t="shared" si="5"/>
        <v>266095.34991741413</v>
      </c>
      <c r="AN34" s="121">
        <f t="shared" si="5"/>
        <v>217973.0487435004</v>
      </c>
      <c r="AO34" s="121">
        <f t="shared" si="5"/>
        <v>169850.7475695867</v>
      </c>
      <c r="AP34" s="121">
        <f t="shared" si="5"/>
        <v>121728.44639567299</v>
      </c>
      <c r="AQ34" s="121">
        <f t="shared" si="5"/>
        <v>73606.145221759274</v>
      </c>
      <c r="AR34" s="121">
        <f t="shared" si="5"/>
        <v>25483.84404784556</v>
      </c>
      <c r="AS34" s="121">
        <f t="shared" si="5"/>
        <v>711.34680572854018</v>
      </c>
      <c r="AT34" s="121"/>
      <c r="AU34" s="126">
        <f t="shared" si="3"/>
        <v>43505748.266524576</v>
      </c>
    </row>
    <row r="35" spans="1:47" x14ac:dyDescent="0.2">
      <c r="A35" s="432">
        <f>A34+1</f>
        <v>6</v>
      </c>
      <c r="B35" s="21"/>
      <c r="C35" s="21" t="s">
        <v>58</v>
      </c>
      <c r="D35" s="445"/>
      <c r="E35" s="57">
        <f>E32+E33+E34</f>
        <v>3897108.1449414743</v>
      </c>
      <c r="F35" s="123">
        <f>F32+F33+F34</f>
        <v>3773607.4027756099</v>
      </c>
      <c r="G35" s="123">
        <f>G32+G33+G34</f>
        <v>3637961.8212745399</v>
      </c>
      <c r="H35" s="123">
        <f t="shared" ref="H35:AS35" si="6">H32+H33+H34</f>
        <v>3506639.7527858661</v>
      </c>
      <c r="I35" s="123">
        <f t="shared" si="6"/>
        <v>3379317.5562203694</v>
      </c>
      <c r="J35" s="123">
        <f t="shared" si="6"/>
        <v>3255696.4859572304</v>
      </c>
      <c r="K35" s="123">
        <f t="shared" si="6"/>
        <v>3135498.5425992999</v>
      </c>
      <c r="L35" s="123">
        <f t="shared" si="6"/>
        <v>3018466.4729730957</v>
      </c>
      <c r="M35" s="123">
        <f t="shared" si="6"/>
        <v>2903201.9816033989</v>
      </c>
      <c r="N35" s="123">
        <f t="shared" si="6"/>
        <v>2788190.5941624502</v>
      </c>
      <c r="O35" s="123">
        <f t="shared" si="6"/>
        <v>2673179.2067215024</v>
      </c>
      <c r="P35" s="123">
        <f t="shared" si="6"/>
        <v>2558167.8192805545</v>
      </c>
      <c r="Q35" s="123">
        <f t="shared" si="6"/>
        <v>2443156.4318396053</v>
      </c>
      <c r="R35" s="123">
        <f t="shared" si="6"/>
        <v>2328145.044398658</v>
      </c>
      <c r="S35" s="123">
        <f t="shared" si="6"/>
        <v>2213133.6569577092</v>
      </c>
      <c r="T35" s="123">
        <f t="shared" si="6"/>
        <v>2098122.2695167609</v>
      </c>
      <c r="U35" s="123">
        <f t="shared" si="6"/>
        <v>1983110.8820758127</v>
      </c>
      <c r="V35" s="123">
        <f t="shared" si="6"/>
        <v>1868099.4946348644</v>
      </c>
      <c r="W35" s="123">
        <f t="shared" si="6"/>
        <v>1753088.1071939161</v>
      </c>
      <c r="X35" s="123">
        <f t="shared" si="6"/>
        <v>1638076.7197529678</v>
      </c>
      <c r="Y35" s="123">
        <f t="shared" si="6"/>
        <v>1532322.2973126492</v>
      </c>
      <c r="Z35" s="123">
        <f t="shared" si="6"/>
        <v>1445077.6556288565</v>
      </c>
      <c r="AA35" s="123">
        <f t="shared" si="6"/>
        <v>1367089.9789456937</v>
      </c>
      <c r="AB35" s="123">
        <f t="shared" si="6"/>
        <v>1289102.3022625304</v>
      </c>
      <c r="AC35" s="123">
        <f t="shared" si="6"/>
        <v>1211114.6255793674</v>
      </c>
      <c r="AD35" s="123">
        <f t="shared" si="6"/>
        <v>1133126.9488962044</v>
      </c>
      <c r="AE35" s="123">
        <f t="shared" si="6"/>
        <v>1055139.2722130415</v>
      </c>
      <c r="AF35" s="123">
        <f t="shared" si="6"/>
        <v>977151.59552987863</v>
      </c>
      <c r="AG35" s="123">
        <f t="shared" si="6"/>
        <v>899163.91884671594</v>
      </c>
      <c r="AH35" s="123">
        <f t="shared" si="6"/>
        <v>821176.24216355314</v>
      </c>
      <c r="AI35" s="123">
        <f t="shared" si="6"/>
        <v>743188.56548039033</v>
      </c>
      <c r="AJ35" s="123">
        <f t="shared" si="6"/>
        <v>665200.88879722753</v>
      </c>
      <c r="AK35" s="123">
        <f t="shared" si="6"/>
        <v>587213.21211406472</v>
      </c>
      <c r="AL35" s="123">
        <f t="shared" si="6"/>
        <v>509225.53543090192</v>
      </c>
      <c r="AM35" s="123">
        <f t="shared" si="6"/>
        <v>431237.85874773911</v>
      </c>
      <c r="AN35" s="123">
        <f t="shared" si="6"/>
        <v>353250.18206457631</v>
      </c>
      <c r="AO35" s="123">
        <f t="shared" si="6"/>
        <v>275262.5053814135</v>
      </c>
      <c r="AP35" s="123">
        <f t="shared" si="6"/>
        <v>197274.82869825073</v>
      </c>
      <c r="AQ35" s="123">
        <f t="shared" si="6"/>
        <v>119287.15201508794</v>
      </c>
      <c r="AR35" s="123">
        <f t="shared" si="6"/>
        <v>41299.475331925147</v>
      </c>
      <c r="AS35" s="123">
        <f t="shared" si="6"/>
        <v>1152.8186171784894</v>
      </c>
      <c r="AT35" s="123"/>
      <c r="AU35" s="126">
        <f t="shared" si="3"/>
        <v>70506026.247722954</v>
      </c>
    </row>
    <row r="36" spans="1:47" x14ac:dyDescent="0.2">
      <c r="A36" s="21"/>
      <c r="B36" s="21"/>
      <c r="C36" s="21"/>
      <c r="D36" s="445"/>
      <c r="E36" s="57"/>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6">
        <f t="shared" si="3"/>
        <v>0</v>
      </c>
    </row>
    <row r="37" spans="1:47" x14ac:dyDescent="0.2">
      <c r="A37" s="432">
        <f>A35+1</f>
        <v>7</v>
      </c>
      <c r="B37" s="21" t="s">
        <v>59</v>
      </c>
      <c r="C37" s="21"/>
      <c r="D37" s="445"/>
      <c r="E37" s="60">
        <f>E27+E29+E35</f>
        <v>5872175.1064378964</v>
      </c>
      <c r="F37" s="120">
        <f>F27+F29+F35</f>
        <v>5728417.0355695374</v>
      </c>
      <c r="G37" s="120">
        <f t="shared" ref="G37:AS37" si="7">G27+G29+G35</f>
        <v>5570522.056345677</v>
      </c>
      <c r="H37" s="120">
        <f t="shared" si="7"/>
        <v>5417659.7585384315</v>
      </c>
      <c r="I37" s="120">
        <f t="shared" si="7"/>
        <v>5269453.4155158475</v>
      </c>
      <c r="J37" s="120">
        <f t="shared" si="7"/>
        <v>5125555.2796176588</v>
      </c>
      <c r="K37" s="120">
        <f t="shared" si="7"/>
        <v>4985641.7523266766</v>
      </c>
      <c r="L37" s="120">
        <f t="shared" si="7"/>
        <v>4849413.3842687812</v>
      </c>
      <c r="M37" s="120">
        <f t="shared" si="7"/>
        <v>4715242.5232007885</v>
      </c>
      <c r="N37" s="120">
        <f t="shared" si="7"/>
        <v>4581366.2816782976</v>
      </c>
      <c r="O37" s="120">
        <f t="shared" si="7"/>
        <v>4447490.0401558075</v>
      </c>
      <c r="P37" s="120">
        <f t="shared" si="7"/>
        <v>4313613.7986333165</v>
      </c>
      <c r="Q37" s="120">
        <f t="shared" si="7"/>
        <v>4179737.5571108256</v>
      </c>
      <c r="R37" s="120">
        <f t="shared" si="7"/>
        <v>4045861.315588336</v>
      </c>
      <c r="S37" s="120">
        <f t="shared" si="7"/>
        <v>3911985.074065845</v>
      </c>
      <c r="T37" s="120">
        <f t="shared" si="7"/>
        <v>3778108.8325433545</v>
      </c>
      <c r="U37" s="120">
        <f t="shared" si="7"/>
        <v>3644232.5910208635</v>
      </c>
      <c r="V37" s="120">
        <f t="shared" si="7"/>
        <v>3510356.3494983735</v>
      </c>
      <c r="W37" s="120">
        <f t="shared" si="7"/>
        <v>3376480.1079758825</v>
      </c>
      <c r="X37" s="120">
        <f t="shared" si="7"/>
        <v>3242603.866453392</v>
      </c>
      <c r="Y37" s="120">
        <f t="shared" si="7"/>
        <v>3119502.9725705069</v>
      </c>
      <c r="Z37" s="120">
        <f t="shared" si="7"/>
        <v>3017947.9441382168</v>
      </c>
      <c r="AA37" s="120">
        <f t="shared" si="7"/>
        <v>2927168.2633455331</v>
      </c>
      <c r="AB37" s="120">
        <f t="shared" si="7"/>
        <v>2836388.5825528484</v>
      </c>
      <c r="AC37" s="120">
        <f t="shared" si="7"/>
        <v>2745608.9017601637</v>
      </c>
      <c r="AD37" s="120">
        <f t="shared" si="7"/>
        <v>2654829.2209674791</v>
      </c>
      <c r="AE37" s="120">
        <f t="shared" si="7"/>
        <v>2564049.5401747953</v>
      </c>
      <c r="AF37" s="120">
        <f t="shared" si="7"/>
        <v>2473269.8593821106</v>
      </c>
      <c r="AG37" s="120">
        <f t="shared" si="7"/>
        <v>2382490.1785894269</v>
      </c>
      <c r="AH37" s="120">
        <f t="shared" si="7"/>
        <v>2291710.4977967422</v>
      </c>
      <c r="AI37" s="120">
        <f t="shared" si="7"/>
        <v>2200930.8170040585</v>
      </c>
      <c r="AJ37" s="120">
        <f t="shared" si="7"/>
        <v>2110151.1362113743</v>
      </c>
      <c r="AK37" s="120">
        <f t="shared" si="7"/>
        <v>2019371.4554186901</v>
      </c>
      <c r="AL37" s="120">
        <f t="shared" si="7"/>
        <v>1928591.7746260059</v>
      </c>
      <c r="AM37" s="120">
        <f t="shared" si="7"/>
        <v>1837812.0938333217</v>
      </c>
      <c r="AN37" s="120">
        <f t="shared" si="7"/>
        <v>1747032.4130406375</v>
      </c>
      <c r="AO37" s="120">
        <f t="shared" si="7"/>
        <v>1656252.7322479533</v>
      </c>
      <c r="AP37" s="120">
        <f t="shared" si="7"/>
        <v>1565473.0514552691</v>
      </c>
      <c r="AQ37" s="120">
        <f t="shared" si="7"/>
        <v>1474693.3706625849</v>
      </c>
      <c r="AR37" s="120">
        <f t="shared" si="7"/>
        <v>1383913.6898699009</v>
      </c>
      <c r="AS37" s="120">
        <f t="shared" si="7"/>
        <v>40834.840806043037</v>
      </c>
      <c r="AT37" s="120"/>
      <c r="AU37" s="126">
        <f t="shared" si="3"/>
        <v>135543939.46299928</v>
      </c>
    </row>
    <row r="38" spans="1:47" x14ac:dyDescent="0.2">
      <c r="A38" s="432">
        <f>A37+1</f>
        <v>8</v>
      </c>
      <c r="B38" s="21" t="s">
        <v>60</v>
      </c>
      <c r="C38" s="21"/>
      <c r="D38" s="445"/>
      <c r="E38" s="59">
        <f>E37/(1-$F16)-E37</f>
        <v>279578.75787125807</v>
      </c>
      <c r="F38" s="121">
        <f t="shared" ref="F38:AS38" si="8">F37/(1-$F16)-F37</f>
        <v>272734.32592588197</v>
      </c>
      <c r="G38" s="619">
        <f>G37/(1-$G16)-G37</f>
        <v>277469.66311316378</v>
      </c>
      <c r="H38" s="619">
        <f t="shared" ref="H38:AR38" si="9">H37/(1-$G16)-H37</f>
        <v>269855.53828854952</v>
      </c>
      <c r="I38" s="619">
        <f t="shared" si="9"/>
        <v>262473.32820953894</v>
      </c>
      <c r="J38" s="619">
        <f t="shared" si="9"/>
        <v>255305.71144284774</v>
      </c>
      <c r="K38" s="619">
        <f t="shared" si="9"/>
        <v>248336.5694325082</v>
      </c>
      <c r="L38" s="619">
        <f t="shared" si="9"/>
        <v>241550.98649985995</v>
      </c>
      <c r="M38" s="619">
        <f t="shared" si="9"/>
        <v>234867.88871412724</v>
      </c>
      <c r="N38" s="619">
        <f t="shared" si="9"/>
        <v>228199.46603159141</v>
      </c>
      <c r="O38" s="619">
        <f t="shared" si="9"/>
        <v>221531.04334905557</v>
      </c>
      <c r="P38" s="619">
        <f t="shared" si="9"/>
        <v>214862.62066651974</v>
      </c>
      <c r="Q38" s="619">
        <f t="shared" si="9"/>
        <v>208194.1979839839</v>
      </c>
      <c r="R38" s="619">
        <f t="shared" si="9"/>
        <v>201525.7753014476</v>
      </c>
      <c r="S38" s="619">
        <f t="shared" si="9"/>
        <v>194857.35261891177</v>
      </c>
      <c r="T38" s="619">
        <f t="shared" si="9"/>
        <v>188188.92993637593</v>
      </c>
      <c r="U38" s="619">
        <f t="shared" si="9"/>
        <v>181520.5072538401</v>
      </c>
      <c r="V38" s="619">
        <f t="shared" si="9"/>
        <v>174852.08457130427</v>
      </c>
      <c r="W38" s="619">
        <f t="shared" si="9"/>
        <v>168183.66188876797</v>
      </c>
      <c r="X38" s="619">
        <f t="shared" si="9"/>
        <v>161515.23920623213</v>
      </c>
      <c r="Y38" s="619">
        <f t="shared" si="9"/>
        <v>155383.54037996102</v>
      </c>
      <c r="Z38" s="619">
        <f t="shared" si="9"/>
        <v>150325.04869075632</v>
      </c>
      <c r="AA38" s="619">
        <f t="shared" si="9"/>
        <v>145803.28085781634</v>
      </c>
      <c r="AB38" s="619">
        <f t="shared" si="9"/>
        <v>141281.51302487636</v>
      </c>
      <c r="AC38" s="619">
        <f t="shared" si="9"/>
        <v>136759.74519193638</v>
      </c>
      <c r="AD38" s="619">
        <f t="shared" si="9"/>
        <v>132237.9773589964</v>
      </c>
      <c r="AE38" s="619">
        <f t="shared" si="9"/>
        <v>127716.20952605642</v>
      </c>
      <c r="AF38" s="619">
        <f t="shared" si="9"/>
        <v>123194.44169311645</v>
      </c>
      <c r="AG38" s="619">
        <f t="shared" si="9"/>
        <v>118672.67386017647</v>
      </c>
      <c r="AH38" s="619">
        <f t="shared" si="9"/>
        <v>114150.90602723649</v>
      </c>
      <c r="AI38" s="619">
        <f t="shared" si="9"/>
        <v>109629.13819429651</v>
      </c>
      <c r="AJ38" s="619">
        <f t="shared" si="9"/>
        <v>105107.37036135653</v>
      </c>
      <c r="AK38" s="619">
        <f t="shared" si="9"/>
        <v>100585.60252841655</v>
      </c>
      <c r="AL38" s="619">
        <f t="shared" si="9"/>
        <v>96063.83469547634</v>
      </c>
      <c r="AM38" s="619">
        <f t="shared" si="9"/>
        <v>91542.066862536361</v>
      </c>
      <c r="AN38" s="619">
        <f t="shared" si="9"/>
        <v>87020.299029596383</v>
      </c>
      <c r="AO38" s="619">
        <f t="shared" si="9"/>
        <v>82498.531196656404</v>
      </c>
      <c r="AP38" s="619">
        <f t="shared" si="9"/>
        <v>77976.763363716425</v>
      </c>
      <c r="AQ38" s="619">
        <f t="shared" si="9"/>
        <v>73454.995530776447</v>
      </c>
      <c r="AR38" s="619">
        <f t="shared" si="9"/>
        <v>68933.227697836468</v>
      </c>
      <c r="AS38" s="121">
        <f t="shared" si="8"/>
        <v>1944.1780709004524</v>
      </c>
      <c r="AT38" s="121"/>
      <c r="AU38" s="126">
        <f t="shared" si="3"/>
        <v>6725884.9924482564</v>
      </c>
    </row>
    <row r="39" spans="1:47" x14ac:dyDescent="0.2">
      <c r="A39" s="432">
        <f>A38+1</f>
        <v>9</v>
      </c>
      <c r="B39" s="21"/>
      <c r="C39" s="21" t="s">
        <v>61</v>
      </c>
      <c r="D39" s="445"/>
      <c r="E39" s="60">
        <f>SUM(E37:E38)</f>
        <v>6151753.8643091545</v>
      </c>
      <c r="F39" s="120">
        <f t="shared" ref="F39:AS39" si="10">SUM(F37:F38)</f>
        <v>6001151.3614954194</v>
      </c>
      <c r="G39" s="120">
        <f t="shared" si="10"/>
        <v>5847991.7194588408</v>
      </c>
      <c r="H39" s="120">
        <f t="shared" si="10"/>
        <v>5687515.296826981</v>
      </c>
      <c r="I39" s="120">
        <f t="shared" si="10"/>
        <v>5531926.7437253864</v>
      </c>
      <c r="J39" s="120">
        <f t="shared" si="10"/>
        <v>5380860.9910605066</v>
      </c>
      <c r="K39" s="120">
        <f t="shared" si="10"/>
        <v>5233978.3217591848</v>
      </c>
      <c r="L39" s="120">
        <f t="shared" si="10"/>
        <v>5090964.3707686411</v>
      </c>
      <c r="M39" s="120">
        <f t="shared" si="10"/>
        <v>4950110.4119149158</v>
      </c>
      <c r="N39" s="120">
        <f t="shared" si="10"/>
        <v>4809565.747709889</v>
      </c>
      <c r="O39" s="120">
        <f t="shared" si="10"/>
        <v>4669021.0835048631</v>
      </c>
      <c r="P39" s="120">
        <f t="shared" si="10"/>
        <v>4528476.4192998363</v>
      </c>
      <c r="Q39" s="120">
        <f t="shared" si="10"/>
        <v>4387931.7550948095</v>
      </c>
      <c r="R39" s="120">
        <f t="shared" si="10"/>
        <v>4247387.0908897836</v>
      </c>
      <c r="S39" s="120">
        <f t="shared" si="10"/>
        <v>4106842.4266847568</v>
      </c>
      <c r="T39" s="120">
        <f t="shared" si="10"/>
        <v>3966297.7624797304</v>
      </c>
      <c r="U39" s="120">
        <f t="shared" si="10"/>
        <v>3825753.0982747036</v>
      </c>
      <c r="V39" s="120">
        <f t="shared" si="10"/>
        <v>3685208.4340696777</v>
      </c>
      <c r="W39" s="120">
        <f t="shared" si="10"/>
        <v>3544663.7698646504</v>
      </c>
      <c r="X39" s="120">
        <f t="shared" si="10"/>
        <v>3404119.1056596241</v>
      </c>
      <c r="Y39" s="120">
        <f t="shared" si="10"/>
        <v>3274886.5129504679</v>
      </c>
      <c r="Z39" s="120">
        <f t="shared" si="10"/>
        <v>3168272.9928289731</v>
      </c>
      <c r="AA39" s="120">
        <f t="shared" si="10"/>
        <v>3072971.5442033494</v>
      </c>
      <c r="AB39" s="120">
        <f t="shared" si="10"/>
        <v>2977670.0955777247</v>
      </c>
      <c r="AC39" s="120">
        <f t="shared" si="10"/>
        <v>2882368.6469521001</v>
      </c>
      <c r="AD39" s="120">
        <f t="shared" si="10"/>
        <v>2787067.1983264755</v>
      </c>
      <c r="AE39" s="120">
        <f t="shared" si="10"/>
        <v>2691765.7497008517</v>
      </c>
      <c r="AF39" s="120">
        <f t="shared" si="10"/>
        <v>2596464.3010752271</v>
      </c>
      <c r="AG39" s="120">
        <f t="shared" si="10"/>
        <v>2501162.8524496034</v>
      </c>
      <c r="AH39" s="120">
        <f t="shared" si="10"/>
        <v>2405861.4038239787</v>
      </c>
      <c r="AI39" s="120">
        <f t="shared" si="10"/>
        <v>2310559.955198355</v>
      </c>
      <c r="AJ39" s="120">
        <f t="shared" si="10"/>
        <v>2215258.5065727308</v>
      </c>
      <c r="AK39" s="120">
        <f t="shared" si="10"/>
        <v>2119957.0579471067</v>
      </c>
      <c r="AL39" s="120">
        <f t="shared" si="10"/>
        <v>2024655.6093214822</v>
      </c>
      <c r="AM39" s="120">
        <f t="shared" si="10"/>
        <v>1929354.1606958581</v>
      </c>
      <c r="AN39" s="120">
        <f t="shared" si="10"/>
        <v>1834052.7120702339</v>
      </c>
      <c r="AO39" s="120">
        <f t="shared" si="10"/>
        <v>1738751.2634446097</v>
      </c>
      <c r="AP39" s="120">
        <f t="shared" si="10"/>
        <v>1643449.8148189855</v>
      </c>
      <c r="AQ39" s="120">
        <f t="shared" si="10"/>
        <v>1548148.3661933613</v>
      </c>
      <c r="AR39" s="120">
        <f t="shared" si="10"/>
        <v>1452846.9175677374</v>
      </c>
      <c r="AS39" s="120">
        <f t="shared" si="10"/>
        <v>42779.01887694349</v>
      </c>
      <c r="AT39" s="120"/>
      <c r="AU39" s="126">
        <f t="shared" si="3"/>
        <v>142269824.45544741</v>
      </c>
    </row>
    <row r="40" spans="1:47" x14ac:dyDescent="0.2">
      <c r="A40" s="432">
        <f t="shared" ref="A40:A66" si="11">A39+1</f>
        <v>10</v>
      </c>
      <c r="B40" s="21"/>
      <c r="C40" s="21"/>
      <c r="D40" s="445"/>
      <c r="E40" s="6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6">
        <f t="shared" si="3"/>
        <v>0</v>
      </c>
    </row>
    <row r="41" spans="1:47" x14ac:dyDescent="0.2">
      <c r="A41" s="432">
        <f t="shared" si="11"/>
        <v>11</v>
      </c>
      <c r="B41" s="21"/>
      <c r="C41" s="21"/>
      <c r="D41" s="445"/>
      <c r="E41" s="57"/>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6">
        <f t="shared" si="3"/>
        <v>0</v>
      </c>
    </row>
    <row r="42" spans="1:47" x14ac:dyDescent="0.2">
      <c r="A42" s="432">
        <f t="shared" si="11"/>
        <v>12</v>
      </c>
      <c r="B42" s="21" t="s">
        <v>208</v>
      </c>
      <c r="C42" s="21"/>
      <c r="D42" s="445"/>
      <c r="E42" s="59">
        <f>E39</f>
        <v>6151753.8643091545</v>
      </c>
      <c r="F42" s="121">
        <f>F39</f>
        <v>6001151.3614954194</v>
      </c>
      <c r="G42" s="121">
        <f t="shared" ref="G42:AS42" si="12">G39</f>
        <v>5847991.7194588408</v>
      </c>
      <c r="H42" s="121">
        <f t="shared" si="12"/>
        <v>5687515.296826981</v>
      </c>
      <c r="I42" s="121">
        <f t="shared" si="12"/>
        <v>5531926.7437253864</v>
      </c>
      <c r="J42" s="121">
        <f t="shared" si="12"/>
        <v>5380860.9910605066</v>
      </c>
      <c r="K42" s="121">
        <f t="shared" si="12"/>
        <v>5233978.3217591848</v>
      </c>
      <c r="L42" s="121">
        <f t="shared" si="12"/>
        <v>5090964.3707686411</v>
      </c>
      <c r="M42" s="121">
        <f t="shared" si="12"/>
        <v>4950110.4119149158</v>
      </c>
      <c r="N42" s="121">
        <f t="shared" si="12"/>
        <v>4809565.747709889</v>
      </c>
      <c r="O42" s="121">
        <f t="shared" si="12"/>
        <v>4669021.0835048631</v>
      </c>
      <c r="P42" s="121">
        <f t="shared" si="12"/>
        <v>4528476.4192998363</v>
      </c>
      <c r="Q42" s="121">
        <f t="shared" si="12"/>
        <v>4387931.7550948095</v>
      </c>
      <c r="R42" s="121">
        <f t="shared" si="12"/>
        <v>4247387.0908897836</v>
      </c>
      <c r="S42" s="121">
        <f t="shared" si="12"/>
        <v>4106842.4266847568</v>
      </c>
      <c r="T42" s="121">
        <f t="shared" si="12"/>
        <v>3966297.7624797304</v>
      </c>
      <c r="U42" s="121">
        <f t="shared" si="12"/>
        <v>3825753.0982747036</v>
      </c>
      <c r="V42" s="121">
        <f t="shared" si="12"/>
        <v>3685208.4340696777</v>
      </c>
      <c r="W42" s="121">
        <f t="shared" si="12"/>
        <v>3544663.7698646504</v>
      </c>
      <c r="X42" s="121">
        <f t="shared" si="12"/>
        <v>3404119.1056596241</v>
      </c>
      <c r="Y42" s="121">
        <f t="shared" si="12"/>
        <v>3274886.5129504679</v>
      </c>
      <c r="Z42" s="121">
        <f t="shared" si="12"/>
        <v>3168272.9928289731</v>
      </c>
      <c r="AA42" s="121">
        <f t="shared" si="12"/>
        <v>3072971.5442033494</v>
      </c>
      <c r="AB42" s="121">
        <f t="shared" si="12"/>
        <v>2977670.0955777247</v>
      </c>
      <c r="AC42" s="121">
        <f t="shared" si="12"/>
        <v>2882368.6469521001</v>
      </c>
      <c r="AD42" s="121">
        <f t="shared" si="12"/>
        <v>2787067.1983264755</v>
      </c>
      <c r="AE42" s="121">
        <f t="shared" si="12"/>
        <v>2691765.7497008517</v>
      </c>
      <c r="AF42" s="121">
        <f t="shared" si="12"/>
        <v>2596464.3010752271</v>
      </c>
      <c r="AG42" s="121">
        <f t="shared" si="12"/>
        <v>2501162.8524496034</v>
      </c>
      <c r="AH42" s="121">
        <f t="shared" si="12"/>
        <v>2405861.4038239787</v>
      </c>
      <c r="AI42" s="121">
        <f t="shared" si="12"/>
        <v>2310559.955198355</v>
      </c>
      <c r="AJ42" s="121">
        <f t="shared" si="12"/>
        <v>2215258.5065727308</v>
      </c>
      <c r="AK42" s="121">
        <f t="shared" si="12"/>
        <v>2119957.0579471067</v>
      </c>
      <c r="AL42" s="121">
        <f t="shared" si="12"/>
        <v>2024655.6093214822</v>
      </c>
      <c r="AM42" s="121">
        <f t="shared" si="12"/>
        <v>1929354.1606958581</v>
      </c>
      <c r="AN42" s="121">
        <f t="shared" si="12"/>
        <v>1834052.7120702339</v>
      </c>
      <c r="AO42" s="121">
        <f t="shared" si="12"/>
        <v>1738751.2634446097</v>
      </c>
      <c r="AP42" s="121">
        <f t="shared" si="12"/>
        <v>1643449.8148189855</v>
      </c>
      <c r="AQ42" s="121">
        <f t="shared" si="12"/>
        <v>1548148.3661933613</v>
      </c>
      <c r="AR42" s="121">
        <f t="shared" si="12"/>
        <v>1452846.9175677374</v>
      </c>
      <c r="AS42" s="121">
        <f t="shared" si="12"/>
        <v>42779.01887694349</v>
      </c>
      <c r="AT42" s="121"/>
      <c r="AU42" s="126">
        <f t="shared" si="3"/>
        <v>142269824.45544741</v>
      </c>
    </row>
    <row r="43" spans="1:47" x14ac:dyDescent="0.2">
      <c r="A43" s="432">
        <f t="shared" si="11"/>
        <v>13</v>
      </c>
      <c r="B43" s="21"/>
      <c r="C43" s="21"/>
      <c r="D43" s="445"/>
      <c r="E43" s="107"/>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row>
    <row r="44" spans="1:47" outlineLevel="1" x14ac:dyDescent="0.2">
      <c r="A44" s="432">
        <f t="shared" si="11"/>
        <v>14</v>
      </c>
      <c r="B44" s="21"/>
      <c r="C44" s="21"/>
      <c r="D44" s="445"/>
      <c r="E44" s="62"/>
      <c r="F44" s="445"/>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row>
    <row r="45" spans="1:47" outlineLevel="1" x14ac:dyDescent="0.2">
      <c r="A45" s="432">
        <f t="shared" si="11"/>
        <v>15</v>
      </c>
      <c r="B45" s="21" t="s">
        <v>63</v>
      </c>
      <c r="C45" s="445"/>
      <c r="D45" s="445"/>
      <c r="E45" s="64">
        <f>+E42/$F$22</f>
        <v>0.11504391082001943</v>
      </c>
      <c r="F45" s="122">
        <f t="shared" ref="F45:AS45" si="13">+F42/$F$22</f>
        <v>0.11222749434999528</v>
      </c>
      <c r="G45" s="122">
        <f t="shared" si="13"/>
        <v>0.10936325683524208</v>
      </c>
      <c r="H45" s="122">
        <f t="shared" si="13"/>
        <v>0.10636218825200663</v>
      </c>
      <c r="I45" s="122">
        <f t="shared" si="13"/>
        <v>0.10345252768650776</v>
      </c>
      <c r="J45" s="122">
        <f t="shared" si="13"/>
        <v>0.10062744798389367</v>
      </c>
      <c r="K45" s="122">
        <f t="shared" si="13"/>
        <v>9.7880596097288594E-2</v>
      </c>
      <c r="L45" s="122">
        <f t="shared" si="13"/>
        <v>9.520609308779239E-2</v>
      </c>
      <c r="M45" s="122">
        <f t="shared" si="13"/>
        <v>9.2571984077835359E-2</v>
      </c>
      <c r="N45" s="122">
        <f t="shared" si="13"/>
        <v>8.9943659185183239E-2</v>
      </c>
      <c r="O45" s="122">
        <f t="shared" si="13"/>
        <v>8.7315334292531119E-2</v>
      </c>
      <c r="P45" s="122">
        <f t="shared" si="13"/>
        <v>8.4687009399878999E-2</v>
      </c>
      <c r="Q45" s="122">
        <f t="shared" si="13"/>
        <v>8.2058684507226864E-2</v>
      </c>
      <c r="R45" s="122">
        <f t="shared" si="13"/>
        <v>7.9430359614574758E-2</v>
      </c>
      <c r="S45" s="122">
        <f t="shared" si="13"/>
        <v>7.6802034721922624E-2</v>
      </c>
      <c r="T45" s="122">
        <f t="shared" si="13"/>
        <v>7.4173709829270504E-2</v>
      </c>
      <c r="U45" s="122">
        <f t="shared" si="13"/>
        <v>7.154538493661837E-2</v>
      </c>
      <c r="V45" s="122">
        <f t="shared" si="13"/>
        <v>6.8917060043966263E-2</v>
      </c>
      <c r="W45" s="122">
        <f t="shared" si="13"/>
        <v>6.6288735151314115E-2</v>
      </c>
      <c r="X45" s="122">
        <f t="shared" si="13"/>
        <v>6.3660410258661995E-2</v>
      </c>
      <c r="Y45" s="122">
        <f t="shared" si="13"/>
        <v>6.1243632344817153E-2</v>
      </c>
      <c r="Z45" s="122">
        <f t="shared" si="13"/>
        <v>5.9249853566991653E-2</v>
      </c>
      <c r="AA45" s="122">
        <f t="shared" si="13"/>
        <v>5.7467621767973445E-2</v>
      </c>
      <c r="AB45" s="122">
        <f t="shared" si="13"/>
        <v>5.5685389968955216E-2</v>
      </c>
      <c r="AC45" s="122">
        <f t="shared" si="13"/>
        <v>5.3903158169936995E-2</v>
      </c>
      <c r="AD45" s="122">
        <f t="shared" si="13"/>
        <v>5.2120926370918766E-2</v>
      </c>
      <c r="AE45" s="122">
        <f t="shared" si="13"/>
        <v>5.0338694571900558E-2</v>
      </c>
      <c r="AF45" s="122">
        <f t="shared" si="13"/>
        <v>4.8556462772882336E-2</v>
      </c>
      <c r="AG45" s="122">
        <f t="shared" si="13"/>
        <v>4.6774230973864128E-2</v>
      </c>
      <c r="AH45" s="122">
        <f t="shared" si="13"/>
        <v>4.4991999174845899E-2</v>
      </c>
      <c r="AI45" s="122">
        <f t="shared" si="13"/>
        <v>4.3209767375827692E-2</v>
      </c>
      <c r="AJ45" s="122">
        <f t="shared" si="13"/>
        <v>4.1427535576809477E-2</v>
      </c>
      <c r="AK45" s="122">
        <f t="shared" si="13"/>
        <v>3.9645303777791262E-2</v>
      </c>
      <c r="AL45" s="122">
        <f t="shared" si="13"/>
        <v>3.786307197877304E-2</v>
      </c>
      <c r="AM45" s="122">
        <f t="shared" si="13"/>
        <v>3.6080840179754825E-2</v>
      </c>
      <c r="AN45" s="122">
        <f t="shared" si="13"/>
        <v>3.4298608380736603E-2</v>
      </c>
      <c r="AO45" s="122">
        <f t="shared" si="13"/>
        <v>3.2516376581718388E-2</v>
      </c>
      <c r="AP45" s="122">
        <f t="shared" si="13"/>
        <v>3.073414478270017E-2</v>
      </c>
      <c r="AQ45" s="122">
        <f t="shared" si="13"/>
        <v>2.8951912983681955E-2</v>
      </c>
      <c r="AR45" s="122">
        <f t="shared" si="13"/>
        <v>2.7169681184663744E-2</v>
      </c>
      <c r="AS45" s="122">
        <f t="shared" si="13"/>
        <v>8.0001016640149629E-4</v>
      </c>
      <c r="AT45" s="122"/>
    </row>
    <row r="46" spans="1:47" outlineLevel="1" x14ac:dyDescent="0.2">
      <c r="A46" s="432">
        <f t="shared" si="11"/>
        <v>16</v>
      </c>
      <c r="B46" s="21"/>
      <c r="C46" s="21"/>
      <c r="D46" s="445"/>
      <c r="E46" s="62"/>
      <c r="F46" s="445"/>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row>
    <row r="47" spans="1:47" outlineLevel="1" x14ac:dyDescent="0.2">
      <c r="A47" s="432">
        <f t="shared" si="11"/>
        <v>17</v>
      </c>
      <c r="B47" s="21"/>
      <c r="C47" s="21"/>
      <c r="D47" s="445"/>
      <c r="E47" s="62">
        <f>+E27/2</f>
        <v>667920.01407275524</v>
      </c>
      <c r="F47" s="120"/>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row>
    <row r="48" spans="1:47" outlineLevel="1" x14ac:dyDescent="0.2">
      <c r="A48" s="432">
        <f t="shared" si="11"/>
        <v>18</v>
      </c>
      <c r="B48" s="21"/>
      <c r="C48" s="21"/>
      <c r="D48" s="445"/>
      <c r="E48" s="62">
        <f>+E60/2</f>
        <v>70287.10490597153</v>
      </c>
      <c r="F48" s="120"/>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row>
    <row r="49" spans="1:47" x14ac:dyDescent="0.2">
      <c r="A49" s="432">
        <f t="shared" si="11"/>
        <v>19</v>
      </c>
      <c r="B49" s="65" t="s">
        <v>64</v>
      </c>
      <c r="C49" s="21"/>
      <c r="D49" s="445"/>
      <c r="E49" s="60">
        <f>F22-E27/2-E60/2</f>
        <v>52734886.941021308</v>
      </c>
      <c r="F49" s="138">
        <f>$F$22-(SUM($E$27:E27)+F27/2)-(SUM($E$60:E60)+F60/2)</f>
        <v>51063699.631604999</v>
      </c>
      <c r="G49" s="138">
        <f>$F$22-(SUM($E$27:F27)+G27/2)-(SUM($E$60:F60)+G60/2)</f>
        <v>49228170.788559407</v>
      </c>
      <c r="H49" s="138">
        <f>$F$22-(SUM($E$27:G27)+H27/2)-(SUM($E$60:G60)+H60/2)</f>
        <v>47451146.857724845</v>
      </c>
      <c r="I49" s="138">
        <f>$F$22-(SUM($E$27:H27)+I27/2)-(SUM($E$60:H60)+I60/2)</f>
        <v>45728248.392697826</v>
      </c>
      <c r="J49" s="138">
        <f>$F$22-(SUM($E$27:I27)+J27/2)-(SUM($E$60:I60)+J60/2)</f>
        <v>44055432.827567391</v>
      </c>
      <c r="K49" s="138">
        <f>$F$22-(SUM($E$27:J27)+K27/2)-(SUM($E$60:J60)+K60/2)</f>
        <v>42428938.330166444</v>
      </c>
      <c r="L49" s="138">
        <f>$F$22-(SUM($E$27:K27)+L27/2)-(SUM($E$60:K60)+L60/2)</f>
        <v>40845283.802071661</v>
      </c>
      <c r="M49" s="138">
        <f>$F$22-(SUM($E$27:L27)+M27/2)-(SUM($E$60:L60)+M60/2)</f>
        <v>39285547.788949914</v>
      </c>
      <c r="N49" s="138">
        <f>$F$22-(SUM($E$27:M27)+N27/2)-(SUM($E$60:M60)+N60/2)</f>
        <v>37729236.727502711</v>
      </c>
      <c r="O49" s="138">
        <f>$F$22-(SUM($E$27:N27)+O27/2)-(SUM($E$60:N60)+O60/2)</f>
        <v>36172925.666055508</v>
      </c>
      <c r="P49" s="138">
        <f>$F$22-(SUM($E$27:O27)+P27/2)-(SUM($E$60:O60)+P60/2)</f>
        <v>34616614.604608312</v>
      </c>
      <c r="Q49" s="138">
        <f>$F$22-(SUM($E$27:P27)+Q27/2)-(SUM($E$60:P60)+Q60/2)</f>
        <v>33060303.543161102</v>
      </c>
      <c r="R49" s="138">
        <f>$F$22-(SUM($E$27:Q27)+R27/2)-(SUM($E$60:Q60)+R60/2)</f>
        <v>31503992.481713906</v>
      </c>
      <c r="S49" s="138">
        <f>$F$22-(SUM($E$27:R27)+S27/2)-(SUM($E$60:R60)+S60/2)</f>
        <v>29947681.420266699</v>
      </c>
      <c r="T49" s="138">
        <f>$F$22-(SUM($E$27:S27)+T27/2)-(SUM($E$60:S60)+T60/2)</f>
        <v>28391370.3588195</v>
      </c>
      <c r="U49" s="138">
        <f>$F$22-(SUM($E$27:T27)+U27/2)-(SUM($E$60:T60)+U60/2)</f>
        <v>26835059.297372296</v>
      </c>
      <c r="V49" s="138">
        <f>$F$22-(SUM($E$27:U27)+V27/2)-(SUM($E$60:U60)+V60/2)</f>
        <v>25278748.235925093</v>
      </c>
      <c r="W49" s="138">
        <f>$F$22-(SUM($E$27:V27)+W27/2)-(SUM($E$60:V60)+W60/2)</f>
        <v>23722437.17447789</v>
      </c>
      <c r="X49" s="138">
        <f>$F$22-(SUM($E$27:W27)+X27/2)-(SUM($E$60:W60)+X60/2)</f>
        <v>22166126.113030687</v>
      </c>
      <c r="Y49" s="138">
        <f>$F$22-(SUM($E$27:X27)+Y27/2)-(SUM($E$60:X60)+Y60/2)</f>
        <v>20735078.448073737</v>
      </c>
      <c r="Z49" s="138">
        <f>$F$22-(SUM($E$27:Y27)+Z27/2)-(SUM($E$60:Y60)+Z60/2)</f>
        <v>19554501.429348532</v>
      </c>
      <c r="AA49" s="138">
        <f>$F$22-(SUM($E$27:Z27)+AA27/2)-(SUM($E$60:Z60)+AA60/2)</f>
        <v>18499187.80711358</v>
      </c>
      <c r="AB49" s="138">
        <f>$F$22-(SUM($E$27:AA27)+AB27/2)-(SUM($E$60:AA60)+AB60/2)</f>
        <v>17443874.184878625</v>
      </c>
      <c r="AC49" s="138">
        <f>$F$22-(SUM($E$27:AB27)+AC27/2)-(SUM($E$60:AB60)+AC60/2)</f>
        <v>16388560.562643671</v>
      </c>
      <c r="AD49" s="138">
        <f>$F$22-(SUM($E$27:AC27)+AD27/2)-(SUM($E$60:AC60)+AD60/2)</f>
        <v>15333246.940408718</v>
      </c>
      <c r="AE49" s="138">
        <f>$F$22-(SUM($E$27:AD27)+AE27/2)-(SUM($E$60:AD60)+AE60/2)</f>
        <v>14277933.318173768</v>
      </c>
      <c r="AF49" s="138">
        <f>$F$22-(SUM($E$27:AE27)+AF27/2)-(SUM($E$60:AE60)+AF60/2)</f>
        <v>13222619.695938818</v>
      </c>
      <c r="AG49" s="138">
        <f>$F$22-(SUM($E$27:AF27)+AG27/2)-(SUM($E$60:AF60)+AG60/2)</f>
        <v>12167306.073703868</v>
      </c>
      <c r="AH49" s="138">
        <f>$F$22-(SUM($E$27:AG27)+AH27/2)-(SUM($E$60:AG60)+AH60/2)</f>
        <v>11111992.451468918</v>
      </c>
      <c r="AI49" s="138">
        <f>$F$22-(SUM($E$27:AH27)+AI27/2)-(SUM($E$60:AH60)+AI60/2)</f>
        <v>10056678.829233969</v>
      </c>
      <c r="AJ49" s="138">
        <f>$F$22-(SUM($E$27:AI27)+AJ27/2)-(SUM($E$60:AI60)+AJ60/2)</f>
        <v>9001365.2069990188</v>
      </c>
      <c r="AK49" s="138">
        <f>$F$22-(SUM($E$27:AJ27)+AK27/2)-(SUM($E$60:AJ60)+AK60/2)</f>
        <v>7946051.5847640689</v>
      </c>
      <c r="AL49" s="138">
        <f>$F$22-(SUM($E$27:AK27)+AL27/2)-(SUM($E$60:AK60)+AL60/2)</f>
        <v>6890737.9625291191</v>
      </c>
      <c r="AM49" s="138">
        <f>$F$22-(SUM($E$27:AL27)+AM27/2)-(SUM($E$60:AL60)+AM60/2)</f>
        <v>5835424.3402941693</v>
      </c>
      <c r="AN49" s="138">
        <f>$F$22-(SUM($E$27:AM27)+AN27/2)-(SUM($E$60:AM60)+AN60/2)</f>
        <v>4780110.7180592194</v>
      </c>
      <c r="AO49" s="138">
        <f>$F$22-(SUM($E$27:AN27)+AO27/2)-(SUM($E$60:AN60)+AO60/2)</f>
        <v>3724797.0958242696</v>
      </c>
      <c r="AP49" s="138">
        <f>$F$22-(SUM($E$27:AO27)+AP27/2)-(SUM($E$60:AO60)+AP60/2)</f>
        <v>2669483.4735893197</v>
      </c>
      <c r="AQ49" s="138">
        <f>$F$22-(SUM($E$27:AP27)+AQ27/2)-(SUM($E$60:AP60)+AQ60/2)</f>
        <v>1614169.8513543699</v>
      </c>
      <c r="AR49" s="138">
        <f>$F$22-(SUM($E$27:AQ27)+AR27/2)-(SUM($E$60:AQ60)+AR60/2)</f>
        <v>558856.22911942017</v>
      </c>
      <c r="AS49" s="138">
        <f>$F$22-(SUM($E$27:AR27)+AS27/2)-(SUM($E$60:AR60)+AS60/2)</f>
        <v>15599.71065194167</v>
      </c>
      <c r="AT49" s="138"/>
      <c r="AU49" s="126">
        <f t="shared" ref="AU49:AU60" si="14">SUM(D49:AT49)</f>
        <v>954073426.89746869</v>
      </c>
    </row>
    <row r="50" spans="1:47" x14ac:dyDescent="0.2">
      <c r="A50" s="432">
        <f t="shared" si="11"/>
        <v>20</v>
      </c>
      <c r="B50" s="21"/>
      <c r="C50" s="21"/>
      <c r="D50" s="445"/>
      <c r="E50" s="108"/>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6">
        <f t="shared" si="14"/>
        <v>0</v>
      </c>
    </row>
    <row r="51" spans="1:47" x14ac:dyDescent="0.2">
      <c r="A51" s="432">
        <f t="shared" si="11"/>
        <v>21</v>
      </c>
      <c r="B51" s="21"/>
      <c r="C51" s="21"/>
      <c r="D51" s="445"/>
      <c r="E51" s="57"/>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6">
        <f t="shared" si="14"/>
        <v>0</v>
      </c>
    </row>
    <row r="52" spans="1:47" x14ac:dyDescent="0.2">
      <c r="A52" s="432">
        <f t="shared" si="11"/>
        <v>22</v>
      </c>
      <c r="B52" s="21" t="s">
        <v>65</v>
      </c>
      <c r="C52" s="21"/>
      <c r="D52" s="445"/>
      <c r="E52" s="57">
        <f>(E34)/(1-$F$15)</f>
        <v>3043937.7778614829</v>
      </c>
      <c r="F52" s="123">
        <f t="shared" ref="F52:AS52" si="15">(F34)/(1-$F$15)</f>
        <v>2947474.3078496051</v>
      </c>
      <c r="G52" s="123">
        <f t="shared" si="15"/>
        <v>2841524.7948839352</v>
      </c>
      <c r="H52" s="123">
        <f t="shared" si="15"/>
        <v>2738952.2743193079</v>
      </c>
      <c r="I52" s="123">
        <f t="shared" si="15"/>
        <v>2639503.9578569885</v>
      </c>
      <c r="J52" s="123">
        <f t="shared" si="15"/>
        <v>2542946.5024519912</v>
      </c>
      <c r="K52" s="123">
        <f t="shared" si="15"/>
        <v>2449062.7694374556</v>
      </c>
      <c r="L52" s="123">
        <f t="shared" si="15"/>
        <v>2357651.8245246424</v>
      </c>
      <c r="M52" s="123">
        <f t="shared" si="15"/>
        <v>2267621.4926279951</v>
      </c>
      <c r="N52" s="123">
        <f t="shared" si="15"/>
        <v>2177788.8541444601</v>
      </c>
      <c r="O52" s="123">
        <f t="shared" si="15"/>
        <v>2087956.2156609255</v>
      </c>
      <c r="P52" s="123">
        <f t="shared" si="15"/>
        <v>1998123.5771773912</v>
      </c>
      <c r="Q52" s="123">
        <f t="shared" si="15"/>
        <v>1908290.9386938561</v>
      </c>
      <c r="R52" s="123">
        <f t="shared" si="15"/>
        <v>1818458.3002103218</v>
      </c>
      <c r="S52" s="123">
        <f t="shared" si="15"/>
        <v>1728625.6617267865</v>
      </c>
      <c r="T52" s="123">
        <f t="shared" si="15"/>
        <v>1638793.023243252</v>
      </c>
      <c r="U52" s="123">
        <f t="shared" si="15"/>
        <v>1548960.3847597174</v>
      </c>
      <c r="V52" s="123">
        <f t="shared" si="15"/>
        <v>1459127.7462761826</v>
      </c>
      <c r="W52" s="123">
        <f t="shared" si="15"/>
        <v>1369295.1077926478</v>
      </c>
      <c r="X52" s="123">
        <f t="shared" si="15"/>
        <v>1279462.469309113</v>
      </c>
      <c r="Y52" s="123">
        <f t="shared" si="15"/>
        <v>1196860.2243445094</v>
      </c>
      <c r="Z52" s="123">
        <f t="shared" si="15"/>
        <v>1128715.525542143</v>
      </c>
      <c r="AA52" s="123">
        <f t="shared" si="15"/>
        <v>1067801.2202587079</v>
      </c>
      <c r="AB52" s="123">
        <f t="shared" si="15"/>
        <v>1006886.9149752726</v>
      </c>
      <c r="AC52" s="123">
        <f t="shared" si="15"/>
        <v>945972.60969183722</v>
      </c>
      <c r="AD52" s="123">
        <f t="shared" si="15"/>
        <v>885058.30440840195</v>
      </c>
      <c r="AE52" s="123">
        <f t="shared" si="15"/>
        <v>824143.99912496691</v>
      </c>
      <c r="AF52" s="123">
        <f t="shared" si="15"/>
        <v>763229.69384153176</v>
      </c>
      <c r="AG52" s="123">
        <f t="shared" si="15"/>
        <v>702315.38855809672</v>
      </c>
      <c r="AH52" s="123">
        <f t="shared" si="15"/>
        <v>641401.08327466156</v>
      </c>
      <c r="AI52" s="123">
        <f t="shared" si="15"/>
        <v>580486.77799122653</v>
      </c>
      <c r="AJ52" s="123">
        <f t="shared" si="15"/>
        <v>519572.47270779149</v>
      </c>
      <c r="AK52" s="123">
        <f t="shared" si="15"/>
        <v>458658.16742435633</v>
      </c>
      <c r="AL52" s="123">
        <f t="shared" si="15"/>
        <v>397743.86214092129</v>
      </c>
      <c r="AM52" s="123">
        <f t="shared" si="15"/>
        <v>336829.55685748626</v>
      </c>
      <c r="AN52" s="123">
        <f t="shared" si="15"/>
        <v>275915.25157405116</v>
      </c>
      <c r="AO52" s="123">
        <f t="shared" si="15"/>
        <v>215000.94629061606</v>
      </c>
      <c r="AP52" s="123">
        <f t="shared" si="15"/>
        <v>154086.641007181</v>
      </c>
      <c r="AQ52" s="123">
        <f t="shared" si="15"/>
        <v>93172.335723745913</v>
      </c>
      <c r="AR52" s="123">
        <f t="shared" si="15"/>
        <v>32258.030440310835</v>
      </c>
      <c r="AS52" s="123">
        <f t="shared" si="15"/>
        <v>900.43899459308875</v>
      </c>
      <c r="AT52" s="123"/>
      <c r="AU52" s="126">
        <f t="shared" si="14"/>
        <v>55070567.425980456</v>
      </c>
    </row>
    <row r="53" spans="1:47" x14ac:dyDescent="0.2">
      <c r="A53" s="432">
        <f t="shared" si="11"/>
        <v>23</v>
      </c>
      <c r="B53" s="21" t="s">
        <v>66</v>
      </c>
      <c r="C53" s="21"/>
      <c r="D53" s="445"/>
      <c r="E53" s="59">
        <f t="shared" ref="E53:AS53" si="16">E52*$F15</f>
        <v>639226.93335091136</v>
      </c>
      <c r="F53" s="121">
        <f t="shared" si="16"/>
        <v>618969.60464841709</v>
      </c>
      <c r="G53" s="121">
        <f t="shared" si="16"/>
        <v>596720.20692562638</v>
      </c>
      <c r="H53" s="121">
        <f t="shared" si="16"/>
        <v>575179.97760705464</v>
      </c>
      <c r="I53" s="121">
        <f t="shared" si="16"/>
        <v>554295.83114996762</v>
      </c>
      <c r="J53" s="121">
        <f t="shared" si="16"/>
        <v>534018.76551491814</v>
      </c>
      <c r="K53" s="121">
        <f t="shared" si="16"/>
        <v>514303.18158186565</v>
      </c>
      <c r="L53" s="121">
        <f t="shared" si="16"/>
        <v>495106.88315017486</v>
      </c>
      <c r="M53" s="121">
        <f t="shared" si="16"/>
        <v>476200.51345187897</v>
      </c>
      <c r="N53" s="121">
        <f t="shared" si="16"/>
        <v>457335.65937033662</v>
      </c>
      <c r="O53" s="121">
        <f t="shared" si="16"/>
        <v>438470.80528879433</v>
      </c>
      <c r="P53" s="121">
        <f t="shared" si="16"/>
        <v>419605.9512072521</v>
      </c>
      <c r="Q53" s="121">
        <f t="shared" si="16"/>
        <v>400741.09712570976</v>
      </c>
      <c r="R53" s="121">
        <f t="shared" si="16"/>
        <v>381876.24304416758</v>
      </c>
      <c r="S53" s="121">
        <f t="shared" si="16"/>
        <v>363011.38896262518</v>
      </c>
      <c r="T53" s="121">
        <f t="shared" si="16"/>
        <v>344146.53488108289</v>
      </c>
      <c r="U53" s="121">
        <f t="shared" si="16"/>
        <v>325281.68079954066</v>
      </c>
      <c r="V53" s="121">
        <f t="shared" si="16"/>
        <v>306416.82671799831</v>
      </c>
      <c r="W53" s="121">
        <f t="shared" si="16"/>
        <v>287551.97263645602</v>
      </c>
      <c r="X53" s="121">
        <f t="shared" si="16"/>
        <v>268687.11855491373</v>
      </c>
      <c r="Y53" s="121">
        <f t="shared" si="16"/>
        <v>251340.64711234698</v>
      </c>
      <c r="Z53" s="121">
        <f t="shared" si="16"/>
        <v>237030.26036385001</v>
      </c>
      <c r="AA53" s="121">
        <f t="shared" si="16"/>
        <v>224238.25625432865</v>
      </c>
      <c r="AB53" s="121">
        <f t="shared" si="16"/>
        <v>211446.25214480725</v>
      </c>
      <c r="AC53" s="121">
        <f t="shared" si="16"/>
        <v>198654.2480352858</v>
      </c>
      <c r="AD53" s="121">
        <f t="shared" si="16"/>
        <v>185862.2439257644</v>
      </c>
      <c r="AE53" s="121">
        <f t="shared" si="16"/>
        <v>173070.23981624303</v>
      </c>
      <c r="AF53" s="121">
        <f t="shared" si="16"/>
        <v>160278.23570672167</v>
      </c>
      <c r="AG53" s="121">
        <f t="shared" si="16"/>
        <v>147486.2315972003</v>
      </c>
      <c r="AH53" s="121">
        <f t="shared" si="16"/>
        <v>134694.22748767893</v>
      </c>
      <c r="AI53" s="121">
        <f t="shared" si="16"/>
        <v>121902.22337815756</v>
      </c>
      <c r="AJ53" s="121">
        <f t="shared" si="16"/>
        <v>109110.21926863621</v>
      </c>
      <c r="AK53" s="121">
        <f t="shared" si="16"/>
        <v>96318.215159114829</v>
      </c>
      <c r="AL53" s="121">
        <f t="shared" si="16"/>
        <v>83526.211049593476</v>
      </c>
      <c r="AM53" s="121">
        <f t="shared" si="16"/>
        <v>70734.206940072108</v>
      </c>
      <c r="AN53" s="121">
        <f t="shared" si="16"/>
        <v>57942.202830550741</v>
      </c>
      <c r="AO53" s="121">
        <f t="shared" si="16"/>
        <v>45150.198721029374</v>
      </c>
      <c r="AP53" s="121">
        <f t="shared" si="16"/>
        <v>32358.194611508006</v>
      </c>
      <c r="AQ53" s="121">
        <f t="shared" si="16"/>
        <v>19566.190501986643</v>
      </c>
      <c r="AR53" s="121">
        <f t="shared" si="16"/>
        <v>6774.1863924652753</v>
      </c>
      <c r="AS53" s="121">
        <f t="shared" si="16"/>
        <v>189.09218886454863</v>
      </c>
      <c r="AT53" s="121"/>
      <c r="AU53" s="126">
        <f t="shared" si="14"/>
        <v>11564819.159455903</v>
      </c>
    </row>
    <row r="54" spans="1:47" x14ac:dyDescent="0.2">
      <c r="A54" s="432">
        <f t="shared" si="11"/>
        <v>24</v>
      </c>
      <c r="B54" s="21" t="s">
        <v>67</v>
      </c>
      <c r="C54" s="21"/>
      <c r="D54" s="445"/>
      <c r="E54" s="57">
        <f>E52-E53</f>
        <v>2404710.8445105716</v>
      </c>
      <c r="F54" s="123">
        <f t="shared" ref="F54:AS54" si="17">F52-F53</f>
        <v>2328504.7032011878</v>
      </c>
      <c r="G54" s="123">
        <f t="shared" si="17"/>
        <v>2244804.5879583089</v>
      </c>
      <c r="H54" s="123">
        <f t="shared" si="17"/>
        <v>2163772.2967122532</v>
      </c>
      <c r="I54" s="123">
        <f t="shared" si="17"/>
        <v>2085208.1267070209</v>
      </c>
      <c r="J54" s="123">
        <f t="shared" si="17"/>
        <v>2008927.7369370731</v>
      </c>
      <c r="K54" s="123">
        <f t="shared" si="17"/>
        <v>1934759.58785559</v>
      </c>
      <c r="L54" s="123">
        <f t="shared" si="17"/>
        <v>1862544.9413744677</v>
      </c>
      <c r="M54" s="123">
        <f t="shared" si="17"/>
        <v>1791420.9791761162</v>
      </c>
      <c r="N54" s="123">
        <f t="shared" si="17"/>
        <v>1720453.1947741234</v>
      </c>
      <c r="O54" s="123">
        <f t="shared" si="17"/>
        <v>1649485.410372131</v>
      </c>
      <c r="P54" s="123">
        <f t="shared" si="17"/>
        <v>1578517.6259701392</v>
      </c>
      <c r="Q54" s="123">
        <f t="shared" si="17"/>
        <v>1507549.8415681464</v>
      </c>
      <c r="R54" s="123">
        <f t="shared" si="17"/>
        <v>1436582.0571661543</v>
      </c>
      <c r="S54" s="123">
        <f t="shared" si="17"/>
        <v>1365614.2727641612</v>
      </c>
      <c r="T54" s="123">
        <f t="shared" si="17"/>
        <v>1294646.4883621691</v>
      </c>
      <c r="U54" s="123">
        <f t="shared" si="17"/>
        <v>1223678.7039601768</v>
      </c>
      <c r="V54" s="123">
        <f t="shared" si="17"/>
        <v>1152710.9195581842</v>
      </c>
      <c r="W54" s="123">
        <f t="shared" si="17"/>
        <v>1081743.1351561919</v>
      </c>
      <c r="X54" s="123">
        <f t="shared" si="17"/>
        <v>1010775.3507541993</v>
      </c>
      <c r="Y54" s="123">
        <f t="shared" si="17"/>
        <v>945519.57723216247</v>
      </c>
      <c r="Z54" s="123">
        <f t="shared" si="17"/>
        <v>891685.26517829299</v>
      </c>
      <c r="AA54" s="123">
        <f t="shared" si="17"/>
        <v>843562.96400437923</v>
      </c>
      <c r="AB54" s="123">
        <f t="shared" si="17"/>
        <v>795440.66283046536</v>
      </c>
      <c r="AC54" s="123">
        <f t="shared" si="17"/>
        <v>747318.36165655148</v>
      </c>
      <c r="AD54" s="123">
        <f t="shared" si="17"/>
        <v>699196.06048263749</v>
      </c>
      <c r="AE54" s="123">
        <f t="shared" si="17"/>
        <v>651073.75930872385</v>
      </c>
      <c r="AF54" s="123">
        <f t="shared" si="17"/>
        <v>602951.45813481009</v>
      </c>
      <c r="AG54" s="123">
        <f t="shared" si="17"/>
        <v>554829.15696089645</v>
      </c>
      <c r="AH54" s="123">
        <f t="shared" si="17"/>
        <v>506706.85578698263</v>
      </c>
      <c r="AI54" s="123">
        <f t="shared" si="17"/>
        <v>458584.55461306893</v>
      </c>
      <c r="AJ54" s="123">
        <f t="shared" si="17"/>
        <v>410462.25343915529</v>
      </c>
      <c r="AK54" s="123">
        <f t="shared" si="17"/>
        <v>362339.95226524153</v>
      </c>
      <c r="AL54" s="123">
        <f t="shared" si="17"/>
        <v>314217.65109132783</v>
      </c>
      <c r="AM54" s="123">
        <f t="shared" si="17"/>
        <v>266095.34991741413</v>
      </c>
      <c r="AN54" s="123">
        <f t="shared" si="17"/>
        <v>217973.04874350043</v>
      </c>
      <c r="AO54" s="123">
        <f t="shared" si="17"/>
        <v>169850.74756958667</v>
      </c>
      <c r="AP54" s="123">
        <f t="shared" si="17"/>
        <v>121728.44639567299</v>
      </c>
      <c r="AQ54" s="123">
        <f t="shared" si="17"/>
        <v>73606.145221759274</v>
      </c>
      <c r="AR54" s="123">
        <f t="shared" si="17"/>
        <v>25483.84404784556</v>
      </c>
      <c r="AS54" s="123">
        <f t="shared" si="17"/>
        <v>711.34680572854018</v>
      </c>
      <c r="AT54" s="123"/>
      <c r="AU54" s="126">
        <f t="shared" si="14"/>
        <v>43505748.266524576</v>
      </c>
    </row>
    <row r="55" spans="1:47" x14ac:dyDescent="0.2">
      <c r="A55" s="432">
        <f t="shared" si="11"/>
        <v>25</v>
      </c>
      <c r="B55" s="21"/>
      <c r="C55" s="21"/>
      <c r="D55" s="445"/>
      <c r="E55" s="448"/>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126">
        <f t="shared" si="14"/>
        <v>0</v>
      </c>
    </row>
    <row r="56" spans="1:47" x14ac:dyDescent="0.2">
      <c r="A56" s="432">
        <f t="shared" si="11"/>
        <v>26</v>
      </c>
      <c r="B56" s="21"/>
      <c r="C56" s="21"/>
      <c r="D56" s="445"/>
      <c r="E56" s="108"/>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126">
        <f t="shared" si="14"/>
        <v>0</v>
      </c>
    </row>
    <row r="57" spans="1:47" x14ac:dyDescent="0.2">
      <c r="A57" s="432">
        <f t="shared" si="11"/>
        <v>27</v>
      </c>
      <c r="B57" s="21" t="s">
        <v>68</v>
      </c>
      <c r="C57" s="21"/>
      <c r="D57" s="445"/>
      <c r="E57" s="57">
        <f>E27+E28</f>
        <v>1335840.0281455105</v>
      </c>
      <c r="F57" s="123">
        <f>F27</f>
        <v>1335840.0281455105</v>
      </c>
      <c r="G57" s="123">
        <f>G27</f>
        <v>1335840.0281455105</v>
      </c>
      <c r="H57" s="123">
        <f t="shared" ref="H57:AS57" si="18">H27</f>
        <v>1335840.0281455105</v>
      </c>
      <c r="I57" s="123">
        <f t="shared" si="18"/>
        <v>1335840.0281455105</v>
      </c>
      <c r="J57" s="123">
        <f t="shared" si="18"/>
        <v>1335840.0281455105</v>
      </c>
      <c r="K57" s="123">
        <f t="shared" si="18"/>
        <v>1335840.0281455105</v>
      </c>
      <c r="L57" s="123">
        <f t="shared" si="18"/>
        <v>1335840.0281455105</v>
      </c>
      <c r="M57" s="123">
        <f t="shared" si="18"/>
        <v>1335840.0281455105</v>
      </c>
      <c r="N57" s="123">
        <f t="shared" si="18"/>
        <v>1335840.0281455105</v>
      </c>
      <c r="O57" s="123">
        <f t="shared" si="18"/>
        <v>1335840.0281455105</v>
      </c>
      <c r="P57" s="123">
        <f t="shared" si="18"/>
        <v>1335840.0281455105</v>
      </c>
      <c r="Q57" s="123">
        <f t="shared" si="18"/>
        <v>1335840.0281455105</v>
      </c>
      <c r="R57" s="123">
        <f t="shared" si="18"/>
        <v>1335840.0281455105</v>
      </c>
      <c r="S57" s="123">
        <f t="shared" si="18"/>
        <v>1335840.0281455105</v>
      </c>
      <c r="T57" s="123">
        <f t="shared" si="18"/>
        <v>1335840.0281455105</v>
      </c>
      <c r="U57" s="123">
        <f t="shared" si="18"/>
        <v>1335840.0281455105</v>
      </c>
      <c r="V57" s="123">
        <f t="shared" si="18"/>
        <v>1335840.0281455105</v>
      </c>
      <c r="W57" s="123">
        <f t="shared" si="18"/>
        <v>1335840.0281455105</v>
      </c>
      <c r="X57" s="123">
        <f t="shared" si="18"/>
        <v>1335840.0281455105</v>
      </c>
      <c r="Y57" s="123">
        <f t="shared" si="18"/>
        <v>1335840.0281455105</v>
      </c>
      <c r="Z57" s="123">
        <f t="shared" si="18"/>
        <v>1335840.0281455105</v>
      </c>
      <c r="AA57" s="123">
        <f t="shared" si="18"/>
        <v>1335840.0281455105</v>
      </c>
      <c r="AB57" s="123">
        <f t="shared" si="18"/>
        <v>1335840.0281455105</v>
      </c>
      <c r="AC57" s="123">
        <f t="shared" si="18"/>
        <v>1335840.0281455105</v>
      </c>
      <c r="AD57" s="123">
        <f t="shared" si="18"/>
        <v>1335840.0281455105</v>
      </c>
      <c r="AE57" s="123">
        <f t="shared" si="18"/>
        <v>1335840.0281455105</v>
      </c>
      <c r="AF57" s="123">
        <f t="shared" si="18"/>
        <v>1335840.0281455105</v>
      </c>
      <c r="AG57" s="123">
        <f t="shared" si="18"/>
        <v>1335840.0281455105</v>
      </c>
      <c r="AH57" s="123">
        <f t="shared" si="18"/>
        <v>1335840.0281455105</v>
      </c>
      <c r="AI57" s="123">
        <f t="shared" si="18"/>
        <v>1335840.0281455105</v>
      </c>
      <c r="AJ57" s="123">
        <f t="shared" si="18"/>
        <v>1335840.0281455105</v>
      </c>
      <c r="AK57" s="123">
        <f t="shared" si="18"/>
        <v>1335840.0281455105</v>
      </c>
      <c r="AL57" s="123">
        <f t="shared" si="18"/>
        <v>1335840.0281455105</v>
      </c>
      <c r="AM57" s="123">
        <f t="shared" si="18"/>
        <v>1335840.0281455105</v>
      </c>
      <c r="AN57" s="123">
        <f t="shared" si="18"/>
        <v>1335840.0281455105</v>
      </c>
      <c r="AO57" s="123">
        <f t="shared" si="18"/>
        <v>1335840.0281455105</v>
      </c>
      <c r="AP57" s="123">
        <f t="shared" si="18"/>
        <v>1335840.0281455105</v>
      </c>
      <c r="AQ57" s="123">
        <f t="shared" si="18"/>
        <v>1335840.0281455105</v>
      </c>
      <c r="AR57" s="123">
        <f t="shared" si="18"/>
        <v>1335840.0281455105</v>
      </c>
      <c r="AS57" s="123">
        <f t="shared" si="18"/>
        <v>39492.93</v>
      </c>
      <c r="AT57" s="123"/>
      <c r="AU57" s="126">
        <f t="shared" si="14"/>
        <v>53473094.055820368</v>
      </c>
    </row>
    <row r="58" spans="1:47" x14ac:dyDescent="0.2">
      <c r="A58" s="432">
        <f t="shared" si="11"/>
        <v>28</v>
      </c>
      <c r="B58" s="21" t="s">
        <v>69</v>
      </c>
      <c r="C58" s="21"/>
      <c r="D58" s="445"/>
      <c r="E58" s="57">
        <f>$F22*E62</f>
        <v>2005241.0272500012</v>
      </c>
      <c r="F58" s="123">
        <f t="shared" ref="F58:AS58" si="19">$F22*F62</f>
        <v>3860222.6601914028</v>
      </c>
      <c r="G58" s="123">
        <f t="shared" si="19"/>
        <v>3570398.490386202</v>
      </c>
      <c r="H58" s="123">
        <f t="shared" si="19"/>
        <v>3303033.0200862018</v>
      </c>
      <c r="I58" s="123">
        <f t="shared" si="19"/>
        <v>3054917.8636478018</v>
      </c>
      <c r="J58" s="123">
        <f t="shared" si="19"/>
        <v>2826053.0210710019</v>
      </c>
      <c r="K58" s="123">
        <f t="shared" si="19"/>
        <v>2613764.8376528015</v>
      </c>
      <c r="L58" s="123">
        <f t="shared" si="19"/>
        <v>2418053.3133932017</v>
      </c>
      <c r="M58" s="123">
        <f t="shared" si="19"/>
        <v>2385969.4569572015</v>
      </c>
      <c r="N58" s="123">
        <f t="shared" si="19"/>
        <v>2385434.7260166015</v>
      </c>
      <c r="O58" s="123">
        <f t="shared" si="19"/>
        <v>2385969.4569572015</v>
      </c>
      <c r="P58" s="123">
        <f t="shared" si="19"/>
        <v>2385434.7260166015</v>
      </c>
      <c r="Q58" s="123">
        <f t="shared" si="19"/>
        <v>2385969.4569572015</v>
      </c>
      <c r="R58" s="123">
        <f t="shared" si="19"/>
        <v>2385434.7260166015</v>
      </c>
      <c r="S58" s="123">
        <f t="shared" si="19"/>
        <v>2385969.4569572015</v>
      </c>
      <c r="T58" s="123">
        <f t="shared" si="19"/>
        <v>2385434.7260166015</v>
      </c>
      <c r="U58" s="123">
        <f t="shared" si="19"/>
        <v>2385969.4569572015</v>
      </c>
      <c r="V58" s="123">
        <f t="shared" si="19"/>
        <v>2385434.7260166015</v>
      </c>
      <c r="W58" s="123">
        <f t="shared" si="19"/>
        <v>2385969.4569572015</v>
      </c>
      <c r="X58" s="123">
        <f t="shared" si="19"/>
        <v>2385434.7260166015</v>
      </c>
      <c r="Y58" s="123">
        <f t="shared" si="19"/>
        <v>1192984.7284786007</v>
      </c>
      <c r="Z58" s="123">
        <f t="shared" si="19"/>
        <v>0</v>
      </c>
      <c r="AA58" s="123">
        <f t="shared" si="19"/>
        <v>0</v>
      </c>
      <c r="AB58" s="123">
        <f t="shared" si="19"/>
        <v>0</v>
      </c>
      <c r="AC58" s="123">
        <f t="shared" si="19"/>
        <v>0</v>
      </c>
      <c r="AD58" s="123">
        <f t="shared" si="19"/>
        <v>0</v>
      </c>
      <c r="AE58" s="123">
        <f t="shared" si="19"/>
        <v>0</v>
      </c>
      <c r="AF58" s="123">
        <f t="shared" si="19"/>
        <v>0</v>
      </c>
      <c r="AG58" s="123">
        <f t="shared" si="19"/>
        <v>0</v>
      </c>
      <c r="AH58" s="123">
        <f t="shared" si="19"/>
        <v>0</v>
      </c>
      <c r="AI58" s="123">
        <f t="shared" si="19"/>
        <v>0</v>
      </c>
      <c r="AJ58" s="123">
        <f t="shared" si="19"/>
        <v>0</v>
      </c>
      <c r="AK58" s="123">
        <f t="shared" si="19"/>
        <v>0</v>
      </c>
      <c r="AL58" s="123">
        <f t="shared" si="19"/>
        <v>0</v>
      </c>
      <c r="AM58" s="123">
        <f t="shared" si="19"/>
        <v>0</v>
      </c>
      <c r="AN58" s="123">
        <f t="shared" si="19"/>
        <v>0</v>
      </c>
      <c r="AO58" s="123">
        <f t="shared" si="19"/>
        <v>0</v>
      </c>
      <c r="AP58" s="123">
        <f t="shared" si="19"/>
        <v>0</v>
      </c>
      <c r="AQ58" s="123">
        <f t="shared" si="19"/>
        <v>0</v>
      </c>
      <c r="AR58" s="123">
        <f t="shared" si="19"/>
        <v>0</v>
      </c>
      <c r="AS58" s="123">
        <f t="shared" si="19"/>
        <v>0</v>
      </c>
      <c r="AT58" s="123"/>
      <c r="AU58" s="126">
        <f t="shared" si="14"/>
        <v>53473094.060000032</v>
      </c>
    </row>
    <row r="59" spans="1:47" x14ac:dyDescent="0.2">
      <c r="A59" s="432">
        <f t="shared" si="11"/>
        <v>29</v>
      </c>
      <c r="B59" s="21" t="s">
        <v>70</v>
      </c>
      <c r="C59" s="21"/>
      <c r="D59" s="445"/>
      <c r="E59" s="57">
        <f>E58-E57</f>
        <v>669400.99910449074</v>
      </c>
      <c r="F59" s="123">
        <f>F58-F57</f>
        <v>2524382.6320458921</v>
      </c>
      <c r="G59" s="123">
        <f>G58-G57</f>
        <v>2234558.4622406913</v>
      </c>
      <c r="H59" s="123">
        <f t="shared" ref="H59:AS59" si="20">H58-H57</f>
        <v>1967192.9919406914</v>
      </c>
      <c r="I59" s="123">
        <f t="shared" si="20"/>
        <v>1719077.8355022913</v>
      </c>
      <c r="J59" s="123">
        <f t="shared" si="20"/>
        <v>1490212.9929254914</v>
      </c>
      <c r="K59" s="123">
        <f t="shared" si="20"/>
        <v>1277924.8095072911</v>
      </c>
      <c r="L59" s="123">
        <f t="shared" si="20"/>
        <v>1082213.2852476912</v>
      </c>
      <c r="M59" s="123">
        <f t="shared" si="20"/>
        <v>1050129.428811691</v>
      </c>
      <c r="N59" s="123">
        <f t="shared" si="20"/>
        <v>1049594.6978710911</v>
      </c>
      <c r="O59" s="123">
        <f t="shared" si="20"/>
        <v>1050129.428811691</v>
      </c>
      <c r="P59" s="123">
        <f t="shared" si="20"/>
        <v>1049594.6978710911</v>
      </c>
      <c r="Q59" s="123">
        <f t="shared" si="20"/>
        <v>1050129.428811691</v>
      </c>
      <c r="R59" s="123">
        <f t="shared" si="20"/>
        <v>1049594.6978710911</v>
      </c>
      <c r="S59" s="123">
        <f t="shared" si="20"/>
        <v>1050129.428811691</v>
      </c>
      <c r="T59" s="123">
        <f t="shared" si="20"/>
        <v>1049594.6978710911</v>
      </c>
      <c r="U59" s="123">
        <f t="shared" si="20"/>
        <v>1050129.428811691</v>
      </c>
      <c r="V59" s="123">
        <f t="shared" si="20"/>
        <v>1049594.6978710911</v>
      </c>
      <c r="W59" s="123">
        <f t="shared" si="20"/>
        <v>1050129.428811691</v>
      </c>
      <c r="X59" s="123">
        <f t="shared" si="20"/>
        <v>1049594.6978710911</v>
      </c>
      <c r="Y59" s="123">
        <f t="shared" si="20"/>
        <v>-142855.29966690973</v>
      </c>
      <c r="Z59" s="123">
        <f t="shared" si="20"/>
        <v>-1335840.0281455105</v>
      </c>
      <c r="AA59" s="123">
        <f t="shared" si="20"/>
        <v>-1335840.0281455105</v>
      </c>
      <c r="AB59" s="123">
        <f t="shared" si="20"/>
        <v>-1335840.0281455105</v>
      </c>
      <c r="AC59" s="123">
        <f t="shared" si="20"/>
        <v>-1335840.0281455105</v>
      </c>
      <c r="AD59" s="123">
        <f t="shared" si="20"/>
        <v>-1335840.0281455105</v>
      </c>
      <c r="AE59" s="123">
        <f t="shared" si="20"/>
        <v>-1335840.0281455105</v>
      </c>
      <c r="AF59" s="123">
        <f t="shared" si="20"/>
        <v>-1335840.0281455105</v>
      </c>
      <c r="AG59" s="123">
        <f t="shared" si="20"/>
        <v>-1335840.0281455105</v>
      </c>
      <c r="AH59" s="123">
        <f t="shared" si="20"/>
        <v>-1335840.0281455105</v>
      </c>
      <c r="AI59" s="123">
        <f t="shared" si="20"/>
        <v>-1335840.0281455105</v>
      </c>
      <c r="AJ59" s="123">
        <f t="shared" si="20"/>
        <v>-1335840.0281455105</v>
      </c>
      <c r="AK59" s="123">
        <f t="shared" si="20"/>
        <v>-1335840.0281455105</v>
      </c>
      <c r="AL59" s="123">
        <f t="shared" si="20"/>
        <v>-1335840.0281455105</v>
      </c>
      <c r="AM59" s="123">
        <f t="shared" si="20"/>
        <v>-1335840.0281455105</v>
      </c>
      <c r="AN59" s="123">
        <f t="shared" si="20"/>
        <v>-1335840.0281455105</v>
      </c>
      <c r="AO59" s="123">
        <f t="shared" si="20"/>
        <v>-1335840.0281455105</v>
      </c>
      <c r="AP59" s="123">
        <f t="shared" si="20"/>
        <v>-1335840.0281455105</v>
      </c>
      <c r="AQ59" s="123">
        <f t="shared" si="20"/>
        <v>-1335840.0281455105</v>
      </c>
      <c r="AR59" s="123">
        <f t="shared" si="20"/>
        <v>-1335840.0281455105</v>
      </c>
      <c r="AS59" s="123">
        <f t="shared" si="20"/>
        <v>-39492.93</v>
      </c>
      <c r="AT59" s="123"/>
      <c r="AU59" s="126">
        <f t="shared" si="14"/>
        <v>4.1796194200287573E-3</v>
      </c>
    </row>
    <row r="60" spans="1:47" x14ac:dyDescent="0.2">
      <c r="A60" s="432">
        <f t="shared" si="11"/>
        <v>30</v>
      </c>
      <c r="B60" s="21" t="s">
        <v>71</v>
      </c>
      <c r="C60" s="21"/>
      <c r="D60" s="445"/>
      <c r="E60" s="57">
        <f>E59*F15</f>
        <v>140574.20981194306</v>
      </c>
      <c r="F60" s="123">
        <f t="shared" ref="F60:AS60" si="21">F59*$F$15</f>
        <v>530120.35272963729</v>
      </c>
      <c r="G60" s="123">
        <f t="shared" si="21"/>
        <v>469257.27707054518</v>
      </c>
      <c r="H60" s="123">
        <f t="shared" si="21"/>
        <v>413110.52830754517</v>
      </c>
      <c r="I60" s="123">
        <f t="shared" si="21"/>
        <v>361006.34545548115</v>
      </c>
      <c r="J60" s="123">
        <f t="shared" si="21"/>
        <v>312944.72851435316</v>
      </c>
      <c r="K60" s="123">
        <f t="shared" si="21"/>
        <v>268364.20999653114</v>
      </c>
      <c r="L60" s="123">
        <f t="shared" si="21"/>
        <v>227264.78990201515</v>
      </c>
      <c r="M60" s="123">
        <f t="shared" si="21"/>
        <v>220527.18005045509</v>
      </c>
      <c r="N60" s="123">
        <f t="shared" si="21"/>
        <v>220414.88655292912</v>
      </c>
      <c r="O60" s="123">
        <f t="shared" si="21"/>
        <v>220527.18005045509</v>
      </c>
      <c r="P60" s="123">
        <f t="shared" si="21"/>
        <v>220414.88655292912</v>
      </c>
      <c r="Q60" s="123">
        <f t="shared" si="21"/>
        <v>220527.18005045509</v>
      </c>
      <c r="R60" s="123">
        <f t="shared" si="21"/>
        <v>220414.88655292912</v>
      </c>
      <c r="S60" s="123">
        <f t="shared" si="21"/>
        <v>220527.18005045509</v>
      </c>
      <c r="T60" s="123">
        <f t="shared" si="21"/>
        <v>220414.88655292912</v>
      </c>
      <c r="U60" s="123">
        <f t="shared" si="21"/>
        <v>220527.18005045509</v>
      </c>
      <c r="V60" s="123">
        <f t="shared" si="21"/>
        <v>220414.88655292912</v>
      </c>
      <c r="W60" s="123">
        <f t="shared" si="21"/>
        <v>220527.18005045509</v>
      </c>
      <c r="X60" s="123">
        <f t="shared" si="21"/>
        <v>220414.88655292912</v>
      </c>
      <c r="Y60" s="123">
        <f t="shared" si="21"/>
        <v>-29999.612930051044</v>
      </c>
      <c r="Z60" s="123">
        <f t="shared" si="21"/>
        <v>-280526.40591055719</v>
      </c>
      <c r="AA60" s="123">
        <f t="shared" si="21"/>
        <v>-280526.40591055719</v>
      </c>
      <c r="AB60" s="123">
        <f t="shared" si="21"/>
        <v>-280526.40591055719</v>
      </c>
      <c r="AC60" s="123">
        <f t="shared" si="21"/>
        <v>-280526.40591055719</v>
      </c>
      <c r="AD60" s="123">
        <f t="shared" si="21"/>
        <v>-280526.40591055719</v>
      </c>
      <c r="AE60" s="123">
        <f t="shared" si="21"/>
        <v>-280526.40591055719</v>
      </c>
      <c r="AF60" s="123">
        <f t="shared" si="21"/>
        <v>-280526.40591055719</v>
      </c>
      <c r="AG60" s="123">
        <f t="shared" si="21"/>
        <v>-280526.40591055719</v>
      </c>
      <c r="AH60" s="123">
        <f t="shared" si="21"/>
        <v>-280526.40591055719</v>
      </c>
      <c r="AI60" s="123">
        <f t="shared" si="21"/>
        <v>-280526.40591055719</v>
      </c>
      <c r="AJ60" s="123">
        <f t="shared" si="21"/>
        <v>-280526.40591055719</v>
      </c>
      <c r="AK60" s="123">
        <f t="shared" si="21"/>
        <v>-280526.40591055719</v>
      </c>
      <c r="AL60" s="123">
        <f t="shared" si="21"/>
        <v>-280526.40591055719</v>
      </c>
      <c r="AM60" s="123">
        <f t="shared" si="21"/>
        <v>-280526.40591055719</v>
      </c>
      <c r="AN60" s="123">
        <f t="shared" si="21"/>
        <v>-280526.40591055719</v>
      </c>
      <c r="AO60" s="123">
        <f t="shared" si="21"/>
        <v>-280526.40591055719</v>
      </c>
      <c r="AP60" s="123">
        <f t="shared" si="21"/>
        <v>-280526.40591055719</v>
      </c>
      <c r="AQ60" s="123">
        <f t="shared" si="21"/>
        <v>-280526.40591055719</v>
      </c>
      <c r="AR60" s="123">
        <f t="shared" si="21"/>
        <v>-280526.40591055719</v>
      </c>
      <c r="AS60" s="123">
        <f t="shared" si="21"/>
        <v>-8293.5152999999991</v>
      </c>
      <c r="AT60" s="123"/>
      <c r="AU60" s="126">
        <f t="shared" si="14"/>
        <v>8.7771841208450496E-4</v>
      </c>
    </row>
    <row r="61" spans="1:47" x14ac:dyDescent="0.2">
      <c r="A61" s="432">
        <f t="shared" si="11"/>
        <v>31</v>
      </c>
      <c r="B61" s="21"/>
      <c r="C61" s="21"/>
      <c r="D61" s="445"/>
      <c r="E61" s="108"/>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445"/>
    </row>
    <row r="62" spans="1:47" s="69" customFormat="1" x14ac:dyDescent="0.2">
      <c r="A62" s="432">
        <f t="shared" si="11"/>
        <v>32</v>
      </c>
      <c r="B62" s="21" t="str">
        <f t="shared" ref="B62" si="22">IF($F$18=1,B66,B65)</f>
        <v>MACRS Depreciation - 20</v>
      </c>
      <c r="C62" s="21"/>
      <c r="D62" s="66"/>
      <c r="E62" s="81">
        <f t="shared" ref="E62:Y62" si="23">IF($F$18=1,E66,E65)</f>
        <v>3.7499999999999999E-2</v>
      </c>
      <c r="F62" s="77">
        <f t="shared" si="23"/>
        <v>7.2190000000000004E-2</v>
      </c>
      <c r="G62" s="77">
        <f t="shared" si="23"/>
        <v>6.6769999999999996E-2</v>
      </c>
      <c r="H62" s="80">
        <f t="shared" si="23"/>
        <v>6.1769999999999999E-2</v>
      </c>
      <c r="I62" s="80">
        <f t="shared" si="23"/>
        <v>5.713E-2</v>
      </c>
      <c r="J62" s="80">
        <f t="shared" si="23"/>
        <v>5.2850000000000001E-2</v>
      </c>
      <c r="K62" s="80">
        <f t="shared" si="23"/>
        <v>4.888E-2</v>
      </c>
      <c r="L62" s="80">
        <f t="shared" si="23"/>
        <v>4.5220000000000003E-2</v>
      </c>
      <c r="M62" s="80">
        <f t="shared" si="23"/>
        <v>4.462E-2</v>
      </c>
      <c r="N62" s="80">
        <f t="shared" si="23"/>
        <v>4.4610000000000004E-2</v>
      </c>
      <c r="O62" s="80">
        <f t="shared" si="23"/>
        <v>4.462E-2</v>
      </c>
      <c r="P62" s="80">
        <f t="shared" si="23"/>
        <v>4.4610000000000004E-2</v>
      </c>
      <c r="Q62" s="80">
        <f t="shared" si="23"/>
        <v>4.462E-2</v>
      </c>
      <c r="R62" s="80">
        <f t="shared" si="23"/>
        <v>4.4610000000000004E-2</v>
      </c>
      <c r="S62" s="80">
        <f t="shared" si="23"/>
        <v>4.462E-2</v>
      </c>
      <c r="T62" s="80">
        <f t="shared" si="23"/>
        <v>4.4610000000000004E-2</v>
      </c>
      <c r="U62" s="80">
        <f t="shared" si="23"/>
        <v>4.462E-2</v>
      </c>
      <c r="V62" s="80">
        <f t="shared" si="23"/>
        <v>4.4610000000000004E-2</v>
      </c>
      <c r="W62" s="80">
        <f t="shared" si="23"/>
        <v>4.462E-2</v>
      </c>
      <c r="X62" s="80">
        <f t="shared" si="23"/>
        <v>4.4610000000000004E-2</v>
      </c>
      <c r="Y62" s="80">
        <f t="shared" si="23"/>
        <v>2.231E-2</v>
      </c>
      <c r="Z62" s="67"/>
      <c r="AA62" s="67"/>
      <c r="AB62" s="67"/>
      <c r="AC62" s="67"/>
      <c r="AD62" s="67"/>
      <c r="AE62" s="67"/>
      <c r="AF62" s="67"/>
      <c r="AG62" s="67"/>
      <c r="AH62" s="67"/>
      <c r="AI62" s="67"/>
      <c r="AJ62" s="67"/>
      <c r="AK62" s="67"/>
      <c r="AL62" s="67"/>
      <c r="AM62" s="67"/>
      <c r="AN62" s="67"/>
      <c r="AO62" s="67"/>
      <c r="AP62" s="66"/>
    </row>
    <row r="63" spans="1:47" outlineLevel="1" x14ac:dyDescent="0.25">
      <c r="A63" s="432">
        <f t="shared" si="11"/>
        <v>33</v>
      </c>
      <c r="B63" s="21"/>
      <c r="C63" s="449"/>
      <c r="E63" s="450"/>
      <c r="F63" s="451"/>
      <c r="G63" s="451"/>
      <c r="H63" s="451"/>
      <c r="I63" s="451"/>
      <c r="J63" s="451"/>
      <c r="K63" s="451"/>
      <c r="L63" s="451"/>
      <c r="M63" s="452"/>
      <c r="N63" s="452"/>
      <c r="O63" s="452"/>
      <c r="P63" s="452"/>
      <c r="Q63" s="452"/>
      <c r="R63" s="452"/>
      <c r="S63" s="452"/>
      <c r="T63" s="452"/>
      <c r="U63" s="452"/>
      <c r="V63" s="452"/>
      <c r="W63" s="452"/>
      <c r="X63" s="452"/>
      <c r="Y63" s="452"/>
      <c r="Z63" s="445"/>
      <c r="AA63" s="445"/>
      <c r="AB63" s="445"/>
      <c r="AC63" s="445"/>
      <c r="AD63" s="445"/>
      <c r="AE63" s="445"/>
      <c r="AF63" s="445"/>
      <c r="AG63" s="445"/>
      <c r="AH63" s="445"/>
      <c r="AI63" s="445"/>
      <c r="AJ63" s="445"/>
      <c r="AK63" s="445"/>
      <c r="AL63" s="445"/>
      <c r="AM63" s="445"/>
      <c r="AN63" s="445"/>
      <c r="AO63" s="22"/>
    </row>
    <row r="64" spans="1:47" outlineLevel="1" x14ac:dyDescent="0.25">
      <c r="A64" s="432">
        <f t="shared" si="11"/>
        <v>34</v>
      </c>
      <c r="B64" s="21"/>
      <c r="C64" s="449"/>
      <c r="E64" s="450"/>
      <c r="F64" s="451"/>
      <c r="G64" s="451"/>
      <c r="H64" s="451"/>
      <c r="I64" s="451"/>
      <c r="J64" s="451"/>
      <c r="K64" s="451"/>
      <c r="L64" s="451"/>
      <c r="M64" s="452"/>
      <c r="N64" s="452"/>
      <c r="O64" s="452"/>
      <c r="P64" s="452"/>
      <c r="Q64" s="452"/>
      <c r="R64" s="452"/>
      <c r="S64" s="452"/>
      <c r="T64" s="452"/>
      <c r="U64" s="452"/>
      <c r="V64" s="452"/>
      <c r="W64" s="452"/>
      <c r="X64" s="452"/>
      <c r="Y64" s="452"/>
      <c r="Z64" s="445"/>
      <c r="AA64" s="445"/>
      <c r="AB64" s="445"/>
      <c r="AC64" s="445"/>
      <c r="AD64" s="445"/>
      <c r="AE64" s="445"/>
      <c r="AF64" s="445"/>
      <c r="AG64" s="445"/>
      <c r="AH64" s="445"/>
      <c r="AI64" s="445"/>
      <c r="AJ64" s="445"/>
      <c r="AK64" s="445"/>
      <c r="AL64" s="445"/>
      <c r="AM64" s="445"/>
      <c r="AN64" s="445"/>
      <c r="AO64" s="22"/>
    </row>
    <row r="65" spans="1:42" s="69" customFormat="1" x14ac:dyDescent="0.25">
      <c r="A65" s="432">
        <f t="shared" si="11"/>
        <v>35</v>
      </c>
      <c r="B65" s="21" t="s">
        <v>72</v>
      </c>
      <c r="C65" s="21"/>
      <c r="D65" s="70">
        <v>0</v>
      </c>
      <c r="E65" s="78">
        <f>'MACRS 20'!B5</f>
        <v>3.7499999999999999E-2</v>
      </c>
      <c r="F65" s="77">
        <f>'MACRS 20'!C5</f>
        <v>7.2190000000000004E-2</v>
      </c>
      <c r="G65" s="77">
        <f>'MACRS 20'!D5</f>
        <v>6.6769999999999996E-2</v>
      </c>
      <c r="H65" s="79">
        <f>'MACRS 20'!E5</f>
        <v>6.1769999999999999E-2</v>
      </c>
      <c r="I65" s="79">
        <f>'MACRS 20'!F5</f>
        <v>5.713E-2</v>
      </c>
      <c r="J65" s="79">
        <f>'MACRS 20'!G5</f>
        <v>5.2850000000000001E-2</v>
      </c>
      <c r="K65" s="79">
        <f>'MACRS 20'!H5</f>
        <v>4.888E-2</v>
      </c>
      <c r="L65" s="79">
        <f>'MACRS 20'!I5</f>
        <v>4.5220000000000003E-2</v>
      </c>
      <c r="M65" s="79">
        <f>'MACRS 20'!J5</f>
        <v>4.462E-2</v>
      </c>
      <c r="N65" s="79">
        <f>'MACRS 20'!K5</f>
        <v>4.4610000000000004E-2</v>
      </c>
      <c r="O65" s="79">
        <f>'MACRS 20'!L5</f>
        <v>4.462E-2</v>
      </c>
      <c r="P65" s="79">
        <f>'MACRS 20'!M5</f>
        <v>4.4610000000000004E-2</v>
      </c>
      <c r="Q65" s="79">
        <f>'MACRS 20'!N5</f>
        <v>4.462E-2</v>
      </c>
      <c r="R65" s="79">
        <f>'MACRS 20'!O5</f>
        <v>4.4610000000000004E-2</v>
      </c>
      <c r="S65" s="79">
        <f>'MACRS 20'!P5</f>
        <v>4.462E-2</v>
      </c>
      <c r="T65" s="79">
        <f>'MACRS 20'!Q5</f>
        <v>4.4610000000000004E-2</v>
      </c>
      <c r="U65" s="79">
        <f>'MACRS 20'!R5</f>
        <v>4.462E-2</v>
      </c>
      <c r="V65" s="79">
        <f>'MACRS 20'!S5</f>
        <v>4.4610000000000004E-2</v>
      </c>
      <c r="W65" s="79">
        <f>'MACRS 20'!T5</f>
        <v>4.462E-2</v>
      </c>
      <c r="X65" s="79">
        <f>'MACRS 20'!U5</f>
        <v>4.4610000000000004E-2</v>
      </c>
      <c r="Y65" s="79">
        <f>'MACRS 20'!V5</f>
        <v>2.231E-2</v>
      </c>
      <c r="Z65" s="71"/>
      <c r="AA65" s="67"/>
      <c r="AB65" s="67"/>
      <c r="AC65" s="67"/>
      <c r="AD65" s="67"/>
      <c r="AE65" s="67"/>
      <c r="AF65" s="67"/>
      <c r="AG65" s="67"/>
      <c r="AH65" s="67"/>
      <c r="AI65" s="67"/>
      <c r="AJ65" s="67"/>
      <c r="AK65" s="67"/>
      <c r="AL65" s="67"/>
      <c r="AM65" s="67"/>
      <c r="AN65" s="66"/>
      <c r="AP65" s="72"/>
    </row>
    <row r="66" spans="1:42" x14ac:dyDescent="0.2">
      <c r="A66" s="432">
        <f t="shared" si="11"/>
        <v>36</v>
      </c>
      <c r="B66" s="21" t="s">
        <v>73</v>
      </c>
      <c r="C66" s="21"/>
      <c r="D66" s="70">
        <v>0</v>
      </c>
      <c r="E66" s="78">
        <f>'MACRS 20'!B6</f>
        <v>0.51875000000000004</v>
      </c>
      <c r="F66" s="77">
        <f>'MACRS 20'!C6</f>
        <v>3.6095000000000002E-2</v>
      </c>
      <c r="G66" s="77">
        <f>'MACRS 20'!D6</f>
        <v>3.3384999999999998E-2</v>
      </c>
      <c r="H66" s="80">
        <f>'MACRS 20'!E6</f>
        <v>3.0884999999999999E-2</v>
      </c>
      <c r="I66" s="80">
        <f>'MACRS 20'!F6</f>
        <v>2.8565E-2</v>
      </c>
      <c r="J66" s="80">
        <f>'MACRS 20'!G6</f>
        <v>2.6425000000000001E-2</v>
      </c>
      <c r="K66" s="80">
        <f>'MACRS 20'!H6</f>
        <v>2.444E-2</v>
      </c>
      <c r="L66" s="80">
        <f>'MACRS 20'!I6</f>
        <v>2.2610000000000002E-2</v>
      </c>
      <c r="M66" s="80">
        <f>'MACRS 20'!J6</f>
        <v>2.231E-2</v>
      </c>
      <c r="N66" s="80">
        <f>'MACRS 20'!K6</f>
        <v>2.2305000000000002E-2</v>
      </c>
      <c r="O66" s="80">
        <f>'MACRS 20'!L6</f>
        <v>2.231E-2</v>
      </c>
      <c r="P66" s="80">
        <f>'MACRS 20'!M6</f>
        <v>2.2305000000000002E-2</v>
      </c>
      <c r="Q66" s="80">
        <f>'MACRS 20'!N6</f>
        <v>2.231E-2</v>
      </c>
      <c r="R66" s="80">
        <f>'MACRS 20'!O6</f>
        <v>2.2305000000000002E-2</v>
      </c>
      <c r="S66" s="80">
        <f>'MACRS 20'!P6</f>
        <v>2.231E-2</v>
      </c>
      <c r="T66" s="80">
        <f>'MACRS 20'!Q6</f>
        <v>2.2305000000000002E-2</v>
      </c>
      <c r="U66" s="80">
        <f>'MACRS 20'!R6</f>
        <v>2.231E-2</v>
      </c>
      <c r="V66" s="80">
        <f>'MACRS 20'!S6</f>
        <v>2.2305000000000002E-2</v>
      </c>
      <c r="W66" s="80">
        <f>'MACRS 20'!T6</f>
        <v>2.231E-2</v>
      </c>
      <c r="X66" s="80">
        <f>'MACRS 20'!U6</f>
        <v>2.2305000000000002E-2</v>
      </c>
      <c r="Y66" s="80">
        <f>'MACRS 20'!V6</f>
        <v>1.1155E-2</v>
      </c>
      <c r="Z66" s="68"/>
      <c r="AA66" s="68"/>
      <c r="AB66" s="73"/>
      <c r="AC66" s="73"/>
      <c r="AD66" s="73"/>
      <c r="AE66" s="73"/>
      <c r="AF66" s="73"/>
      <c r="AG66" s="73"/>
      <c r="AH66" s="73"/>
      <c r="AI66" s="73"/>
      <c r="AJ66" s="73"/>
      <c r="AK66" s="73"/>
      <c r="AL66" s="73"/>
      <c r="AM66" s="73"/>
      <c r="AN66" s="445"/>
      <c r="AO66" s="22"/>
      <c r="AP66" s="72">
        <f>SUM(D66:AO66)</f>
        <v>1.0000000000000004</v>
      </c>
    </row>
    <row r="69" spans="1:42" x14ac:dyDescent="0.25">
      <c r="B69" s="74"/>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4"/>
  <sheetViews>
    <sheetView topLeftCell="D1" zoomScale="90" zoomScaleNormal="90" workbookViewId="0">
      <selection activeCell="G16" sqref="G16"/>
    </sheetView>
  </sheetViews>
  <sheetFormatPr defaultColWidth="9.28515625" defaultRowHeight="15" x14ac:dyDescent="0.25"/>
  <cols>
    <col min="1" max="1" width="9.28515625" style="309"/>
    <col min="2" max="2" width="27.7109375" style="309" bestFit="1" customWidth="1"/>
    <col min="3" max="3" width="15.5703125" style="309" bestFit="1" customWidth="1"/>
    <col min="4" max="4" width="26.28515625" style="309" customWidth="1"/>
    <col min="5" max="5" width="16.7109375" style="309" customWidth="1"/>
    <col min="6" max="6" width="25.5703125" style="309" customWidth="1"/>
    <col min="7" max="7" width="1" style="310" customWidth="1"/>
    <col min="8" max="8" width="17.7109375" style="309" customWidth="1"/>
    <col min="9" max="9" width="19.5703125" style="309" customWidth="1"/>
    <col min="10" max="10" width="14.28515625" style="309" bestFit="1" customWidth="1"/>
    <col min="11" max="11" width="16" style="309" bestFit="1" customWidth="1"/>
    <col min="12" max="12" width="23.7109375" style="309" customWidth="1"/>
    <col min="13" max="13" width="9.28515625" style="309"/>
    <col min="14" max="14" width="17.5703125" style="309" customWidth="1"/>
    <col min="15" max="15" width="16.28515625" style="309" bestFit="1" customWidth="1"/>
    <col min="16" max="16384" width="9.28515625" style="309"/>
  </cols>
  <sheetData>
    <row r="2" spans="2:17" ht="16.5" thickBot="1" x14ac:dyDescent="0.3">
      <c r="B2" s="308" t="s">
        <v>258</v>
      </c>
    </row>
    <row r="3" spans="2:17" ht="15.75" thickBot="1" x14ac:dyDescent="0.3">
      <c r="B3" s="311" t="s">
        <v>259</v>
      </c>
      <c r="C3" s="312"/>
      <c r="D3" s="312"/>
      <c r="E3" s="313" t="s">
        <v>277</v>
      </c>
      <c r="F3" s="314"/>
      <c r="G3" s="315"/>
      <c r="H3" s="832" t="s">
        <v>278</v>
      </c>
      <c r="I3" s="833"/>
      <c r="J3" s="834"/>
      <c r="N3" s="218"/>
      <c r="O3" s="218"/>
    </row>
    <row r="4" spans="2:17" ht="11.25" customHeight="1" thickBot="1" x14ac:dyDescent="0.3">
      <c r="B4" s="316" t="s">
        <v>260</v>
      </c>
      <c r="C4" s="317"/>
      <c r="D4" s="317"/>
      <c r="E4" s="317"/>
      <c r="F4" s="318"/>
      <c r="G4" s="319"/>
      <c r="H4" s="320"/>
      <c r="I4" s="321"/>
      <c r="J4" s="322"/>
      <c r="N4" s="218"/>
      <c r="O4" s="218"/>
    </row>
    <row r="5" spans="2:17" ht="45" x14ac:dyDescent="0.25">
      <c r="B5" s="323" t="s">
        <v>210</v>
      </c>
      <c r="C5" s="324" t="s">
        <v>201</v>
      </c>
      <c r="D5" s="325" t="s">
        <v>261</v>
      </c>
      <c r="E5" s="325" t="s">
        <v>262</v>
      </c>
      <c r="F5" s="326" t="s">
        <v>263</v>
      </c>
      <c r="G5" s="327"/>
      <c r="H5" s="328" t="s">
        <v>279</v>
      </c>
      <c r="I5" s="329" t="s">
        <v>280</v>
      </c>
      <c r="J5" s="326" t="s">
        <v>232</v>
      </c>
      <c r="K5" s="310"/>
      <c r="L5" s="310"/>
      <c r="N5" s="330" t="s">
        <v>284</v>
      </c>
      <c r="O5" s="331" t="str">
        <f>I5</f>
        <v>Total Actual CRM Program Year 2019-2020</v>
      </c>
    </row>
    <row r="6" spans="2:17" x14ac:dyDescent="0.25">
      <c r="B6" s="332" t="s">
        <v>219</v>
      </c>
      <c r="C6" s="333" t="s">
        <v>220</v>
      </c>
      <c r="D6" s="334">
        <v>3207980.4099998274</v>
      </c>
      <c r="E6" s="335">
        <v>79500</v>
      </c>
      <c r="F6" s="336">
        <f>+E6+D6</f>
        <v>3287480.4099998274</v>
      </c>
      <c r="G6" s="337"/>
      <c r="H6" s="338">
        <v>51406.62</v>
      </c>
      <c r="I6" s="339">
        <f>+H6+D6</f>
        <v>3259387.0299998275</v>
      </c>
      <c r="J6" s="336">
        <f>+I6-F6</f>
        <v>-28093.379999999888</v>
      </c>
      <c r="K6" s="340" t="s">
        <v>290</v>
      </c>
      <c r="L6" s="340" t="s">
        <v>291</v>
      </c>
      <c r="N6" s="341" t="s">
        <v>83</v>
      </c>
      <c r="O6" s="342">
        <f>(I6+I8)/$I$9</f>
        <v>0.99149246749419484</v>
      </c>
    </row>
    <row r="7" spans="2:17" x14ac:dyDescent="0.25">
      <c r="B7" s="332" t="s">
        <v>222</v>
      </c>
      <c r="C7" s="333" t="s">
        <v>223</v>
      </c>
      <c r="D7" s="334">
        <v>27107.89</v>
      </c>
      <c r="E7" s="335">
        <v>50000</v>
      </c>
      <c r="F7" s="336">
        <f>+E7+D7</f>
        <v>77107.89</v>
      </c>
      <c r="G7" s="337"/>
      <c r="H7" s="338">
        <v>155.78</v>
      </c>
      <c r="I7" s="339">
        <f t="shared" ref="I7:I8" si="0">+H7+D7</f>
        <v>27263.67</v>
      </c>
      <c r="J7" s="336">
        <f t="shared" ref="J7:J8" si="1">+I7-F7</f>
        <v>-49844.22</v>
      </c>
      <c r="K7" s="340" t="s">
        <v>292</v>
      </c>
      <c r="L7" s="340" t="s">
        <v>270</v>
      </c>
      <c r="N7" s="341" t="s">
        <v>84</v>
      </c>
      <c r="O7" s="343">
        <f>I7/$I$9</f>
        <v>8.507532505805224E-3</v>
      </c>
    </row>
    <row r="8" spans="2:17" ht="15.75" thickBot="1" x14ac:dyDescent="0.3">
      <c r="B8" s="344" t="s">
        <v>273</v>
      </c>
      <c r="C8" s="345"/>
      <c r="D8" s="346">
        <v>0</v>
      </c>
      <c r="E8" s="346">
        <v>-82000</v>
      </c>
      <c r="F8" s="347">
        <f>D8+E8</f>
        <v>-82000</v>
      </c>
      <c r="G8" s="348"/>
      <c r="H8" s="349">
        <v>-82000</v>
      </c>
      <c r="I8" s="350">
        <f t="shared" si="0"/>
        <v>-82000</v>
      </c>
      <c r="J8" s="347">
        <f t="shared" si="1"/>
        <v>0</v>
      </c>
      <c r="K8" s="340" t="s">
        <v>290</v>
      </c>
      <c r="L8" s="340" t="s">
        <v>291</v>
      </c>
      <c r="N8" s="351"/>
      <c r="O8" s="352">
        <f>SUM(O6:O7)</f>
        <v>1</v>
      </c>
    </row>
    <row r="9" spans="2:17" x14ac:dyDescent="0.25">
      <c r="B9" s="353" t="s">
        <v>264</v>
      </c>
      <c r="C9" s="354"/>
      <c r="D9" s="355">
        <f>SUM(D6:D8)</f>
        <v>3235088.2999998275</v>
      </c>
      <c r="E9" s="356">
        <f>SUM(E6:E8)</f>
        <v>47500</v>
      </c>
      <c r="F9" s="357">
        <f>SUM(F6:F8)</f>
        <v>3282588.2999998275</v>
      </c>
      <c r="G9" s="358"/>
      <c r="H9" s="359">
        <f>SUM(H6:H8)</f>
        <v>-30437.599999999999</v>
      </c>
      <c r="I9" s="360">
        <f>SUM(I6:I8)</f>
        <v>3204650.6999998274</v>
      </c>
      <c r="J9" s="357">
        <f>+I9-F9</f>
        <v>-77937.600000000093</v>
      </c>
      <c r="K9" s="310"/>
      <c r="L9" s="310"/>
      <c r="N9" s="310"/>
      <c r="O9" s="310"/>
    </row>
    <row r="10" spans="2:17" x14ac:dyDescent="0.25">
      <c r="B10" s="361" t="s">
        <v>286</v>
      </c>
      <c r="C10" s="362">
        <f>'2019 GRC'!J16</f>
        <v>4.5447000000000001E-2</v>
      </c>
      <c r="D10" s="363"/>
      <c r="E10" s="364"/>
      <c r="F10" s="365"/>
      <c r="G10" s="366"/>
      <c r="H10" s="367"/>
      <c r="I10" s="368"/>
      <c r="J10" s="365"/>
      <c r="K10" s="310"/>
      <c r="L10" s="310"/>
      <c r="N10" s="310"/>
      <c r="O10" s="310"/>
    </row>
    <row r="11" spans="2:17" x14ac:dyDescent="0.25">
      <c r="B11" s="369" t="s">
        <v>287</v>
      </c>
      <c r="C11" s="370"/>
      <c r="D11" s="371"/>
      <c r="E11" s="372"/>
      <c r="F11" s="373"/>
      <c r="G11" s="371"/>
      <c r="H11" s="374"/>
      <c r="I11" s="371"/>
      <c r="J11" s="373">
        <f>+J9/(1-C10)</f>
        <v>-81648.268875588983</v>
      </c>
      <c r="K11" s="218"/>
      <c r="L11" s="218"/>
      <c r="M11"/>
      <c r="N11" s="218"/>
      <c r="O11" s="218"/>
      <c r="P11"/>
      <c r="Q11"/>
    </row>
    <row r="12" spans="2:17" ht="15.75" thickBot="1" x14ac:dyDescent="0.3">
      <c r="B12" s="375"/>
      <c r="C12" s="376"/>
      <c r="D12" s="376"/>
      <c r="E12" s="376"/>
      <c r="F12" s="377"/>
      <c r="G12" s="376"/>
      <c r="H12" s="375"/>
      <c r="I12" s="376"/>
      <c r="J12" s="377"/>
      <c r="N12" s="310"/>
      <c r="O12" s="310"/>
    </row>
    <row r="13" spans="2:17" ht="11.25" customHeight="1" thickBot="1" x14ac:dyDescent="0.3">
      <c r="B13" s="316" t="s">
        <v>209</v>
      </c>
      <c r="C13" s="317"/>
      <c r="D13" s="317"/>
      <c r="E13" s="317"/>
      <c r="F13" s="318"/>
      <c r="G13" s="319"/>
      <c r="H13" s="320"/>
      <c r="I13" s="321"/>
      <c r="J13" s="378"/>
      <c r="N13" s="218"/>
      <c r="O13" s="218"/>
      <c r="P13"/>
    </row>
    <row r="14" spans="2:17" ht="45" x14ac:dyDescent="0.25">
      <c r="B14" s="379" t="s">
        <v>210</v>
      </c>
      <c r="C14" s="380" t="s">
        <v>201</v>
      </c>
      <c r="D14" s="325" t="s">
        <v>261</v>
      </c>
      <c r="E14" s="381" t="s">
        <v>262</v>
      </c>
      <c r="F14" s="326" t="s">
        <v>263</v>
      </c>
      <c r="G14" s="327"/>
      <c r="H14" s="328" t="s">
        <v>279</v>
      </c>
      <c r="I14" s="329" t="s">
        <v>280</v>
      </c>
      <c r="J14" s="326"/>
      <c r="K14" s="310"/>
      <c r="N14" s="330" t="s">
        <v>284</v>
      </c>
      <c r="O14" s="331" t="str">
        <f>I14</f>
        <v>Total Actual CRM Program Year 2019-2020</v>
      </c>
    </row>
    <row r="15" spans="2:17" x14ac:dyDescent="0.25">
      <c r="B15" s="382" t="s">
        <v>265</v>
      </c>
      <c r="C15" s="383" t="s">
        <v>95</v>
      </c>
      <c r="D15" s="334">
        <v>46594045.240000039</v>
      </c>
      <c r="E15" s="384">
        <v>3721742</v>
      </c>
      <c r="F15" s="336">
        <f>SUM(D15:E15)</f>
        <v>50315787.240000039</v>
      </c>
      <c r="G15" s="337"/>
      <c r="H15" s="385">
        <v>3185181.6800000011</v>
      </c>
      <c r="I15" s="339">
        <f>+H15+D15</f>
        <v>49779226.920000039</v>
      </c>
      <c r="J15" s="336">
        <f t="shared" ref="J15:J19" si="2">+I15-F15</f>
        <v>-536560.3200000003</v>
      </c>
      <c r="K15" s="310" t="str">
        <f>H26</f>
        <v>Mains, FERC 376</v>
      </c>
      <c r="N15" s="341" t="str">
        <f>K15</f>
        <v>Mains, FERC 376</v>
      </c>
      <c r="O15" s="342">
        <f>(I15)/$I$17</f>
        <v>0.93092101355019308</v>
      </c>
    </row>
    <row r="16" spans="2:17" ht="15.75" thickBot="1" x14ac:dyDescent="0.3">
      <c r="B16" s="386" t="s">
        <v>266</v>
      </c>
      <c r="C16" s="387" t="s">
        <v>267</v>
      </c>
      <c r="D16" s="346">
        <v>3145687.3699999936</v>
      </c>
      <c r="E16" s="388">
        <v>276000</v>
      </c>
      <c r="F16" s="389">
        <f>SUM(D16:E16)</f>
        <v>3421687.3699999936</v>
      </c>
      <c r="G16" s="390"/>
      <c r="H16" s="349">
        <v>548179.7699999999</v>
      </c>
      <c r="I16" s="346">
        <f t="shared" ref="I16" si="3">+H16+D16</f>
        <v>3693867.1399999936</v>
      </c>
      <c r="J16" s="389">
        <f t="shared" si="2"/>
        <v>272179.77</v>
      </c>
      <c r="K16" s="310" t="str">
        <f>H27</f>
        <v>Services, FERC 380</v>
      </c>
      <c r="N16" s="341" t="str">
        <f>K16</f>
        <v>Services, FERC 380</v>
      </c>
      <c r="O16" s="343">
        <f>I16/$I$17</f>
        <v>6.9078986449806923E-2</v>
      </c>
    </row>
    <row r="17" spans="2:15" x14ac:dyDescent="0.25">
      <c r="B17" s="353" t="s">
        <v>268</v>
      </c>
      <c r="C17" s="391"/>
      <c r="D17" s="355">
        <f>SUM(D15:D16)</f>
        <v>49739732.610000029</v>
      </c>
      <c r="E17" s="360">
        <f>SUM(E15:E16)</f>
        <v>3997742</v>
      </c>
      <c r="F17" s="392">
        <f>SUM(F15:F16)</f>
        <v>53737474.610000029</v>
      </c>
      <c r="G17" s="358"/>
      <c r="H17" s="393">
        <f>SUM(H15:H16)</f>
        <v>3733361.4500000011</v>
      </c>
      <c r="I17" s="360">
        <f>SUM(I15:I16)</f>
        <v>53473094.060000032</v>
      </c>
      <c r="J17" s="357">
        <f t="shared" si="2"/>
        <v>-264380.54999999702</v>
      </c>
      <c r="K17" s="310"/>
      <c r="N17" s="351"/>
      <c r="O17" s="352">
        <f>SUM(O15:O16)</f>
        <v>1</v>
      </c>
    </row>
    <row r="18" spans="2:15" x14ac:dyDescent="0.25">
      <c r="B18" s="375"/>
      <c r="C18" s="394"/>
      <c r="D18" s="376"/>
      <c r="E18" s="376"/>
      <c r="F18" s="357"/>
      <c r="G18" s="376"/>
      <c r="H18" s="375"/>
      <c r="I18" s="376"/>
      <c r="J18" s="377"/>
      <c r="N18" s="310"/>
      <c r="O18" s="310"/>
    </row>
    <row r="19" spans="2:15" ht="15.75" thickBot="1" x14ac:dyDescent="0.3">
      <c r="B19" s="395" t="s">
        <v>269</v>
      </c>
      <c r="C19" s="396"/>
      <c r="D19" s="397">
        <f>D9+D17</f>
        <v>52974820.909999855</v>
      </c>
      <c r="E19" s="397">
        <f>E9+E17</f>
        <v>4045242</v>
      </c>
      <c r="F19" s="398">
        <f>F9+F17</f>
        <v>57020062.909999855</v>
      </c>
      <c r="G19" s="399"/>
      <c r="H19" s="400">
        <f>H9+H17</f>
        <v>3702923.850000001</v>
      </c>
      <c r="I19" s="401">
        <f>I9+I17</f>
        <v>56677744.759999856</v>
      </c>
      <c r="J19" s="398">
        <f t="shared" si="2"/>
        <v>-342318.14999999851</v>
      </c>
      <c r="N19" s="310"/>
      <c r="O19" s="310"/>
    </row>
    <row r="20" spans="2:15" x14ac:dyDescent="0.25">
      <c r="N20" s="310"/>
      <c r="O20" s="310"/>
    </row>
    <row r="21" spans="2:15" ht="30" x14ac:dyDescent="0.25">
      <c r="E21" s="402" t="s">
        <v>13</v>
      </c>
      <c r="F21" s="403" t="s">
        <v>211</v>
      </c>
      <c r="H21" s="402" t="s">
        <v>13</v>
      </c>
      <c r="I21" s="403" t="s">
        <v>211</v>
      </c>
    </row>
    <row r="22" spans="2:15" x14ac:dyDescent="0.25">
      <c r="D22" s="261" t="s">
        <v>91</v>
      </c>
      <c r="E22" s="680">
        <v>2.443056207967733E-2</v>
      </c>
      <c r="F22" s="404">
        <f>+F15*E22</f>
        <v>1229242.9637546574</v>
      </c>
      <c r="H22" s="276">
        <f>+E22</f>
        <v>2.443056207967733E-2</v>
      </c>
      <c r="I22" s="404">
        <f>+I15*H22</f>
        <v>1216134.4935474058</v>
      </c>
    </row>
    <row r="23" spans="2:15" x14ac:dyDescent="0.25">
      <c r="D23" s="341" t="s">
        <v>84</v>
      </c>
      <c r="E23" s="680">
        <v>3.1950138602539598E-2</v>
      </c>
      <c r="F23" s="405">
        <f>+F16*E23</f>
        <v>109323.38572605899</v>
      </c>
      <c r="H23" s="276">
        <f>+E23</f>
        <v>3.1950138602539598E-2</v>
      </c>
      <c r="I23" s="405">
        <f>+I16*H23</f>
        <v>118019.56710236633</v>
      </c>
    </row>
    <row r="24" spans="2:15" x14ac:dyDescent="0.25">
      <c r="E24" s="277"/>
      <c r="F24" s="406">
        <f>SUM(F22:F23)</f>
        <v>1338566.3494807165</v>
      </c>
      <c r="H24" s="407"/>
      <c r="I24" s="406">
        <f>SUM(I22:I23)</f>
        <v>1334154.0606497722</v>
      </c>
    </row>
    <row r="25" spans="2:15" x14ac:dyDescent="0.25">
      <c r="E25" s="408"/>
      <c r="F25" s="409">
        <f>+F24/F17</f>
        <v>2.4909364632323495E-2</v>
      </c>
      <c r="G25" s="410"/>
      <c r="H25" s="276"/>
      <c r="I25" s="409">
        <f>+I24/I17</f>
        <v>2.4950006804408419E-2</v>
      </c>
    </row>
    <row r="26" spans="2:15" x14ac:dyDescent="0.25">
      <c r="E26" s="310"/>
      <c r="G26" s="410"/>
      <c r="H26" s="410" t="s">
        <v>288</v>
      </c>
      <c r="I26" s="409">
        <f>+I22/I24</f>
        <v>0.91153977596493818</v>
      </c>
    </row>
    <row r="27" spans="2:15" x14ac:dyDescent="0.25">
      <c r="E27" s="310"/>
      <c r="G27" s="410"/>
      <c r="H27" s="410" t="s">
        <v>289</v>
      </c>
      <c r="I27" s="409">
        <f>+I23/I24</f>
        <v>8.8460224035061846E-2</v>
      </c>
    </row>
    <row r="28" spans="2:15" x14ac:dyDescent="0.25">
      <c r="I28" s="310"/>
    </row>
    <row r="34" spans="2:2" x14ac:dyDescent="0.25">
      <c r="B34" s="411"/>
    </row>
  </sheetData>
  <mergeCells count="1">
    <mergeCell ref="H3:J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0" zoomScaleNormal="80" workbookViewId="0">
      <selection activeCell="G16" sqref="G16"/>
    </sheetView>
  </sheetViews>
  <sheetFormatPr defaultColWidth="10.28515625" defaultRowHeight="15" outlineLevelRow="1" outlineLevelCol="1" x14ac:dyDescent="0.2"/>
  <cols>
    <col min="1" max="1" width="5.7109375" style="53" customWidth="1"/>
    <col min="2" max="2" width="7.42578125" style="53" customWidth="1"/>
    <col min="3" max="3" width="26.42578125" style="53" customWidth="1"/>
    <col min="4" max="4" width="15.5703125" style="22" customWidth="1"/>
    <col min="5" max="5" width="16.7109375" style="75" customWidth="1"/>
    <col min="6" max="6" width="13.42578125" style="75" customWidth="1"/>
    <col min="7" max="7" width="14.5703125" style="75" bestFit="1" customWidth="1"/>
    <col min="8" max="8" width="12.5703125" style="75" customWidth="1"/>
    <col min="9" max="9" width="14.28515625" style="75" bestFit="1" customWidth="1"/>
    <col min="10" max="25" width="12.7109375" style="75" bestFit="1" customWidth="1"/>
    <col min="26" max="38" width="12.28515625" style="75" bestFit="1" customWidth="1"/>
    <col min="39" max="39" width="17" style="75" customWidth="1" outlineLevel="1"/>
    <col min="40" max="40" width="13" style="75" customWidth="1" outlineLevel="1"/>
    <col min="41" max="41" width="14.28515625" style="75" customWidth="1" outlineLevel="1"/>
    <col min="42" max="42" width="12.7109375" style="22" bestFit="1" customWidth="1"/>
    <col min="43" max="43" width="12.28515625" style="22" customWidth="1"/>
    <col min="44" max="45" width="14" style="22" customWidth="1"/>
    <col min="46" max="46" width="14.28515625" style="22" bestFit="1" customWidth="1"/>
    <col min="47" max="47" width="16.5703125" style="22" customWidth="1"/>
    <col min="48" max="48" width="15" style="22" bestFit="1" customWidth="1"/>
    <col min="49" max="16384" width="10.28515625" style="22"/>
  </cols>
  <sheetData>
    <row r="1" spans="1:41" ht="11.65" customHeight="1" x14ac:dyDescent="0.25">
      <c r="A1" s="20" t="s">
        <v>0</v>
      </c>
      <c r="B1" s="21"/>
      <c r="C1" s="21"/>
      <c r="E1" s="827"/>
      <c r="F1" s="827"/>
      <c r="G1" s="22"/>
      <c r="H1" s="23"/>
      <c r="I1" s="24"/>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ht="11.65" customHeight="1" x14ac:dyDescent="0.25">
      <c r="A2" s="25" t="s">
        <v>1</v>
      </c>
      <c r="B2" s="21"/>
      <c r="C2" s="21"/>
      <c r="E2" s="22"/>
      <c r="F2" s="24"/>
      <c r="G2" s="2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2.75" customHeight="1" x14ac:dyDescent="0.25">
      <c r="A3" s="25" t="s">
        <v>2</v>
      </c>
      <c r="B3" s="21"/>
      <c r="C3" s="432" t="s">
        <v>199</v>
      </c>
      <c r="D3" s="445" t="s">
        <v>3</v>
      </c>
      <c r="E3" s="22"/>
      <c r="F3" s="24"/>
      <c r="G3" s="24"/>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ht="11.65" customHeight="1" thickBot="1" x14ac:dyDescent="0.25">
      <c r="A4" s="21"/>
      <c r="B4" s="21"/>
      <c r="C4" s="21"/>
      <c r="E4" s="22"/>
      <c r="F4" s="24"/>
      <c r="G4" s="24"/>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x14ac:dyDescent="0.2">
      <c r="A5" s="26" t="s">
        <v>4</v>
      </c>
      <c r="B5" s="27"/>
      <c r="C5" s="27"/>
      <c r="D5" s="28"/>
      <c r="E5" s="28"/>
      <c r="F5" s="29"/>
      <c r="G5" s="205"/>
      <c r="H5" s="22"/>
      <c r="I5" s="22"/>
      <c r="J5" s="22"/>
      <c r="K5" s="22"/>
      <c r="L5" s="22"/>
      <c r="M5" s="22"/>
      <c r="N5" s="41"/>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x14ac:dyDescent="0.2">
      <c r="A6" s="31"/>
      <c r="B6" s="32"/>
      <c r="C6" s="32"/>
      <c r="D6" s="206" t="s">
        <v>196</v>
      </c>
      <c r="E6" s="134"/>
      <c r="F6" s="135" t="s">
        <v>256</v>
      </c>
      <c r="G6" s="207" t="s">
        <v>257</v>
      </c>
      <c r="H6" s="135" t="s">
        <v>336</v>
      </c>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x14ac:dyDescent="0.2">
      <c r="A7" s="31"/>
      <c r="B7" s="32"/>
      <c r="C7" s="32"/>
      <c r="D7" s="35"/>
      <c r="E7" s="35"/>
      <c r="F7" s="36" t="s">
        <v>5</v>
      </c>
      <c r="G7" s="208" t="s">
        <v>5</v>
      </c>
      <c r="H7" s="36" t="s">
        <v>5</v>
      </c>
      <c r="I7" s="22"/>
      <c r="J7" s="22"/>
      <c r="K7" s="22"/>
      <c r="L7" s="22"/>
      <c r="M7" s="136"/>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1" ht="18.75" customHeight="1" x14ac:dyDescent="0.2">
      <c r="A8" s="31" t="s">
        <v>6</v>
      </c>
      <c r="B8" s="32"/>
      <c r="C8" s="32"/>
      <c r="D8" s="38" t="s">
        <v>7</v>
      </c>
      <c r="E8" s="38" t="s">
        <v>8</v>
      </c>
      <c r="F8" s="39" t="s">
        <v>8</v>
      </c>
      <c r="G8" s="209" t="s">
        <v>8</v>
      </c>
      <c r="H8" s="39" t="s">
        <v>8</v>
      </c>
      <c r="I8" s="22"/>
      <c r="J8" s="22"/>
      <c r="K8" s="22"/>
      <c r="L8" s="22"/>
      <c r="M8" s="127"/>
      <c r="N8" s="4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1" ht="11.65" customHeight="1" x14ac:dyDescent="0.2">
      <c r="A9" s="31"/>
      <c r="B9" s="32"/>
      <c r="C9" s="32"/>
      <c r="D9" s="33"/>
      <c r="E9" s="33"/>
      <c r="F9" s="40"/>
      <c r="G9" s="210"/>
      <c r="H9" s="40"/>
      <c r="I9" s="22"/>
      <c r="J9" s="22"/>
      <c r="K9" s="22"/>
      <c r="L9" s="22"/>
      <c r="M9" s="127"/>
      <c r="N9" s="41"/>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ht="11.65" customHeight="1" x14ac:dyDescent="0.2">
      <c r="A10" s="31"/>
      <c r="B10" s="32"/>
      <c r="C10" s="32"/>
      <c r="D10" s="42"/>
      <c r="E10" s="42"/>
      <c r="F10" s="43"/>
      <c r="G10" s="211"/>
      <c r="H10" s="43"/>
      <c r="I10" s="22"/>
      <c r="J10" s="22"/>
      <c r="K10" s="22"/>
      <c r="L10" s="22"/>
      <c r="M10" s="127"/>
      <c r="N10" s="41"/>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1" x14ac:dyDescent="0.2">
      <c r="A11" s="31" t="s">
        <v>173</v>
      </c>
      <c r="B11" s="32"/>
      <c r="C11" s="32"/>
      <c r="D11" s="42">
        <v>0.51500000000000001</v>
      </c>
      <c r="E11" s="42">
        <v>5.8058252427184473E-2</v>
      </c>
      <c r="F11" s="43">
        <v>2.9899999999999999E-2</v>
      </c>
      <c r="G11" s="211">
        <f>'2019 GRC'!E12</f>
        <v>2.8299999999999999E-2</v>
      </c>
      <c r="H11" s="43">
        <v>2.9899999999999999E-2</v>
      </c>
      <c r="I11" s="22"/>
      <c r="J11" s="22"/>
      <c r="K11" s="22"/>
      <c r="L11" s="22"/>
      <c r="M11" s="127"/>
      <c r="N11" s="41"/>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x14ac:dyDescent="0.2">
      <c r="A12" s="31" t="s">
        <v>9</v>
      </c>
      <c r="B12" s="32"/>
      <c r="C12" s="32"/>
      <c r="D12" s="44">
        <v>0.48499999999999999</v>
      </c>
      <c r="E12" s="42">
        <v>9.5000000000000001E-2</v>
      </c>
      <c r="F12" s="45">
        <v>4.6100000000000002E-2</v>
      </c>
      <c r="G12" s="212">
        <f>'2019 GRC'!E13</f>
        <v>4.5600000000000002E-2</v>
      </c>
      <c r="H12" s="45">
        <v>4.6100000000000002E-2</v>
      </c>
      <c r="I12" s="213"/>
      <c r="J12" s="22"/>
      <c r="K12" s="22"/>
      <c r="L12" s="22"/>
      <c r="M12" s="127"/>
      <c r="N12" s="4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ht="15.75" thickBot="1" x14ac:dyDescent="0.25">
      <c r="A13" s="31" t="s">
        <v>10</v>
      </c>
      <c r="B13" s="32"/>
      <c r="C13" s="32"/>
      <c r="D13" s="46">
        <f>D10+D11+D12</f>
        <v>1</v>
      </c>
      <c r="E13" s="47"/>
      <c r="F13" s="48">
        <f>F10+F11+F12</f>
        <v>7.5999999999999998E-2</v>
      </c>
      <c r="G13" s="214">
        <f>G10+G11+G12</f>
        <v>7.3899999999999993E-2</v>
      </c>
      <c r="H13" s="48">
        <f>H10+H11+H12</f>
        <v>7.5999999999999998E-2</v>
      </c>
      <c r="I13" s="22"/>
      <c r="J13" s="22"/>
      <c r="K13" s="22"/>
      <c r="L13" s="22"/>
      <c r="M13" s="127"/>
      <c r="N13" s="4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ht="11.65" customHeight="1" thickTop="1" x14ac:dyDescent="0.2">
      <c r="A14" s="31"/>
      <c r="B14" s="32"/>
      <c r="C14" s="32"/>
      <c r="D14" s="33"/>
      <c r="E14" s="33"/>
      <c r="F14" s="40"/>
      <c r="G14" s="210"/>
      <c r="H14" s="40"/>
      <c r="I14" s="22"/>
      <c r="J14" s="22"/>
      <c r="K14" s="22"/>
      <c r="L14" s="22"/>
      <c r="M14" s="127"/>
      <c r="N14" s="4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x14ac:dyDescent="0.2">
      <c r="A15" s="31" t="s">
        <v>11</v>
      </c>
      <c r="B15" s="32"/>
      <c r="C15" s="32"/>
      <c r="D15" s="33"/>
      <c r="E15" s="33"/>
      <c r="F15" s="43">
        <v>0.21</v>
      </c>
      <c r="G15" s="211">
        <f>'2019 GRC'!I19</f>
        <v>0.21</v>
      </c>
      <c r="H15" s="43">
        <v>0.21</v>
      </c>
      <c r="I15" s="22"/>
      <c r="J15" s="22"/>
      <c r="K15" s="22"/>
      <c r="L15" s="22"/>
      <c r="M15" s="127"/>
      <c r="N15" s="4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6" spans="1:41" ht="15.75" thickBot="1" x14ac:dyDescent="0.25">
      <c r="A16" s="31" t="s">
        <v>12</v>
      </c>
      <c r="B16" s="32"/>
      <c r="C16" s="32"/>
      <c r="D16" s="33"/>
      <c r="E16" s="33"/>
      <c r="F16" s="43">
        <f>'2017 4.01 G'!F17</f>
        <v>4.5462000000000002E-2</v>
      </c>
      <c r="G16" s="215">
        <f>'2019 GRC'!J16</f>
        <v>4.5447000000000001E-2</v>
      </c>
      <c r="H16" s="43">
        <f>'2019 GRC'!$J$38</f>
        <v>4.7447000000000003E-2</v>
      </c>
      <c r="I16" s="22"/>
      <c r="J16" s="22"/>
      <c r="K16" s="22"/>
      <c r="L16" s="22"/>
      <c r="M16" s="127"/>
      <c r="N16" s="4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row>
    <row r="17" spans="1:48" x14ac:dyDescent="0.2">
      <c r="A17" s="31" t="s">
        <v>13</v>
      </c>
      <c r="B17" s="32"/>
      <c r="C17" s="32"/>
      <c r="D17" s="33"/>
      <c r="E17" s="33"/>
      <c r="F17" s="43">
        <v>2.4443933509191149E-2</v>
      </c>
      <c r="G17" s="42"/>
      <c r="H17" s="43">
        <v>2.4443933509191149E-2</v>
      </c>
      <c r="I17" s="22"/>
      <c r="J17" s="22"/>
      <c r="K17" s="22"/>
      <c r="L17" s="22"/>
      <c r="M17" s="127"/>
      <c r="N17" s="4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8" ht="13.5" customHeight="1" x14ac:dyDescent="0.2">
      <c r="A18" s="31" t="s">
        <v>14</v>
      </c>
      <c r="B18" s="32"/>
      <c r="C18" s="32"/>
      <c r="D18" s="33"/>
      <c r="E18" s="33"/>
      <c r="F18" s="49">
        <v>2</v>
      </c>
      <c r="G18" s="216"/>
      <c r="H18" s="49">
        <v>2</v>
      </c>
      <c r="I18" s="22"/>
      <c r="J18" s="22"/>
      <c r="K18" s="22"/>
      <c r="L18" s="22"/>
      <c r="M18" s="127"/>
      <c r="N18" s="4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8" ht="11.65" customHeight="1" x14ac:dyDescent="0.2">
      <c r="A19" s="31"/>
      <c r="B19" s="32"/>
      <c r="C19" s="32"/>
      <c r="D19" s="33"/>
      <c r="E19" s="33"/>
      <c r="F19" s="34"/>
      <c r="G19" s="30"/>
      <c r="H19" s="34"/>
      <c r="I19" s="22"/>
      <c r="J19" s="22"/>
      <c r="K19" s="22"/>
      <c r="L19" s="22"/>
      <c r="M19" s="127"/>
      <c r="N19" s="41"/>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8" ht="11.65" customHeight="1" x14ac:dyDescent="0.2">
      <c r="A20" s="31" t="s">
        <v>15</v>
      </c>
      <c r="B20" s="32"/>
      <c r="C20" s="32"/>
      <c r="D20" s="33"/>
      <c r="E20" s="33"/>
      <c r="F20" s="34"/>
      <c r="G20" s="30"/>
      <c r="H20" s="34"/>
      <c r="I20" s="22"/>
      <c r="J20" s="22"/>
      <c r="K20" s="22"/>
      <c r="L20" s="22"/>
      <c r="N20" s="137"/>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8" ht="11.65" customHeight="1" x14ac:dyDescent="0.2">
      <c r="A21" s="31" t="s">
        <v>16</v>
      </c>
      <c r="B21" s="32"/>
      <c r="C21" s="32"/>
      <c r="D21" s="33"/>
      <c r="E21" s="33"/>
      <c r="F21" s="34"/>
      <c r="G21" s="30"/>
      <c r="H21" s="34"/>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8" ht="13.15" customHeight="1" thickBot="1" x14ac:dyDescent="0.25">
      <c r="A22" s="50" t="s">
        <v>17</v>
      </c>
      <c r="B22" s="51"/>
      <c r="C22" s="51"/>
      <c r="D22" s="51"/>
      <c r="E22" s="52"/>
      <c r="F22" s="76">
        <v>60639592.879999995</v>
      </c>
      <c r="G22" s="217"/>
      <c r="H22" s="76">
        <v>60639592.879999995</v>
      </c>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8" ht="9.6" customHeight="1" x14ac:dyDescent="0.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8" ht="6" customHeight="1" x14ac:dyDescent="0.2">
      <c r="B24" s="22"/>
      <c r="C24" s="22"/>
      <c r="D24" s="127"/>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row>
    <row r="25" spans="1:48" x14ac:dyDescent="0.2">
      <c r="A25" s="21"/>
      <c r="B25" s="21"/>
      <c r="C25" s="21"/>
      <c r="D25" s="445"/>
      <c r="E25" s="55" t="s">
        <v>18</v>
      </c>
      <c r="F25" s="116" t="s">
        <v>19</v>
      </c>
      <c r="G25" s="56" t="s">
        <v>20</v>
      </c>
      <c r="H25" s="56" t="s">
        <v>21</v>
      </c>
      <c r="I25" s="56" t="s">
        <v>22</v>
      </c>
      <c r="J25" s="56" t="s">
        <v>23</v>
      </c>
      <c r="K25" s="56" t="s">
        <v>24</v>
      </c>
      <c r="L25" s="56" t="s">
        <v>25</v>
      </c>
      <c r="M25" s="56" t="s">
        <v>26</v>
      </c>
      <c r="N25" s="56" t="s">
        <v>27</v>
      </c>
      <c r="O25" s="56" t="s">
        <v>28</v>
      </c>
      <c r="P25" s="56" t="s">
        <v>29</v>
      </c>
      <c r="Q25" s="56" t="s">
        <v>30</v>
      </c>
      <c r="R25" s="56" t="s">
        <v>31</v>
      </c>
      <c r="S25" s="56" t="s">
        <v>32</v>
      </c>
      <c r="T25" s="56" t="s">
        <v>33</v>
      </c>
      <c r="U25" s="56" t="s">
        <v>34</v>
      </c>
      <c r="V25" s="56" t="s">
        <v>35</v>
      </c>
      <c r="W25" s="56" t="s">
        <v>36</v>
      </c>
      <c r="X25" s="56" t="s">
        <v>37</v>
      </c>
      <c r="Y25" s="56" t="s">
        <v>38</v>
      </c>
      <c r="Z25" s="56" t="s">
        <v>39</v>
      </c>
      <c r="AA25" s="56" t="s">
        <v>40</v>
      </c>
      <c r="AB25" s="56" t="s">
        <v>41</v>
      </c>
      <c r="AC25" s="56" t="s">
        <v>42</v>
      </c>
      <c r="AD25" s="56" t="s">
        <v>43</v>
      </c>
      <c r="AE25" s="56" t="s">
        <v>44</v>
      </c>
      <c r="AF25" s="56" t="s">
        <v>45</v>
      </c>
      <c r="AG25" s="56" t="s">
        <v>46</v>
      </c>
      <c r="AH25" s="56" t="s">
        <v>47</v>
      </c>
      <c r="AI25" s="56" t="s">
        <v>48</v>
      </c>
      <c r="AJ25" s="56" t="s">
        <v>49</v>
      </c>
      <c r="AK25" s="56" t="s">
        <v>50</v>
      </c>
      <c r="AL25" s="56" t="s">
        <v>51</v>
      </c>
      <c r="AM25" s="56" t="s">
        <v>52</v>
      </c>
      <c r="AN25" s="56" t="s">
        <v>74</v>
      </c>
      <c r="AO25" s="56" t="s">
        <v>75</v>
      </c>
      <c r="AP25" s="56" t="s">
        <v>174</v>
      </c>
      <c r="AQ25" s="56" t="s">
        <v>175</v>
      </c>
      <c r="AR25" s="56" t="s">
        <v>176</v>
      </c>
      <c r="AS25" s="22" t="s">
        <v>177</v>
      </c>
    </row>
    <row r="26" spans="1:48" x14ac:dyDescent="0.2">
      <c r="A26" s="21"/>
      <c r="B26" s="21"/>
      <c r="C26" s="21"/>
      <c r="D26" s="445"/>
      <c r="E26" s="106">
        <v>2019</v>
      </c>
      <c r="F26" s="106">
        <v>2020</v>
      </c>
      <c r="G26" s="106">
        <v>2021</v>
      </c>
      <c r="H26" s="106">
        <v>2022</v>
      </c>
      <c r="I26" s="106">
        <v>2023</v>
      </c>
      <c r="J26" s="106">
        <v>2024</v>
      </c>
      <c r="K26" s="106">
        <v>2025</v>
      </c>
      <c r="L26" s="106">
        <v>2026</v>
      </c>
      <c r="M26" s="106">
        <v>2027</v>
      </c>
      <c r="N26" s="106">
        <v>2028</v>
      </c>
      <c r="O26" s="106">
        <v>2029</v>
      </c>
      <c r="P26" s="106">
        <v>2030</v>
      </c>
      <c r="Q26" s="106">
        <v>2031</v>
      </c>
      <c r="R26" s="106">
        <v>2032</v>
      </c>
      <c r="S26" s="106">
        <v>2033</v>
      </c>
      <c r="T26" s="106">
        <v>2034</v>
      </c>
      <c r="U26" s="106">
        <v>2035</v>
      </c>
      <c r="V26" s="106">
        <v>2036</v>
      </c>
      <c r="W26" s="106">
        <v>2037</v>
      </c>
      <c r="X26" s="106">
        <v>2038</v>
      </c>
      <c r="Y26" s="106">
        <v>2039</v>
      </c>
      <c r="Z26" s="106">
        <v>2040</v>
      </c>
      <c r="AA26" s="106">
        <v>2041</v>
      </c>
      <c r="AB26" s="106">
        <v>2042</v>
      </c>
      <c r="AC26" s="106">
        <v>2043</v>
      </c>
      <c r="AD26" s="106">
        <v>2044</v>
      </c>
      <c r="AE26" s="106">
        <v>2045</v>
      </c>
      <c r="AF26" s="106">
        <v>2046</v>
      </c>
      <c r="AG26" s="106">
        <v>2047</v>
      </c>
      <c r="AH26" s="106">
        <v>2048</v>
      </c>
      <c r="AI26" s="106">
        <v>2049</v>
      </c>
      <c r="AJ26" s="106">
        <v>2050</v>
      </c>
      <c r="AK26" s="106">
        <v>2051</v>
      </c>
      <c r="AL26" s="106">
        <v>2052</v>
      </c>
      <c r="AM26" s="106">
        <v>2053</v>
      </c>
      <c r="AN26" s="106">
        <v>2054</v>
      </c>
      <c r="AO26" s="106">
        <v>2055</v>
      </c>
      <c r="AP26" s="106">
        <v>2056</v>
      </c>
      <c r="AQ26" s="106">
        <v>2057</v>
      </c>
      <c r="AR26" s="106">
        <v>2058</v>
      </c>
      <c r="AS26" s="106">
        <v>2059</v>
      </c>
    </row>
    <row r="27" spans="1:48" x14ac:dyDescent="0.2">
      <c r="A27" s="432">
        <v>1</v>
      </c>
      <c r="B27" s="21" t="s">
        <v>53</v>
      </c>
      <c r="C27" s="21"/>
      <c r="D27" s="445"/>
      <c r="E27" s="57">
        <f>$F22*$F17</f>
        <v>1482270.176383141</v>
      </c>
      <c r="F27" s="123">
        <f>$F22*$F17</f>
        <v>1482270.176383141</v>
      </c>
      <c r="G27" s="123">
        <f>$F22*$F17</f>
        <v>1482270.176383141</v>
      </c>
      <c r="H27" s="123">
        <f>$F22*$H17</f>
        <v>1482270.176383141</v>
      </c>
      <c r="I27" s="123">
        <f t="shared" ref="I27:AR27" si="0">$F22*$F17</f>
        <v>1482270.176383141</v>
      </c>
      <c r="J27" s="123">
        <f t="shared" si="0"/>
        <v>1482270.176383141</v>
      </c>
      <c r="K27" s="123">
        <f t="shared" si="0"/>
        <v>1482270.176383141</v>
      </c>
      <c r="L27" s="123">
        <f t="shared" si="0"/>
        <v>1482270.176383141</v>
      </c>
      <c r="M27" s="123">
        <f t="shared" si="0"/>
        <v>1482270.176383141</v>
      </c>
      <c r="N27" s="123">
        <f t="shared" si="0"/>
        <v>1482270.176383141</v>
      </c>
      <c r="O27" s="123">
        <f t="shared" si="0"/>
        <v>1482270.176383141</v>
      </c>
      <c r="P27" s="123">
        <f t="shared" si="0"/>
        <v>1482270.176383141</v>
      </c>
      <c r="Q27" s="123">
        <f t="shared" si="0"/>
        <v>1482270.176383141</v>
      </c>
      <c r="R27" s="123">
        <f t="shared" si="0"/>
        <v>1482270.176383141</v>
      </c>
      <c r="S27" s="123">
        <f t="shared" si="0"/>
        <v>1482270.176383141</v>
      </c>
      <c r="T27" s="123">
        <f t="shared" si="0"/>
        <v>1482270.176383141</v>
      </c>
      <c r="U27" s="123">
        <f t="shared" si="0"/>
        <v>1482270.176383141</v>
      </c>
      <c r="V27" s="123">
        <f t="shared" si="0"/>
        <v>1482270.176383141</v>
      </c>
      <c r="W27" s="123">
        <f t="shared" si="0"/>
        <v>1482270.176383141</v>
      </c>
      <c r="X27" s="123">
        <f t="shared" si="0"/>
        <v>1482270.176383141</v>
      </c>
      <c r="Y27" s="123">
        <f t="shared" si="0"/>
        <v>1482270.176383141</v>
      </c>
      <c r="Z27" s="123">
        <f t="shared" si="0"/>
        <v>1482270.176383141</v>
      </c>
      <c r="AA27" s="123">
        <f t="shared" si="0"/>
        <v>1482270.176383141</v>
      </c>
      <c r="AB27" s="123">
        <f t="shared" si="0"/>
        <v>1482270.176383141</v>
      </c>
      <c r="AC27" s="123">
        <f t="shared" si="0"/>
        <v>1482270.176383141</v>
      </c>
      <c r="AD27" s="123">
        <f t="shared" si="0"/>
        <v>1482270.176383141</v>
      </c>
      <c r="AE27" s="123">
        <f t="shared" si="0"/>
        <v>1482270.176383141</v>
      </c>
      <c r="AF27" s="123">
        <f t="shared" si="0"/>
        <v>1482270.176383141</v>
      </c>
      <c r="AG27" s="123">
        <f t="shared" si="0"/>
        <v>1482270.176383141</v>
      </c>
      <c r="AH27" s="123">
        <f t="shared" si="0"/>
        <v>1482270.176383141</v>
      </c>
      <c r="AI27" s="123">
        <f t="shared" si="0"/>
        <v>1482270.176383141</v>
      </c>
      <c r="AJ27" s="123">
        <f t="shared" si="0"/>
        <v>1482270.176383141</v>
      </c>
      <c r="AK27" s="123">
        <f t="shared" si="0"/>
        <v>1482270.176383141</v>
      </c>
      <c r="AL27" s="123">
        <f t="shared" si="0"/>
        <v>1482270.176383141</v>
      </c>
      <c r="AM27" s="123">
        <f t="shared" si="0"/>
        <v>1482270.176383141</v>
      </c>
      <c r="AN27" s="123">
        <f t="shared" si="0"/>
        <v>1482270.176383141</v>
      </c>
      <c r="AO27" s="123">
        <f t="shared" si="0"/>
        <v>1482270.176383141</v>
      </c>
      <c r="AP27" s="123">
        <f t="shared" si="0"/>
        <v>1482270.176383141</v>
      </c>
      <c r="AQ27" s="123">
        <f t="shared" si="0"/>
        <v>1482270.176383141</v>
      </c>
      <c r="AR27" s="123">
        <f t="shared" si="0"/>
        <v>1482270.176383141</v>
      </c>
      <c r="AS27" s="123">
        <f>$F22*$F17-133484.35</f>
        <v>1348785.8263831409</v>
      </c>
      <c r="AT27" s="123"/>
      <c r="AU27" s="126">
        <f>SUM(D27:AS27)</f>
        <v>60639592.881708734</v>
      </c>
      <c r="AV27" s="41">
        <f>F22</f>
        <v>60639592.879999995</v>
      </c>
    </row>
    <row r="28" spans="1:48" x14ac:dyDescent="0.2">
      <c r="A28" s="21"/>
      <c r="B28" s="21"/>
      <c r="C28" s="21"/>
      <c r="D28" s="445"/>
      <c r="E28" s="57"/>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58"/>
      <c r="AN28" s="123"/>
      <c r="AO28" s="123"/>
      <c r="AP28" s="447"/>
      <c r="AV28" s="126">
        <f>+AV27-AU27</f>
        <v>-1.7087385058403015E-3</v>
      </c>
    </row>
    <row r="29" spans="1:48" x14ac:dyDescent="0.2">
      <c r="A29" s="432">
        <f>A27+1</f>
        <v>2</v>
      </c>
      <c r="B29" s="21" t="s">
        <v>54</v>
      </c>
      <c r="C29" s="21"/>
      <c r="D29" s="445"/>
      <c r="E29" s="57">
        <f>E53</f>
        <v>733002.76971787796</v>
      </c>
      <c r="F29" s="123">
        <f t="shared" ref="F29:AT29" si="1">F53</f>
        <v>702392.57976173412</v>
      </c>
      <c r="G29" s="123">
        <f t="shared" si="1"/>
        <v>677473.48090067063</v>
      </c>
      <c r="H29" s="123">
        <f t="shared" si="1"/>
        <v>653358.59365427354</v>
      </c>
      <c r="I29" s="123">
        <f t="shared" si="1"/>
        <v>629987.71792086912</v>
      </c>
      <c r="J29" s="123">
        <f t="shared" si="1"/>
        <v>607305.28437583544</v>
      </c>
      <c r="K29" s="123">
        <f t="shared" si="1"/>
        <v>585259.5826754272</v>
      </c>
      <c r="L29" s="123">
        <f t="shared" si="1"/>
        <v>563802.7614567756</v>
      </c>
      <c r="M29" s="123">
        <f t="shared" si="1"/>
        <v>542674.72540880332</v>
      </c>
      <c r="N29" s="123">
        <f t="shared" si="1"/>
        <v>521593.76892752462</v>
      </c>
      <c r="O29" s="123">
        <f t="shared" si="1"/>
        <v>500512.81244624581</v>
      </c>
      <c r="P29" s="123">
        <f t="shared" si="1"/>
        <v>479431.85596496699</v>
      </c>
      <c r="Q29" s="123">
        <f t="shared" si="1"/>
        <v>458350.89948368829</v>
      </c>
      <c r="R29" s="123">
        <f t="shared" si="1"/>
        <v>437269.94300240959</v>
      </c>
      <c r="S29" s="123">
        <f t="shared" si="1"/>
        <v>416188.98652113089</v>
      </c>
      <c r="T29" s="123">
        <f t="shared" si="1"/>
        <v>395108.03003985208</v>
      </c>
      <c r="U29" s="123">
        <f t="shared" si="1"/>
        <v>374027.07355857326</v>
      </c>
      <c r="V29" s="123">
        <f t="shared" si="1"/>
        <v>352946.11707729456</v>
      </c>
      <c r="W29" s="123">
        <f t="shared" si="1"/>
        <v>331865.16059601575</v>
      </c>
      <c r="X29" s="123">
        <f t="shared" si="1"/>
        <v>310784.20411473705</v>
      </c>
      <c r="Y29" s="123">
        <f t="shared" si="1"/>
        <v>291425.12490056054</v>
      </c>
      <c r="Z29" s="123">
        <f t="shared" si="1"/>
        <v>275509.02842441335</v>
      </c>
      <c r="AA29" s="123">
        <f t="shared" si="1"/>
        <v>261314.80921536835</v>
      </c>
      <c r="AB29" s="123">
        <f t="shared" si="1"/>
        <v>247120.59000632336</v>
      </c>
      <c r="AC29" s="123">
        <f t="shared" si="1"/>
        <v>232926.37079727848</v>
      </c>
      <c r="AD29" s="123">
        <f t="shared" si="1"/>
        <v>218732.15158823351</v>
      </c>
      <c r="AE29" s="123">
        <f t="shared" si="1"/>
        <v>204537.9323791886</v>
      </c>
      <c r="AF29" s="123">
        <f t="shared" si="1"/>
        <v>190343.71317014366</v>
      </c>
      <c r="AG29" s="123">
        <f t="shared" si="1"/>
        <v>176149.49396109875</v>
      </c>
      <c r="AH29" s="123">
        <f t="shared" si="1"/>
        <v>161955.27475205384</v>
      </c>
      <c r="AI29" s="123">
        <f t="shared" si="1"/>
        <v>147761.05554300893</v>
      </c>
      <c r="AJ29" s="123">
        <f t="shared" si="1"/>
        <v>133566.83633396399</v>
      </c>
      <c r="AK29" s="123">
        <f t="shared" si="1"/>
        <v>119372.61712491907</v>
      </c>
      <c r="AL29" s="123">
        <f t="shared" si="1"/>
        <v>105178.39791587417</v>
      </c>
      <c r="AM29" s="123">
        <f t="shared" si="1"/>
        <v>90984.178706829262</v>
      </c>
      <c r="AN29" s="123">
        <f t="shared" si="1"/>
        <v>76789.959497784337</v>
      </c>
      <c r="AO29" s="123">
        <f t="shared" si="1"/>
        <v>62595.74028873942</v>
      </c>
      <c r="AP29" s="123">
        <f t="shared" si="1"/>
        <v>48401.52107969451</v>
      </c>
      <c r="AQ29" s="123">
        <f t="shared" si="1"/>
        <v>34207.301870649593</v>
      </c>
      <c r="AR29" s="123">
        <f t="shared" si="1"/>
        <v>20013.082661604672</v>
      </c>
      <c r="AS29" s="123">
        <f t="shared" si="1"/>
        <v>6457.9865203597192</v>
      </c>
      <c r="AT29" s="123">
        <f t="shared" si="1"/>
        <v>12915.973057082216</v>
      </c>
      <c r="AU29" s="126">
        <f>SUM(D29:AT29)</f>
        <v>13391595.487399878</v>
      </c>
    </row>
    <row r="30" spans="1:48" x14ac:dyDescent="0.2">
      <c r="A30" s="21"/>
      <c r="B30" s="21"/>
      <c r="C30" s="21"/>
      <c r="D30" s="445"/>
      <c r="E30" s="57"/>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row>
    <row r="31" spans="1:48" x14ac:dyDescent="0.2">
      <c r="A31" s="21"/>
      <c r="B31" s="21" t="s">
        <v>55</v>
      </c>
      <c r="C31" s="21"/>
      <c r="D31" s="445"/>
      <c r="E31" s="57"/>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row>
    <row r="32" spans="1:48" x14ac:dyDescent="0.2">
      <c r="A32" s="432">
        <f>A29+1</f>
        <v>3</v>
      </c>
      <c r="B32" s="21"/>
      <c r="C32" s="21"/>
      <c r="D32" s="445"/>
      <c r="E32" s="57">
        <f>E49*$F10</f>
        <v>0</v>
      </c>
      <c r="F32" s="123">
        <f>F49*$G10</f>
        <v>0</v>
      </c>
      <c r="G32" s="123">
        <f t="shared" ref="G32:AT32" si="2">G49*$F10</f>
        <v>0</v>
      </c>
      <c r="H32" s="123">
        <f t="shared" si="2"/>
        <v>0</v>
      </c>
      <c r="I32" s="123">
        <f t="shared" si="2"/>
        <v>0</v>
      </c>
      <c r="J32" s="123">
        <f t="shared" si="2"/>
        <v>0</v>
      </c>
      <c r="K32" s="123">
        <f t="shared" si="2"/>
        <v>0</v>
      </c>
      <c r="L32" s="123">
        <f t="shared" si="2"/>
        <v>0</v>
      </c>
      <c r="M32" s="123">
        <f t="shared" si="2"/>
        <v>0</v>
      </c>
      <c r="N32" s="123">
        <f t="shared" si="2"/>
        <v>0</v>
      </c>
      <c r="O32" s="123">
        <f t="shared" si="2"/>
        <v>0</v>
      </c>
      <c r="P32" s="123">
        <f t="shared" si="2"/>
        <v>0</v>
      </c>
      <c r="Q32" s="123">
        <f t="shared" si="2"/>
        <v>0</v>
      </c>
      <c r="R32" s="123">
        <f t="shared" si="2"/>
        <v>0</v>
      </c>
      <c r="S32" s="123">
        <f t="shared" si="2"/>
        <v>0</v>
      </c>
      <c r="T32" s="123">
        <f t="shared" si="2"/>
        <v>0</v>
      </c>
      <c r="U32" s="123">
        <f t="shared" si="2"/>
        <v>0</v>
      </c>
      <c r="V32" s="123">
        <f t="shared" si="2"/>
        <v>0</v>
      </c>
      <c r="W32" s="123">
        <f t="shared" si="2"/>
        <v>0</v>
      </c>
      <c r="X32" s="123">
        <f t="shared" si="2"/>
        <v>0</v>
      </c>
      <c r="Y32" s="123">
        <f t="shared" si="2"/>
        <v>0</v>
      </c>
      <c r="Z32" s="123">
        <f t="shared" si="2"/>
        <v>0</v>
      </c>
      <c r="AA32" s="123">
        <f t="shared" si="2"/>
        <v>0</v>
      </c>
      <c r="AB32" s="123">
        <f t="shared" si="2"/>
        <v>0</v>
      </c>
      <c r="AC32" s="123">
        <f t="shared" si="2"/>
        <v>0</v>
      </c>
      <c r="AD32" s="123">
        <f t="shared" si="2"/>
        <v>0</v>
      </c>
      <c r="AE32" s="123">
        <f t="shared" si="2"/>
        <v>0</v>
      </c>
      <c r="AF32" s="123">
        <f t="shared" si="2"/>
        <v>0</v>
      </c>
      <c r="AG32" s="123">
        <f t="shared" si="2"/>
        <v>0</v>
      </c>
      <c r="AH32" s="123">
        <f t="shared" si="2"/>
        <v>0</v>
      </c>
      <c r="AI32" s="123">
        <f t="shared" si="2"/>
        <v>0</v>
      </c>
      <c r="AJ32" s="123">
        <f t="shared" si="2"/>
        <v>0</v>
      </c>
      <c r="AK32" s="123">
        <f t="shared" si="2"/>
        <v>0</v>
      </c>
      <c r="AL32" s="123">
        <f t="shared" si="2"/>
        <v>0</v>
      </c>
      <c r="AM32" s="123">
        <f t="shared" si="2"/>
        <v>0</v>
      </c>
      <c r="AN32" s="123">
        <f t="shared" si="2"/>
        <v>0</v>
      </c>
      <c r="AO32" s="123">
        <f t="shared" si="2"/>
        <v>0</v>
      </c>
      <c r="AP32" s="123">
        <f t="shared" si="2"/>
        <v>0</v>
      </c>
      <c r="AQ32" s="123">
        <f t="shared" si="2"/>
        <v>0</v>
      </c>
      <c r="AR32" s="123">
        <f t="shared" si="2"/>
        <v>0</v>
      </c>
      <c r="AS32" s="123">
        <f t="shared" si="2"/>
        <v>0</v>
      </c>
      <c r="AT32" s="123">
        <f t="shared" si="2"/>
        <v>0</v>
      </c>
      <c r="AU32" s="126">
        <f t="shared" ref="AU32:AU42" si="3">SUM(D32:AT32)</f>
        <v>0</v>
      </c>
    </row>
    <row r="33" spans="1:47" x14ac:dyDescent="0.2">
      <c r="A33" s="432">
        <f>A32+1</f>
        <v>4</v>
      </c>
      <c r="B33" s="32"/>
      <c r="C33" s="32" t="s">
        <v>173</v>
      </c>
      <c r="D33" s="445"/>
      <c r="E33" s="57">
        <f>E49*$F11</f>
        <v>1788478.3001245733</v>
      </c>
      <c r="F33" s="123">
        <f>F49*$G11</f>
        <v>1639869.5599136476</v>
      </c>
      <c r="G33" s="123">
        <f>G49*$G11</f>
        <v>1581691.1667184934</v>
      </c>
      <c r="H33" s="123">
        <f t="shared" ref="H33:AT33" si="4">H49*$G11</f>
        <v>1525390.3590568707</v>
      </c>
      <c r="I33" s="123">
        <f t="shared" si="4"/>
        <v>1470826.5882995897</v>
      </c>
      <c r="J33" s="123">
        <f t="shared" si="4"/>
        <v>1417870.1172504753</v>
      </c>
      <c r="K33" s="123">
        <f t="shared" si="4"/>
        <v>1366400.2182408653</v>
      </c>
      <c r="L33" s="123">
        <f t="shared" si="4"/>
        <v>1316305.1731296086</v>
      </c>
      <c r="M33" s="123">
        <f t="shared" si="4"/>
        <v>1266977.7397623868</v>
      </c>
      <c r="N33" s="123">
        <f t="shared" si="4"/>
        <v>1217760.2226308133</v>
      </c>
      <c r="O33" s="123">
        <f t="shared" si="4"/>
        <v>1168542.7054992395</v>
      </c>
      <c r="P33" s="123">
        <f t="shared" si="4"/>
        <v>1119325.1883676657</v>
      </c>
      <c r="Q33" s="123">
        <f t="shared" si="4"/>
        <v>1070107.6712360922</v>
      </c>
      <c r="R33" s="123">
        <f t="shared" si="4"/>
        <v>1020890.1541045187</v>
      </c>
      <c r="S33" s="123">
        <f t="shared" si="4"/>
        <v>971672.63697294518</v>
      </c>
      <c r="T33" s="123">
        <f t="shared" si="4"/>
        <v>922455.11984137143</v>
      </c>
      <c r="U33" s="123">
        <f t="shared" si="4"/>
        <v>873237.60270979768</v>
      </c>
      <c r="V33" s="123">
        <f t="shared" si="4"/>
        <v>824020.08557822416</v>
      </c>
      <c r="W33" s="123">
        <f t="shared" si="4"/>
        <v>774802.56844665052</v>
      </c>
      <c r="X33" s="123">
        <f t="shared" si="4"/>
        <v>725585.05131507688</v>
      </c>
      <c r="Y33" s="123">
        <f t="shared" si="4"/>
        <v>680387.58535942272</v>
      </c>
      <c r="Z33" s="123">
        <f t="shared" si="4"/>
        <v>643228.4198501053</v>
      </c>
      <c r="AA33" s="123">
        <f t="shared" si="4"/>
        <v>610089.30551670736</v>
      </c>
      <c r="AB33" s="123">
        <f t="shared" si="4"/>
        <v>576950.19118330954</v>
      </c>
      <c r="AC33" s="123">
        <f t="shared" si="4"/>
        <v>543811.07684991171</v>
      </c>
      <c r="AD33" s="123">
        <f t="shared" si="4"/>
        <v>510671.96251651383</v>
      </c>
      <c r="AE33" s="123">
        <f t="shared" si="4"/>
        <v>477532.84818311606</v>
      </c>
      <c r="AF33" s="123">
        <f t="shared" si="4"/>
        <v>444393.73384971829</v>
      </c>
      <c r="AG33" s="123">
        <f t="shared" si="4"/>
        <v>411254.61951632053</v>
      </c>
      <c r="AH33" s="123">
        <f t="shared" si="4"/>
        <v>378115.5051829227</v>
      </c>
      <c r="AI33" s="123">
        <f t="shared" si="4"/>
        <v>344976.39084952493</v>
      </c>
      <c r="AJ33" s="123">
        <f t="shared" si="4"/>
        <v>311837.27651612711</v>
      </c>
      <c r="AK33" s="123">
        <f t="shared" si="4"/>
        <v>278698.16218272928</v>
      </c>
      <c r="AL33" s="123">
        <f t="shared" si="4"/>
        <v>245559.04784933155</v>
      </c>
      <c r="AM33" s="123">
        <f t="shared" si="4"/>
        <v>212419.93351593375</v>
      </c>
      <c r="AN33" s="123">
        <f t="shared" si="4"/>
        <v>179280.81918253598</v>
      </c>
      <c r="AO33" s="123">
        <f t="shared" si="4"/>
        <v>146141.70484913819</v>
      </c>
      <c r="AP33" s="123">
        <f t="shared" si="4"/>
        <v>113002.5905157404</v>
      </c>
      <c r="AQ33" s="123">
        <f t="shared" si="4"/>
        <v>79863.476182342609</v>
      </c>
      <c r="AR33" s="123">
        <f t="shared" si="4"/>
        <v>46724.361848944827</v>
      </c>
      <c r="AS33" s="123">
        <f t="shared" si="4"/>
        <v>15077.402322021957</v>
      </c>
      <c r="AT33" s="123">
        <f t="shared" si="4"/>
        <v>30154.804682245936</v>
      </c>
      <c r="AU33" s="126">
        <f t="shared" si="3"/>
        <v>31342379.44770357</v>
      </c>
    </row>
    <row r="34" spans="1:47" x14ac:dyDescent="0.2">
      <c r="A34" s="432">
        <f>A33+1</f>
        <v>5</v>
      </c>
      <c r="B34" s="21"/>
      <c r="C34" s="21" t="s">
        <v>9</v>
      </c>
      <c r="D34" s="445"/>
      <c r="E34" s="59">
        <f>E49*$F12</f>
        <v>2757486.6098910649</v>
      </c>
      <c r="F34" s="121">
        <f>F49*$G12</f>
        <v>2642333.990532238</v>
      </c>
      <c r="G34" s="121">
        <f t="shared" ref="G34:AT34" si="5">G49*$G12</f>
        <v>2548590.713864428</v>
      </c>
      <c r="H34" s="121">
        <f t="shared" si="5"/>
        <v>2457872.8046994102</v>
      </c>
      <c r="I34" s="121">
        <f t="shared" si="5"/>
        <v>2369953.7959880317</v>
      </c>
      <c r="J34" s="121">
        <f t="shared" si="5"/>
        <v>2284624.6412233813</v>
      </c>
      <c r="K34" s="121">
        <f t="shared" si="5"/>
        <v>2201690.8110170835</v>
      </c>
      <c r="L34" s="121">
        <f t="shared" si="5"/>
        <v>2120972.2930992986</v>
      </c>
      <c r="M34" s="121">
        <f t="shared" si="5"/>
        <v>2041490.6336807366</v>
      </c>
      <c r="N34" s="121">
        <f t="shared" si="5"/>
        <v>1962186.0831083071</v>
      </c>
      <c r="O34" s="121">
        <f t="shared" si="5"/>
        <v>1882881.5325358773</v>
      </c>
      <c r="P34" s="121">
        <f t="shared" si="5"/>
        <v>1803576.9819634475</v>
      </c>
      <c r="Q34" s="121">
        <f t="shared" si="5"/>
        <v>1724272.431391018</v>
      </c>
      <c r="R34" s="121">
        <f t="shared" si="5"/>
        <v>1644967.8808185887</v>
      </c>
      <c r="S34" s="121">
        <f t="shared" si="5"/>
        <v>1565663.3302461591</v>
      </c>
      <c r="T34" s="121">
        <f t="shared" si="5"/>
        <v>1486358.7796737293</v>
      </c>
      <c r="U34" s="121">
        <f t="shared" si="5"/>
        <v>1407054.2291012995</v>
      </c>
      <c r="V34" s="121">
        <f t="shared" si="5"/>
        <v>1327749.6785288702</v>
      </c>
      <c r="W34" s="121">
        <f t="shared" si="5"/>
        <v>1248445.1279564404</v>
      </c>
      <c r="X34" s="121">
        <f t="shared" si="5"/>
        <v>1169140.5773840109</v>
      </c>
      <c r="Y34" s="121">
        <f t="shared" si="5"/>
        <v>1096313.5651021088</v>
      </c>
      <c r="Z34" s="121">
        <f t="shared" si="5"/>
        <v>1036438.725977555</v>
      </c>
      <c r="AA34" s="121">
        <f t="shared" si="5"/>
        <v>983041.42514352861</v>
      </c>
      <c r="AB34" s="121">
        <f t="shared" si="5"/>
        <v>929644.12430950231</v>
      </c>
      <c r="AC34" s="121">
        <f t="shared" si="5"/>
        <v>876246.82347547624</v>
      </c>
      <c r="AD34" s="121">
        <f t="shared" si="5"/>
        <v>822849.52264144993</v>
      </c>
      <c r="AE34" s="121">
        <f t="shared" si="5"/>
        <v>769452.22180742386</v>
      </c>
      <c r="AF34" s="121">
        <f t="shared" si="5"/>
        <v>716054.92097339767</v>
      </c>
      <c r="AG34" s="121">
        <f t="shared" si="5"/>
        <v>662657.6201393716</v>
      </c>
      <c r="AH34" s="121">
        <f t="shared" si="5"/>
        <v>609260.31930534542</v>
      </c>
      <c r="AI34" s="121">
        <f t="shared" si="5"/>
        <v>555863.01847131934</v>
      </c>
      <c r="AJ34" s="121">
        <f t="shared" si="5"/>
        <v>502465.71763729322</v>
      </c>
      <c r="AK34" s="121">
        <f t="shared" si="5"/>
        <v>449068.41680326703</v>
      </c>
      <c r="AL34" s="121">
        <f t="shared" si="5"/>
        <v>395671.11596924096</v>
      </c>
      <c r="AM34" s="121">
        <f t="shared" si="5"/>
        <v>342273.81513521483</v>
      </c>
      <c r="AN34" s="121">
        <f t="shared" si="5"/>
        <v>288876.51430118876</v>
      </c>
      <c r="AO34" s="121">
        <f t="shared" si="5"/>
        <v>235479.2134671626</v>
      </c>
      <c r="AP34" s="121">
        <f t="shared" si="5"/>
        <v>182081.9126331365</v>
      </c>
      <c r="AQ34" s="121">
        <f t="shared" si="5"/>
        <v>128684.61179911037</v>
      </c>
      <c r="AR34" s="121">
        <f t="shared" si="5"/>
        <v>75287.310965084253</v>
      </c>
      <c r="AS34" s="121">
        <f t="shared" si="5"/>
        <v>24294.330243257995</v>
      </c>
      <c r="AT34" s="121">
        <f t="shared" si="5"/>
        <v>48588.660548071195</v>
      </c>
      <c r="AU34" s="126">
        <f t="shared" si="3"/>
        <v>50377906.833551936</v>
      </c>
    </row>
    <row r="35" spans="1:47" x14ac:dyDescent="0.2">
      <c r="A35" s="432">
        <f>A34+1</f>
        <v>6</v>
      </c>
      <c r="B35" s="21"/>
      <c r="C35" s="21" t="s">
        <v>58</v>
      </c>
      <c r="D35" s="445"/>
      <c r="E35" s="57">
        <f>E32+E33+E34</f>
        <v>4545964.910015638</v>
      </c>
      <c r="F35" s="123">
        <f>F32+F33+F34</f>
        <v>4282203.5504458854</v>
      </c>
      <c r="G35" s="123">
        <f>G32+G33+G34</f>
        <v>4130281.8805829212</v>
      </c>
      <c r="H35" s="123">
        <f t="shared" ref="H35:AT35" si="6">H32+H33+H34</f>
        <v>3983263.1637562811</v>
      </c>
      <c r="I35" s="123">
        <f t="shared" si="6"/>
        <v>3840780.3842876214</v>
      </c>
      <c r="J35" s="123">
        <f t="shared" si="6"/>
        <v>3702494.7584738564</v>
      </c>
      <c r="K35" s="123">
        <f t="shared" si="6"/>
        <v>3568091.0292579485</v>
      </c>
      <c r="L35" s="123">
        <f t="shared" si="6"/>
        <v>3437277.466228907</v>
      </c>
      <c r="M35" s="123">
        <f t="shared" si="6"/>
        <v>3308468.3734431234</v>
      </c>
      <c r="N35" s="123">
        <f t="shared" si="6"/>
        <v>3179946.3057391206</v>
      </c>
      <c r="O35" s="123">
        <f t="shared" si="6"/>
        <v>3051424.2380351168</v>
      </c>
      <c r="P35" s="123">
        <f t="shared" si="6"/>
        <v>2922902.170331113</v>
      </c>
      <c r="Q35" s="123">
        <f t="shared" si="6"/>
        <v>2794380.1026271102</v>
      </c>
      <c r="R35" s="123">
        <f t="shared" si="6"/>
        <v>2665858.0349231074</v>
      </c>
      <c r="S35" s="123">
        <f t="shared" si="6"/>
        <v>2537335.9672191041</v>
      </c>
      <c r="T35" s="123">
        <f t="shared" si="6"/>
        <v>2408813.8995151008</v>
      </c>
      <c r="U35" s="123">
        <f t="shared" si="6"/>
        <v>2280291.8318110975</v>
      </c>
      <c r="V35" s="123">
        <f t="shared" si="6"/>
        <v>2151769.7641070941</v>
      </c>
      <c r="W35" s="123">
        <f t="shared" si="6"/>
        <v>2023247.6964030908</v>
      </c>
      <c r="X35" s="123">
        <f t="shared" si="6"/>
        <v>1894725.6286990878</v>
      </c>
      <c r="Y35" s="123">
        <f t="shared" si="6"/>
        <v>1776701.1504615315</v>
      </c>
      <c r="Z35" s="123">
        <f t="shared" si="6"/>
        <v>1679667.1458276603</v>
      </c>
      <c r="AA35" s="123">
        <f t="shared" si="6"/>
        <v>1593130.730660236</v>
      </c>
      <c r="AB35" s="123">
        <f t="shared" si="6"/>
        <v>1506594.3154928118</v>
      </c>
      <c r="AC35" s="123">
        <f t="shared" si="6"/>
        <v>1420057.9003253879</v>
      </c>
      <c r="AD35" s="123">
        <f t="shared" si="6"/>
        <v>1333521.4851579638</v>
      </c>
      <c r="AE35" s="123">
        <f t="shared" si="6"/>
        <v>1246985.0699905399</v>
      </c>
      <c r="AF35" s="123">
        <f t="shared" si="6"/>
        <v>1160448.654823116</v>
      </c>
      <c r="AG35" s="123">
        <f t="shared" si="6"/>
        <v>1073912.2396556921</v>
      </c>
      <c r="AH35" s="123">
        <f t="shared" si="6"/>
        <v>987375.82448826812</v>
      </c>
      <c r="AI35" s="123">
        <f t="shared" si="6"/>
        <v>900839.40932084434</v>
      </c>
      <c r="AJ35" s="123">
        <f t="shared" si="6"/>
        <v>814302.99415342032</v>
      </c>
      <c r="AK35" s="123">
        <f t="shared" si="6"/>
        <v>727766.57898599631</v>
      </c>
      <c r="AL35" s="123">
        <f t="shared" si="6"/>
        <v>641230.16381857253</v>
      </c>
      <c r="AM35" s="123">
        <f t="shared" si="6"/>
        <v>554693.74865114852</v>
      </c>
      <c r="AN35" s="123">
        <f t="shared" si="6"/>
        <v>468157.33348372474</v>
      </c>
      <c r="AO35" s="123">
        <f t="shared" si="6"/>
        <v>381620.91831630078</v>
      </c>
      <c r="AP35" s="123">
        <f t="shared" si="6"/>
        <v>295084.50314887689</v>
      </c>
      <c r="AQ35" s="123">
        <f t="shared" si="6"/>
        <v>208548.08798145299</v>
      </c>
      <c r="AR35" s="123">
        <f t="shared" si="6"/>
        <v>122011.67281402908</v>
      </c>
      <c r="AS35" s="123">
        <f t="shared" si="6"/>
        <v>39371.732565279948</v>
      </c>
      <c r="AT35" s="123">
        <f t="shared" si="6"/>
        <v>78743.465230317131</v>
      </c>
      <c r="AU35" s="126">
        <f t="shared" si="3"/>
        <v>81720286.281255499</v>
      </c>
    </row>
    <row r="36" spans="1:47" x14ac:dyDescent="0.2">
      <c r="A36" s="21"/>
      <c r="B36" s="21"/>
      <c r="C36" s="21"/>
      <c r="D36" s="445"/>
      <c r="E36" s="57"/>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6">
        <f t="shared" si="3"/>
        <v>0</v>
      </c>
    </row>
    <row r="37" spans="1:47" x14ac:dyDescent="0.2">
      <c r="A37" s="432">
        <f>A35+1</f>
        <v>7</v>
      </c>
      <c r="B37" s="21" t="s">
        <v>59</v>
      </c>
      <c r="C37" s="21"/>
      <c r="D37" s="445"/>
      <c r="E37" s="60">
        <f>E27+E29+E35</f>
        <v>6761237.8561166571</v>
      </c>
      <c r="F37" s="120">
        <f>F27+F29+F35</f>
        <v>6466866.3065907601</v>
      </c>
      <c r="G37" s="120">
        <f t="shared" ref="G37:AT37" si="7">G27+G29+G35</f>
        <v>6290025.537866733</v>
      </c>
      <c r="H37" s="120">
        <f t="shared" si="7"/>
        <v>6118891.9337936956</v>
      </c>
      <c r="I37" s="120">
        <f t="shared" si="7"/>
        <v>5953038.278591631</v>
      </c>
      <c r="J37" s="120">
        <f t="shared" si="7"/>
        <v>5792070.219232833</v>
      </c>
      <c r="K37" s="120">
        <f t="shared" si="7"/>
        <v>5635620.7883165162</v>
      </c>
      <c r="L37" s="120">
        <f t="shared" si="7"/>
        <v>5483350.4040688239</v>
      </c>
      <c r="M37" s="120">
        <f t="shared" si="7"/>
        <v>5333413.2752350681</v>
      </c>
      <c r="N37" s="120">
        <f t="shared" si="7"/>
        <v>5183810.2510497859</v>
      </c>
      <c r="O37" s="120">
        <f t="shared" si="7"/>
        <v>5034207.2268645037</v>
      </c>
      <c r="P37" s="120">
        <f t="shared" si="7"/>
        <v>4884604.2026792206</v>
      </c>
      <c r="Q37" s="120">
        <f t="shared" si="7"/>
        <v>4735001.1784939393</v>
      </c>
      <c r="R37" s="120">
        <f t="shared" si="7"/>
        <v>4585398.1543086581</v>
      </c>
      <c r="S37" s="120">
        <f t="shared" si="7"/>
        <v>4435795.1301233759</v>
      </c>
      <c r="T37" s="120">
        <f t="shared" si="7"/>
        <v>4286192.1059380937</v>
      </c>
      <c r="U37" s="120">
        <f t="shared" si="7"/>
        <v>4136589.0817528116</v>
      </c>
      <c r="V37" s="120">
        <f t="shared" si="7"/>
        <v>3986986.0575675294</v>
      </c>
      <c r="W37" s="120">
        <f t="shared" si="7"/>
        <v>3837383.0333822477</v>
      </c>
      <c r="X37" s="120">
        <f t="shared" si="7"/>
        <v>3687780.009196966</v>
      </c>
      <c r="Y37" s="120">
        <f t="shared" si="7"/>
        <v>3550396.451745233</v>
      </c>
      <c r="Z37" s="120">
        <f t="shared" si="7"/>
        <v>3437446.3506352147</v>
      </c>
      <c r="AA37" s="120">
        <f t="shared" si="7"/>
        <v>3336715.7162587452</v>
      </c>
      <c r="AB37" s="120">
        <f t="shared" si="7"/>
        <v>3235985.0818822761</v>
      </c>
      <c r="AC37" s="120">
        <f t="shared" si="7"/>
        <v>3135254.4475058075</v>
      </c>
      <c r="AD37" s="120">
        <f t="shared" si="7"/>
        <v>3034523.8131293384</v>
      </c>
      <c r="AE37" s="120">
        <f t="shared" si="7"/>
        <v>2933793.1787528694</v>
      </c>
      <c r="AF37" s="120">
        <f t="shared" si="7"/>
        <v>2833062.5443764008</v>
      </c>
      <c r="AG37" s="120">
        <f t="shared" si="7"/>
        <v>2732331.9099999322</v>
      </c>
      <c r="AH37" s="120">
        <f t="shared" si="7"/>
        <v>2631601.2756234631</v>
      </c>
      <c r="AI37" s="120">
        <f t="shared" si="7"/>
        <v>2530870.641246994</v>
      </c>
      <c r="AJ37" s="120">
        <f t="shared" si="7"/>
        <v>2430140.0068705254</v>
      </c>
      <c r="AK37" s="120">
        <f t="shared" si="7"/>
        <v>2329409.3724940564</v>
      </c>
      <c r="AL37" s="120">
        <f t="shared" si="7"/>
        <v>2228678.7381175878</v>
      </c>
      <c r="AM37" s="120">
        <f t="shared" si="7"/>
        <v>2127948.1037411187</v>
      </c>
      <c r="AN37" s="120">
        <f t="shared" si="7"/>
        <v>2027217.4693646501</v>
      </c>
      <c r="AO37" s="120">
        <f t="shared" si="7"/>
        <v>1926486.834988181</v>
      </c>
      <c r="AP37" s="120">
        <f t="shared" si="7"/>
        <v>1825756.2006117124</v>
      </c>
      <c r="AQ37" s="120">
        <f t="shared" si="7"/>
        <v>1725025.5662352436</v>
      </c>
      <c r="AR37" s="120">
        <f t="shared" si="7"/>
        <v>1624294.9318587747</v>
      </c>
      <c r="AS37" s="120">
        <f t="shared" si="7"/>
        <v>1394615.5454687807</v>
      </c>
      <c r="AT37" s="120">
        <f t="shared" si="7"/>
        <v>91659.438287399345</v>
      </c>
      <c r="AU37" s="126">
        <f t="shared" si="3"/>
        <v>155751474.65036416</v>
      </c>
    </row>
    <row r="38" spans="1:47" x14ac:dyDescent="0.2">
      <c r="A38" s="432">
        <f>A37+1</f>
        <v>8</v>
      </c>
      <c r="B38" s="21" t="s">
        <v>60</v>
      </c>
      <c r="C38" s="21"/>
      <c r="D38" s="445"/>
      <c r="E38" s="59">
        <f t="shared" ref="E38" si="8">E37/(1-$F16)-E37</f>
        <v>322019.02429738268</v>
      </c>
      <c r="F38" s="121">
        <f>F37/(1-$G16)-F37</f>
        <v>307892.46174453385</v>
      </c>
      <c r="G38" s="121">
        <f>G37/(1-$G16)-G37</f>
        <v>299472.93719618488</v>
      </c>
      <c r="H38" s="619">
        <f>H37/(1-$H16)-H37</f>
        <v>304784.15960341226</v>
      </c>
      <c r="I38" s="619">
        <f>I37/(1-$H16)-I37</f>
        <v>296522.93069712352</v>
      </c>
      <c r="J38" s="619">
        <f t="shared" ref="J38:AR38" si="9">J37/(1-$H16)-J37</f>
        <v>288505.05503834505</v>
      </c>
      <c r="K38" s="619">
        <f t="shared" si="9"/>
        <v>280712.25385175832</v>
      </c>
      <c r="L38" s="619">
        <f t="shared" si="9"/>
        <v>273127.61244975682</v>
      </c>
      <c r="M38" s="619">
        <f t="shared" si="9"/>
        <v>265659.19132066984</v>
      </c>
      <c r="N38" s="619">
        <f t="shared" si="9"/>
        <v>258207.41206164844</v>
      </c>
      <c r="O38" s="619">
        <f t="shared" si="9"/>
        <v>250755.63280262612</v>
      </c>
      <c r="P38" s="619">
        <f t="shared" si="9"/>
        <v>243303.85354360472</v>
      </c>
      <c r="Q38" s="619">
        <f t="shared" si="9"/>
        <v>235852.0742845824</v>
      </c>
      <c r="R38" s="619">
        <f t="shared" si="9"/>
        <v>228400.295025561</v>
      </c>
      <c r="S38" s="619">
        <f t="shared" si="9"/>
        <v>220948.51576653868</v>
      </c>
      <c r="T38" s="619">
        <f t="shared" si="9"/>
        <v>213496.73650751729</v>
      </c>
      <c r="U38" s="619">
        <f t="shared" si="9"/>
        <v>206044.95724849496</v>
      </c>
      <c r="V38" s="619">
        <f t="shared" si="9"/>
        <v>198593.1779894731</v>
      </c>
      <c r="W38" s="619">
        <f t="shared" si="9"/>
        <v>191141.39873045124</v>
      </c>
      <c r="X38" s="619">
        <f t="shared" si="9"/>
        <v>183689.61947142938</v>
      </c>
      <c r="Y38" s="619">
        <f t="shared" si="9"/>
        <v>176846.49614872457</v>
      </c>
      <c r="Z38" s="619">
        <f t="shared" si="9"/>
        <v>171220.41188111203</v>
      </c>
      <c r="AA38" s="619">
        <f t="shared" si="9"/>
        <v>166202.983549817</v>
      </c>
      <c r="AB38" s="619">
        <f t="shared" si="9"/>
        <v>161185.55521852151</v>
      </c>
      <c r="AC38" s="619">
        <f t="shared" si="9"/>
        <v>156168.12688722648</v>
      </c>
      <c r="AD38" s="619">
        <f t="shared" si="9"/>
        <v>151150.69855593098</v>
      </c>
      <c r="AE38" s="619">
        <f t="shared" si="9"/>
        <v>146133.27022463595</v>
      </c>
      <c r="AF38" s="619">
        <f t="shared" si="9"/>
        <v>141115.84189334046</v>
      </c>
      <c r="AG38" s="619">
        <f t="shared" si="9"/>
        <v>136098.41356204497</v>
      </c>
      <c r="AH38" s="619">
        <f t="shared" si="9"/>
        <v>131080.98523074994</v>
      </c>
      <c r="AI38" s="619">
        <f t="shared" si="9"/>
        <v>126063.55689945444</v>
      </c>
      <c r="AJ38" s="619">
        <f t="shared" si="9"/>
        <v>121046.12856815942</v>
      </c>
      <c r="AK38" s="619">
        <f t="shared" si="9"/>
        <v>116028.70023686392</v>
      </c>
      <c r="AL38" s="619">
        <f t="shared" si="9"/>
        <v>111011.27190556889</v>
      </c>
      <c r="AM38" s="619">
        <f t="shared" si="9"/>
        <v>105993.8435742734</v>
      </c>
      <c r="AN38" s="619">
        <f t="shared" si="9"/>
        <v>100976.41524297837</v>
      </c>
      <c r="AO38" s="619">
        <f t="shared" si="9"/>
        <v>95958.986911682878</v>
      </c>
      <c r="AP38" s="619">
        <f t="shared" si="9"/>
        <v>90941.558580387617</v>
      </c>
      <c r="AQ38" s="619">
        <f t="shared" si="9"/>
        <v>85924.130249092355</v>
      </c>
      <c r="AR38" s="619">
        <f t="shared" si="9"/>
        <v>80906.701917797094</v>
      </c>
      <c r="AS38" s="121">
        <f t="shared" ref="AS38:AT38" si="10">AS37/(1-$G16)-AS37</f>
        <v>66398.71510007279</v>
      </c>
      <c r="AT38" s="121">
        <f t="shared" si="10"/>
        <v>4363.9761143147043</v>
      </c>
      <c r="AU38" s="126">
        <f t="shared" si="3"/>
        <v>7711946.0680838441</v>
      </c>
    </row>
    <row r="39" spans="1:47" x14ac:dyDescent="0.2">
      <c r="A39" s="432">
        <f>A38+1</f>
        <v>9</v>
      </c>
      <c r="B39" s="21"/>
      <c r="C39" s="21" t="s">
        <v>61</v>
      </c>
      <c r="D39" s="445"/>
      <c r="E39" s="60">
        <f>SUM(E37:E38)</f>
        <v>7083256.8804140398</v>
      </c>
      <c r="F39" s="120">
        <f>SUM(F37:F38)</f>
        <v>6774758.768335294</v>
      </c>
      <c r="G39" s="120">
        <f t="shared" ref="G39:AT39" si="11">SUM(G37:G38)</f>
        <v>6589498.4750629179</v>
      </c>
      <c r="H39" s="120">
        <f t="shared" si="11"/>
        <v>6423676.0933971079</v>
      </c>
      <c r="I39" s="120">
        <f t="shared" si="11"/>
        <v>6249561.2092887545</v>
      </c>
      <c r="J39" s="120">
        <f t="shared" si="11"/>
        <v>6080575.2742711781</v>
      </c>
      <c r="K39" s="120">
        <f t="shared" si="11"/>
        <v>5916333.0421682745</v>
      </c>
      <c r="L39" s="120">
        <f t="shared" si="11"/>
        <v>5756478.0165185807</v>
      </c>
      <c r="M39" s="120">
        <f t="shared" si="11"/>
        <v>5599072.4665557379</v>
      </c>
      <c r="N39" s="120">
        <f t="shared" si="11"/>
        <v>5442017.6631114343</v>
      </c>
      <c r="O39" s="120">
        <f t="shared" si="11"/>
        <v>5284962.8596671298</v>
      </c>
      <c r="P39" s="120">
        <f t="shared" si="11"/>
        <v>5127908.0562228253</v>
      </c>
      <c r="Q39" s="120">
        <f t="shared" si="11"/>
        <v>4970853.2527785217</v>
      </c>
      <c r="R39" s="120">
        <f t="shared" si="11"/>
        <v>4813798.4493342191</v>
      </c>
      <c r="S39" s="120">
        <f t="shared" si="11"/>
        <v>4656743.6458899146</v>
      </c>
      <c r="T39" s="120">
        <f t="shared" si="11"/>
        <v>4499688.842445611</v>
      </c>
      <c r="U39" s="120">
        <f t="shared" si="11"/>
        <v>4342634.0390013065</v>
      </c>
      <c r="V39" s="120">
        <f t="shared" si="11"/>
        <v>4185579.2355570025</v>
      </c>
      <c r="W39" s="120">
        <f t="shared" si="11"/>
        <v>4028524.4321126989</v>
      </c>
      <c r="X39" s="120">
        <f t="shared" si="11"/>
        <v>3871469.6286683953</v>
      </c>
      <c r="Y39" s="120">
        <f t="shared" si="11"/>
        <v>3727242.9478939576</v>
      </c>
      <c r="Z39" s="120">
        <f t="shared" si="11"/>
        <v>3608666.7625163267</v>
      </c>
      <c r="AA39" s="120">
        <f t="shared" si="11"/>
        <v>3502918.6998085622</v>
      </c>
      <c r="AB39" s="120">
        <f t="shared" si="11"/>
        <v>3397170.6371007976</v>
      </c>
      <c r="AC39" s="120">
        <f t="shared" si="11"/>
        <v>3291422.574393034</v>
      </c>
      <c r="AD39" s="120">
        <f t="shared" si="11"/>
        <v>3185674.5116852694</v>
      </c>
      <c r="AE39" s="120">
        <f t="shared" si="11"/>
        <v>3079926.4489775053</v>
      </c>
      <c r="AF39" s="120">
        <f t="shared" si="11"/>
        <v>2974178.3862697412</v>
      </c>
      <c r="AG39" s="120">
        <f t="shared" si="11"/>
        <v>2868430.3235619771</v>
      </c>
      <c r="AH39" s="120">
        <f t="shared" si="11"/>
        <v>2762682.260854213</v>
      </c>
      <c r="AI39" s="120">
        <f t="shared" si="11"/>
        <v>2656934.1981464485</v>
      </c>
      <c r="AJ39" s="120">
        <f t="shared" si="11"/>
        <v>2551186.1354386848</v>
      </c>
      <c r="AK39" s="120">
        <f t="shared" si="11"/>
        <v>2445438.0727309203</v>
      </c>
      <c r="AL39" s="120">
        <f t="shared" si="11"/>
        <v>2339690.0100231566</v>
      </c>
      <c r="AM39" s="120">
        <f t="shared" si="11"/>
        <v>2233941.9473153921</v>
      </c>
      <c r="AN39" s="120">
        <f t="shared" si="11"/>
        <v>2128193.8846076285</v>
      </c>
      <c r="AO39" s="120">
        <f t="shared" si="11"/>
        <v>2022445.8218998639</v>
      </c>
      <c r="AP39" s="120">
        <f t="shared" si="11"/>
        <v>1916697.7591921</v>
      </c>
      <c r="AQ39" s="120">
        <f t="shared" si="11"/>
        <v>1810949.6964843359</v>
      </c>
      <c r="AR39" s="120">
        <f t="shared" si="11"/>
        <v>1705201.6337765718</v>
      </c>
      <c r="AS39" s="120">
        <f t="shared" si="11"/>
        <v>1461014.2605688535</v>
      </c>
      <c r="AT39" s="120">
        <f t="shared" si="11"/>
        <v>96023.41440171405</v>
      </c>
      <c r="AU39" s="126">
        <f t="shared" si="3"/>
        <v>163463420.71844798</v>
      </c>
    </row>
    <row r="40" spans="1:47" x14ac:dyDescent="0.2">
      <c r="A40" s="432">
        <f t="shared" ref="A40:A66" si="12">A39+1</f>
        <v>10</v>
      </c>
      <c r="B40" s="21"/>
      <c r="C40" s="21"/>
      <c r="D40" s="445"/>
      <c r="E40" s="6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6">
        <f t="shared" si="3"/>
        <v>0</v>
      </c>
    </row>
    <row r="41" spans="1:47" x14ac:dyDescent="0.2">
      <c r="A41" s="432">
        <f t="shared" si="12"/>
        <v>11</v>
      </c>
      <c r="B41" s="21"/>
      <c r="C41" s="21"/>
      <c r="D41" s="445"/>
      <c r="E41" s="57"/>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6">
        <f t="shared" si="3"/>
        <v>0</v>
      </c>
    </row>
    <row r="42" spans="1:47" x14ac:dyDescent="0.2">
      <c r="A42" s="432">
        <f t="shared" si="12"/>
        <v>12</v>
      </c>
      <c r="B42" s="21" t="s">
        <v>62</v>
      </c>
      <c r="C42" s="21"/>
      <c r="D42" s="445"/>
      <c r="E42" s="59">
        <f>E39</f>
        <v>7083256.8804140398</v>
      </c>
      <c r="F42" s="121">
        <f>F39</f>
        <v>6774758.768335294</v>
      </c>
      <c r="G42" s="121">
        <f t="shared" ref="G42:AT42" si="13">G39</f>
        <v>6589498.4750629179</v>
      </c>
      <c r="H42" s="121">
        <f t="shared" si="13"/>
        <v>6423676.0933971079</v>
      </c>
      <c r="I42" s="121">
        <f t="shared" si="13"/>
        <v>6249561.2092887545</v>
      </c>
      <c r="J42" s="121">
        <f t="shared" si="13"/>
        <v>6080575.2742711781</v>
      </c>
      <c r="K42" s="121">
        <f t="shared" si="13"/>
        <v>5916333.0421682745</v>
      </c>
      <c r="L42" s="121">
        <f t="shared" si="13"/>
        <v>5756478.0165185807</v>
      </c>
      <c r="M42" s="121">
        <f t="shared" si="13"/>
        <v>5599072.4665557379</v>
      </c>
      <c r="N42" s="121">
        <f t="shared" si="13"/>
        <v>5442017.6631114343</v>
      </c>
      <c r="O42" s="121">
        <f t="shared" si="13"/>
        <v>5284962.8596671298</v>
      </c>
      <c r="P42" s="121">
        <f t="shared" si="13"/>
        <v>5127908.0562228253</v>
      </c>
      <c r="Q42" s="121">
        <f t="shared" si="13"/>
        <v>4970853.2527785217</v>
      </c>
      <c r="R42" s="121">
        <f t="shared" si="13"/>
        <v>4813798.4493342191</v>
      </c>
      <c r="S42" s="121">
        <f t="shared" si="13"/>
        <v>4656743.6458899146</v>
      </c>
      <c r="T42" s="121">
        <f t="shared" si="13"/>
        <v>4499688.842445611</v>
      </c>
      <c r="U42" s="121">
        <f t="shared" si="13"/>
        <v>4342634.0390013065</v>
      </c>
      <c r="V42" s="121">
        <f t="shared" si="13"/>
        <v>4185579.2355570025</v>
      </c>
      <c r="W42" s="121">
        <f t="shared" si="13"/>
        <v>4028524.4321126989</v>
      </c>
      <c r="X42" s="121">
        <f t="shared" si="13"/>
        <v>3871469.6286683953</v>
      </c>
      <c r="Y42" s="121">
        <f t="shared" si="13"/>
        <v>3727242.9478939576</v>
      </c>
      <c r="Z42" s="121">
        <f t="shared" si="13"/>
        <v>3608666.7625163267</v>
      </c>
      <c r="AA42" s="121">
        <f t="shared" si="13"/>
        <v>3502918.6998085622</v>
      </c>
      <c r="AB42" s="121">
        <f t="shared" si="13"/>
        <v>3397170.6371007976</v>
      </c>
      <c r="AC42" s="121">
        <f t="shared" si="13"/>
        <v>3291422.574393034</v>
      </c>
      <c r="AD42" s="121">
        <f t="shared" si="13"/>
        <v>3185674.5116852694</v>
      </c>
      <c r="AE42" s="121">
        <f t="shared" si="13"/>
        <v>3079926.4489775053</v>
      </c>
      <c r="AF42" s="121">
        <f t="shared" si="13"/>
        <v>2974178.3862697412</v>
      </c>
      <c r="AG42" s="121">
        <f t="shared" si="13"/>
        <v>2868430.3235619771</v>
      </c>
      <c r="AH42" s="121">
        <f t="shared" si="13"/>
        <v>2762682.260854213</v>
      </c>
      <c r="AI42" s="121">
        <f t="shared" si="13"/>
        <v>2656934.1981464485</v>
      </c>
      <c r="AJ42" s="121">
        <f t="shared" si="13"/>
        <v>2551186.1354386848</v>
      </c>
      <c r="AK42" s="121">
        <f t="shared" si="13"/>
        <v>2445438.0727309203</v>
      </c>
      <c r="AL42" s="121">
        <f t="shared" si="13"/>
        <v>2339690.0100231566</v>
      </c>
      <c r="AM42" s="121">
        <f t="shared" si="13"/>
        <v>2233941.9473153921</v>
      </c>
      <c r="AN42" s="121">
        <f t="shared" si="13"/>
        <v>2128193.8846076285</v>
      </c>
      <c r="AO42" s="121">
        <f t="shared" si="13"/>
        <v>2022445.8218998639</v>
      </c>
      <c r="AP42" s="121">
        <f t="shared" si="13"/>
        <v>1916697.7591921</v>
      </c>
      <c r="AQ42" s="121">
        <f t="shared" si="13"/>
        <v>1810949.6964843359</v>
      </c>
      <c r="AR42" s="121">
        <f t="shared" si="13"/>
        <v>1705201.6337765718</v>
      </c>
      <c r="AS42" s="121">
        <f t="shared" si="13"/>
        <v>1461014.2605688535</v>
      </c>
      <c r="AT42" s="121">
        <f t="shared" si="13"/>
        <v>96023.41440171405</v>
      </c>
      <c r="AU42" s="126">
        <f t="shared" si="3"/>
        <v>163463420.71844798</v>
      </c>
    </row>
    <row r="43" spans="1:47" x14ac:dyDescent="0.2">
      <c r="A43" s="432">
        <f t="shared" si="12"/>
        <v>13</v>
      </c>
      <c r="B43" s="21"/>
      <c r="C43" s="21"/>
      <c r="D43" s="445"/>
      <c r="E43" s="107"/>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row>
    <row r="44" spans="1:47" outlineLevel="1" x14ac:dyDescent="0.2">
      <c r="A44" s="432">
        <f t="shared" si="12"/>
        <v>14</v>
      </c>
      <c r="B44" s="21"/>
      <c r="C44" s="21"/>
      <c r="D44" s="445"/>
      <c r="E44" s="62"/>
      <c r="F44" s="445"/>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row>
    <row r="45" spans="1:47" outlineLevel="1" x14ac:dyDescent="0.2">
      <c r="A45" s="432">
        <f t="shared" si="12"/>
        <v>15</v>
      </c>
      <c r="B45" s="21" t="s">
        <v>63</v>
      </c>
      <c r="C45" s="445"/>
      <c r="D45" s="445"/>
      <c r="E45" s="64">
        <f>+E42/$F$22</f>
        <v>0.11680911008804319</v>
      </c>
      <c r="F45" s="122">
        <f t="shared" ref="F45:AT45" si="14">+F42/$F$22</f>
        <v>0.11172170601049218</v>
      </c>
      <c r="G45" s="122">
        <f>+G42/$F$22</f>
        <v>0.10866660150741629</v>
      </c>
      <c r="H45" s="122">
        <f t="shared" si="14"/>
        <v>0.10593204519213963</v>
      </c>
      <c r="I45" s="122">
        <f t="shared" si="14"/>
        <v>0.10306073824829338</v>
      </c>
      <c r="J45" s="122">
        <f t="shared" si="14"/>
        <v>0.10027401216733199</v>
      </c>
      <c r="K45" s="122">
        <f t="shared" si="14"/>
        <v>9.7565513902379539E-2</v>
      </c>
      <c r="L45" s="122">
        <f t="shared" si="14"/>
        <v>9.4929364514535985E-2</v>
      </c>
      <c r="M45" s="122">
        <f t="shared" si="14"/>
        <v>9.2333609126231619E-2</v>
      </c>
      <c r="N45" s="122">
        <f t="shared" si="14"/>
        <v>8.9743637855232164E-2</v>
      </c>
      <c r="O45" s="122">
        <f t="shared" si="14"/>
        <v>8.7153666584232681E-2</v>
      </c>
      <c r="P45" s="122">
        <f t="shared" si="14"/>
        <v>8.4563695313233211E-2</v>
      </c>
      <c r="Q45" s="122">
        <f t="shared" si="14"/>
        <v>8.1973724042233742E-2</v>
      </c>
      <c r="R45" s="122">
        <f t="shared" si="14"/>
        <v>7.9383752771234301E-2</v>
      </c>
      <c r="S45" s="122">
        <f t="shared" si="14"/>
        <v>7.6793781500234817E-2</v>
      </c>
      <c r="T45" s="122">
        <f t="shared" si="14"/>
        <v>7.4203810229235348E-2</v>
      </c>
      <c r="U45" s="122">
        <f t="shared" si="14"/>
        <v>7.1613838958235879E-2</v>
      </c>
      <c r="V45" s="122">
        <f t="shared" si="14"/>
        <v>6.9023867687236409E-2</v>
      </c>
      <c r="W45" s="122">
        <f t="shared" si="14"/>
        <v>6.643389641623694E-2</v>
      </c>
      <c r="X45" s="122">
        <f t="shared" si="14"/>
        <v>6.3843925145237485E-2</v>
      </c>
      <c r="Y45" s="122">
        <f t="shared" si="14"/>
        <v>6.1465500853045273E-2</v>
      </c>
      <c r="Z45" s="122">
        <f t="shared" si="14"/>
        <v>5.9510075696872437E-2</v>
      </c>
      <c r="AA45" s="122">
        <f t="shared" si="14"/>
        <v>5.7766197519506873E-2</v>
      </c>
      <c r="AB45" s="122">
        <f t="shared" si="14"/>
        <v>5.6022319342141302E-2</v>
      </c>
      <c r="AC45" s="122">
        <f t="shared" si="14"/>
        <v>5.4278441164775745E-2</v>
      </c>
      <c r="AD45" s="122">
        <f t="shared" si="14"/>
        <v>5.2534562987410174E-2</v>
      </c>
      <c r="AE45" s="122">
        <f t="shared" si="14"/>
        <v>5.0790684810044617E-2</v>
      </c>
      <c r="AF45" s="122">
        <f t="shared" si="14"/>
        <v>4.9046806632679053E-2</v>
      </c>
      <c r="AG45" s="122">
        <f t="shared" si="14"/>
        <v>4.7302928455313489E-2</v>
      </c>
      <c r="AH45" s="122">
        <f t="shared" si="14"/>
        <v>4.5559050277947932E-2</v>
      </c>
      <c r="AI45" s="122">
        <f t="shared" si="14"/>
        <v>4.3815172100582361E-2</v>
      </c>
      <c r="AJ45" s="122">
        <f t="shared" si="14"/>
        <v>4.2071293923216804E-2</v>
      </c>
      <c r="AK45" s="122">
        <f t="shared" si="14"/>
        <v>4.0327415745851233E-2</v>
      </c>
      <c r="AL45" s="122">
        <f t="shared" si="14"/>
        <v>3.8583537568485683E-2</v>
      </c>
      <c r="AM45" s="122">
        <f t="shared" si="14"/>
        <v>3.6839659391120112E-2</v>
      </c>
      <c r="AN45" s="122">
        <f t="shared" si="14"/>
        <v>3.5095781213754555E-2</v>
      </c>
      <c r="AO45" s="122">
        <f t="shared" si="14"/>
        <v>3.3351903036388991E-2</v>
      </c>
      <c r="AP45" s="122">
        <f t="shared" si="14"/>
        <v>3.1608024859023427E-2</v>
      </c>
      <c r="AQ45" s="122">
        <f t="shared" si="14"/>
        <v>2.9864146681657867E-2</v>
      </c>
      <c r="AR45" s="122">
        <f t="shared" si="14"/>
        <v>2.8120268504292306E-2</v>
      </c>
      <c r="AS45" s="122">
        <f t="shared" si="14"/>
        <v>2.4093404839641026E-2</v>
      </c>
      <c r="AT45" s="122">
        <f t="shared" si="14"/>
        <v>1.5835102091093403E-3</v>
      </c>
    </row>
    <row r="46" spans="1:47" outlineLevel="1" x14ac:dyDescent="0.2">
      <c r="A46" s="432">
        <f t="shared" si="12"/>
        <v>16</v>
      </c>
      <c r="B46" s="21"/>
      <c r="C46" s="21"/>
      <c r="D46" s="445"/>
      <c r="E46" s="62"/>
      <c r="F46" s="445"/>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row>
    <row r="47" spans="1:47" outlineLevel="1" x14ac:dyDescent="0.2">
      <c r="A47" s="432">
        <f t="shared" si="12"/>
        <v>17</v>
      </c>
      <c r="B47" s="21"/>
      <c r="C47" s="21"/>
      <c r="D47" s="445"/>
      <c r="E47" s="62">
        <f>+E27/2</f>
        <v>741135.08819157048</v>
      </c>
      <c r="F47" s="120"/>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row>
    <row r="48" spans="1:47" outlineLevel="1" x14ac:dyDescent="0.2">
      <c r="A48" s="432">
        <f t="shared" si="12"/>
        <v>18</v>
      </c>
      <c r="B48" s="21"/>
      <c r="C48" s="21"/>
      <c r="D48" s="445"/>
      <c r="E48" s="62">
        <f>+E60/2</f>
        <v>83130.028444770142</v>
      </c>
      <c r="F48" s="120"/>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row>
    <row r="49" spans="1:47" x14ac:dyDescent="0.2">
      <c r="A49" s="432">
        <f t="shared" si="12"/>
        <v>19</v>
      </c>
      <c r="B49" s="65" t="s">
        <v>64</v>
      </c>
      <c r="C49" s="21"/>
      <c r="D49" s="445"/>
      <c r="E49" s="60">
        <f>F22-E27/2-E60/2</f>
        <v>59815327.763363659</v>
      </c>
      <c r="F49" s="138">
        <f>$F$22-(SUM($E$27:E27)+F27/2)-(SUM($E$60:E60)+F60/2)</f>
        <v>57945920.845005214</v>
      </c>
      <c r="G49" s="138">
        <f>$F$22-(SUM($E$27:F27)+G27/2)-(SUM($E$60:F60)+G60/2)</f>
        <v>55890147.233869031</v>
      </c>
      <c r="H49" s="138">
        <f>$F$22-(SUM($E$27:G27)+H27/2)-(SUM($E$60:G60)+H60/2)</f>
        <v>53900719.401302852</v>
      </c>
      <c r="I49" s="138">
        <f>$F$22-(SUM($E$27:H27)+I27/2)-(SUM($E$60:H60)+I60/2)</f>
        <v>51972670.964649811</v>
      </c>
      <c r="J49" s="138">
        <f>$F$22-(SUM($E$27:I27)+J27/2)-(SUM($E$60:I60)+J60/2)</f>
        <v>50101417.570688181</v>
      </c>
      <c r="K49" s="138">
        <f>$F$22-(SUM($E$27:J27)+K27/2)-(SUM($E$60:J60)+K60/2)</f>
        <v>48282693.224058844</v>
      </c>
      <c r="L49" s="138">
        <f>$F$22-(SUM($E$27:K27)+L27/2)-(SUM($E$60:K60)+L60/2)</f>
        <v>46512550.287265323</v>
      </c>
      <c r="M49" s="138">
        <f>$F$22-(SUM($E$27:L27)+M27/2)-(SUM($E$60:L60)+M60/2)</f>
        <v>44769531.440367028</v>
      </c>
      <c r="N49" s="138">
        <f>$F$22-(SUM($E$27:M27)+N27/2)-(SUM($E$60:M60)+N60/2)</f>
        <v>43030396.559392698</v>
      </c>
      <c r="O49" s="138">
        <f>$F$22-(SUM($E$27:N27)+O27/2)-(SUM($E$60:N60)+O60/2)</f>
        <v>41291261.678418361</v>
      </c>
      <c r="P49" s="138">
        <f>$F$22-(SUM($E$27:O27)+P27/2)-(SUM($E$60:O60)+P60/2)</f>
        <v>39552126.797444023</v>
      </c>
      <c r="Q49" s="138">
        <f>$F$22-(SUM($E$27:P27)+Q27/2)-(SUM($E$60:P60)+Q60/2)</f>
        <v>37812991.916469693</v>
      </c>
      <c r="R49" s="138">
        <f>$F$22-(SUM($E$27:Q27)+R27/2)-(SUM($E$60:Q60)+R60/2)</f>
        <v>36073857.035495363</v>
      </c>
      <c r="S49" s="138">
        <f>$F$22-(SUM($E$27:R27)+S27/2)-(SUM($E$60:R60)+S60/2)</f>
        <v>34334722.154521033</v>
      </c>
      <c r="T49" s="138">
        <f>$F$22-(SUM($E$27:S27)+T27/2)-(SUM($E$60:S60)+T60/2)</f>
        <v>32595587.273546696</v>
      </c>
      <c r="U49" s="138">
        <f>$F$22-(SUM($E$27:T27)+U27/2)-(SUM($E$60:T60)+U60/2)</f>
        <v>30856452.392572358</v>
      </c>
      <c r="V49" s="138">
        <f>$F$22-(SUM($E$27:U27)+V27/2)-(SUM($E$60:U60)+V60/2)</f>
        <v>29117317.511598028</v>
      </c>
      <c r="W49" s="138">
        <f>$F$22-(SUM($E$27:V27)+W27/2)-(SUM($E$60:V60)+W60/2)</f>
        <v>27378182.630623695</v>
      </c>
      <c r="X49" s="138">
        <f>$F$22-(SUM($E$27:W27)+X27/2)-(SUM($E$60:W60)+X60/2)</f>
        <v>25639047.749649361</v>
      </c>
      <c r="Y49" s="138">
        <f>$F$22-(SUM($E$27:X27)+Y27/2)-(SUM($E$60:X60)+Y60/2)</f>
        <v>24041964.146976069</v>
      </c>
      <c r="Z49" s="138">
        <f>$F$22-(SUM($E$27:Y27)+Z27/2)-(SUM($E$60:Y60)+Z60/2)</f>
        <v>22728919.429332346</v>
      </c>
      <c r="AA49" s="138">
        <f>$F$22-(SUM($E$27:Z27)+AA27/2)-(SUM($E$60:Z60)+AA60/2)</f>
        <v>21557925.989989661</v>
      </c>
      <c r="AB49" s="138">
        <f>$F$22-(SUM($E$27:AA27)+AB27/2)-(SUM($E$60:AA60)+AB60/2)</f>
        <v>20386932.550646979</v>
      </c>
      <c r="AC49" s="138">
        <f>$F$22-(SUM($E$27:AB27)+AC27/2)-(SUM($E$60:AB60)+AC60/2)</f>
        <v>19215939.111304302</v>
      </c>
      <c r="AD49" s="138">
        <f>$F$22-(SUM($E$27:AC27)+AD27/2)-(SUM($E$60:AC60)+AD60/2)</f>
        <v>18044945.67196162</v>
      </c>
      <c r="AE49" s="138">
        <f>$F$22-(SUM($E$27:AD27)+AE27/2)-(SUM($E$60:AD60)+AE60/2)</f>
        <v>16873952.232618943</v>
      </c>
      <c r="AF49" s="138">
        <f>$F$22-(SUM($E$27:AE27)+AF27/2)-(SUM($E$60:AE60)+AF60/2)</f>
        <v>15702958.793276265</v>
      </c>
      <c r="AG49" s="138">
        <f>$F$22-(SUM($E$27:AF27)+AG27/2)-(SUM($E$60:AF60)+AG60/2)</f>
        <v>14531965.353933588</v>
      </c>
      <c r="AH49" s="138">
        <f>$F$22-(SUM($E$27:AG27)+AH27/2)-(SUM($E$60:AG60)+AH60/2)</f>
        <v>13360971.914590908</v>
      </c>
      <c r="AI49" s="138">
        <f>$F$22-(SUM($E$27:AH27)+AI27/2)-(SUM($E$60:AH60)+AI60/2)</f>
        <v>12189978.475248231</v>
      </c>
      <c r="AJ49" s="138">
        <f>$F$22-(SUM($E$27:AI27)+AJ27/2)-(SUM($E$60:AI60)+AJ60/2)</f>
        <v>11018985.035905553</v>
      </c>
      <c r="AK49" s="138">
        <f>$F$22-(SUM($E$27:AJ27)+AK27/2)-(SUM($E$60:AJ60)+AK60/2)</f>
        <v>9847991.5965628736</v>
      </c>
      <c r="AL49" s="138">
        <f>$F$22-(SUM($E$27:AK27)+AL27/2)-(SUM($E$60:AK60)+AL60/2)</f>
        <v>8676998.157220196</v>
      </c>
      <c r="AM49" s="138">
        <f>$F$22-(SUM($E$27:AL27)+AM27/2)-(SUM($E$60:AL60)+AM60/2)</f>
        <v>7506004.7178775184</v>
      </c>
      <c r="AN49" s="138">
        <f>$F$22-(SUM($E$27:AM27)+AN27/2)-(SUM($E$60:AM60)+AN60/2)</f>
        <v>6335011.2785348408</v>
      </c>
      <c r="AO49" s="138">
        <f>$F$22-(SUM($E$27:AN27)+AO27/2)-(SUM($E$60:AN60)+AO60/2)</f>
        <v>5164017.8391921623</v>
      </c>
      <c r="AP49" s="138">
        <f>$F$22-(SUM($E$27:AO27)+AP27/2)-(SUM($E$60:AO60)+AP60/2)</f>
        <v>3993024.3998494847</v>
      </c>
      <c r="AQ49" s="138">
        <f>$F$22-(SUM($E$27:AP27)+AQ27/2)-(SUM($E$60:AP60)+AQ60/2)</f>
        <v>2822030.9605068062</v>
      </c>
      <c r="AR49" s="138">
        <f>$F$22-(SUM($E$27:AQ27)+AR27/2)-(SUM($E$60:AQ60)+AR60/2)</f>
        <v>1651037.5211641283</v>
      </c>
      <c r="AS49" s="138">
        <f>$F$22-(SUM($E$27:AR27)+AS27/2)-(SUM($E$60:AR60)+AS60/2)</f>
        <v>532770.40007144725</v>
      </c>
      <c r="AT49" s="138">
        <f>$F$22-(SUM($E$27:AR27)+AT27/2)-(SUM($E$60:AR60)+AT60/2)</f>
        <v>1065540.8014927893</v>
      </c>
      <c r="AU49" s="126">
        <f t="shared" ref="AU49:AU60" si="15">SUM(D49:AT49)</f>
        <v>1104122788.8085582</v>
      </c>
    </row>
    <row r="50" spans="1:47" x14ac:dyDescent="0.2">
      <c r="A50" s="432">
        <f t="shared" si="12"/>
        <v>20</v>
      </c>
      <c r="B50" s="21"/>
      <c r="C50" s="21"/>
      <c r="D50" s="445"/>
      <c r="E50" s="108"/>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6">
        <f t="shared" si="15"/>
        <v>0</v>
      </c>
    </row>
    <row r="51" spans="1:47" x14ac:dyDescent="0.2">
      <c r="A51" s="432">
        <f t="shared" si="12"/>
        <v>21</v>
      </c>
      <c r="B51" s="21"/>
      <c r="C51" s="21"/>
      <c r="D51" s="445"/>
      <c r="E51" s="57"/>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6">
        <f t="shared" si="15"/>
        <v>0</v>
      </c>
    </row>
    <row r="52" spans="1:47" x14ac:dyDescent="0.2">
      <c r="A52" s="432">
        <f t="shared" si="12"/>
        <v>22</v>
      </c>
      <c r="B52" s="21" t="s">
        <v>65</v>
      </c>
      <c r="C52" s="21"/>
      <c r="D52" s="445"/>
      <c r="E52" s="57">
        <f>(E34)/(1-$F$15)</f>
        <v>3490489.3796089427</v>
      </c>
      <c r="F52" s="123">
        <f>(F34)/(1-$G$15)</f>
        <v>3344726.5702939723</v>
      </c>
      <c r="G52" s="123">
        <f t="shared" ref="G52:AT52" si="16">(G34)/(1-$G$15)</f>
        <v>3226064.1947650984</v>
      </c>
      <c r="H52" s="123">
        <f t="shared" si="16"/>
        <v>3111231.3983536838</v>
      </c>
      <c r="I52" s="123">
        <f t="shared" si="16"/>
        <v>2999941.5139089008</v>
      </c>
      <c r="J52" s="123">
        <f t="shared" si="16"/>
        <v>2891929.9255992165</v>
      </c>
      <c r="K52" s="123">
        <f t="shared" si="16"/>
        <v>2786950.3936925107</v>
      </c>
      <c r="L52" s="123">
        <f t="shared" si="16"/>
        <v>2684775.0545560741</v>
      </c>
      <c r="M52" s="123">
        <f t="shared" si="16"/>
        <v>2584165.3590895399</v>
      </c>
      <c r="N52" s="123">
        <f t="shared" si="16"/>
        <v>2483779.8520358317</v>
      </c>
      <c r="O52" s="123">
        <f t="shared" si="16"/>
        <v>2383394.344982123</v>
      </c>
      <c r="P52" s="123">
        <f t="shared" si="16"/>
        <v>2283008.8379284143</v>
      </c>
      <c r="Q52" s="123">
        <f t="shared" si="16"/>
        <v>2182623.3308747062</v>
      </c>
      <c r="R52" s="123">
        <f t="shared" si="16"/>
        <v>2082237.8238209982</v>
      </c>
      <c r="S52" s="123">
        <f t="shared" si="16"/>
        <v>1981852.31676729</v>
      </c>
      <c r="T52" s="123">
        <f t="shared" si="16"/>
        <v>1881466.8097135813</v>
      </c>
      <c r="U52" s="123">
        <f t="shared" si="16"/>
        <v>1781081.3026598727</v>
      </c>
      <c r="V52" s="123">
        <f t="shared" si="16"/>
        <v>1680695.7956061647</v>
      </c>
      <c r="W52" s="123">
        <f t="shared" si="16"/>
        <v>1580310.2885524561</v>
      </c>
      <c r="X52" s="123">
        <f t="shared" si="16"/>
        <v>1479924.7814987479</v>
      </c>
      <c r="Y52" s="123">
        <f t="shared" si="16"/>
        <v>1387738.6900026693</v>
      </c>
      <c r="Z52" s="123">
        <f t="shared" si="16"/>
        <v>1311947.7544019683</v>
      </c>
      <c r="AA52" s="123">
        <f t="shared" si="16"/>
        <v>1244356.234358897</v>
      </c>
      <c r="AB52" s="123">
        <f t="shared" si="16"/>
        <v>1176764.7143158256</v>
      </c>
      <c r="AC52" s="123">
        <f t="shared" si="16"/>
        <v>1109173.1942727547</v>
      </c>
      <c r="AD52" s="123">
        <f t="shared" si="16"/>
        <v>1041581.6742296835</v>
      </c>
      <c r="AE52" s="123">
        <f t="shared" si="16"/>
        <v>973990.15418661246</v>
      </c>
      <c r="AF52" s="123">
        <f t="shared" si="16"/>
        <v>906398.63414354133</v>
      </c>
      <c r="AG52" s="123">
        <f t="shared" si="16"/>
        <v>838807.11410047032</v>
      </c>
      <c r="AH52" s="123">
        <f t="shared" si="16"/>
        <v>771215.5940573992</v>
      </c>
      <c r="AI52" s="123">
        <f t="shared" si="16"/>
        <v>703624.0740143283</v>
      </c>
      <c r="AJ52" s="123">
        <f t="shared" si="16"/>
        <v>636032.55397125718</v>
      </c>
      <c r="AK52" s="123">
        <f t="shared" si="16"/>
        <v>568441.03392818605</v>
      </c>
      <c r="AL52" s="123">
        <f t="shared" si="16"/>
        <v>500849.5138851151</v>
      </c>
      <c r="AM52" s="123">
        <f t="shared" si="16"/>
        <v>433257.99384204409</v>
      </c>
      <c r="AN52" s="123">
        <f t="shared" si="16"/>
        <v>365666.47379897308</v>
      </c>
      <c r="AO52" s="123">
        <f t="shared" si="16"/>
        <v>298074.95375590201</v>
      </c>
      <c r="AP52" s="123">
        <f t="shared" si="16"/>
        <v>230483.433712831</v>
      </c>
      <c r="AQ52" s="123">
        <f t="shared" si="16"/>
        <v>162891.91366975996</v>
      </c>
      <c r="AR52" s="123">
        <f t="shared" si="16"/>
        <v>95300.393626688921</v>
      </c>
      <c r="AS52" s="123">
        <f t="shared" si="16"/>
        <v>30752.316763617713</v>
      </c>
      <c r="AT52" s="123">
        <f t="shared" si="16"/>
        <v>61504.633605153409</v>
      </c>
      <c r="AU52" s="126">
        <f t="shared" si="15"/>
        <v>63769502.320951805</v>
      </c>
    </row>
    <row r="53" spans="1:47" x14ac:dyDescent="0.2">
      <c r="A53" s="432">
        <f t="shared" si="12"/>
        <v>23</v>
      </c>
      <c r="B53" s="21" t="s">
        <v>66</v>
      </c>
      <c r="C53" s="21"/>
      <c r="D53" s="445"/>
      <c r="E53" s="59">
        <f t="shared" ref="E53" si="17">E52*$F15</f>
        <v>733002.76971787796</v>
      </c>
      <c r="F53" s="121">
        <f>F52*$G15</f>
        <v>702392.57976173412</v>
      </c>
      <c r="G53" s="121">
        <f t="shared" ref="G53:AT53" si="18">G52*$G15</f>
        <v>677473.48090067063</v>
      </c>
      <c r="H53" s="121">
        <f t="shared" si="18"/>
        <v>653358.59365427354</v>
      </c>
      <c r="I53" s="121">
        <f t="shared" si="18"/>
        <v>629987.71792086912</v>
      </c>
      <c r="J53" s="121">
        <f t="shared" si="18"/>
        <v>607305.28437583544</v>
      </c>
      <c r="K53" s="121">
        <f t="shared" si="18"/>
        <v>585259.5826754272</v>
      </c>
      <c r="L53" s="121">
        <f t="shared" si="18"/>
        <v>563802.7614567756</v>
      </c>
      <c r="M53" s="121">
        <f t="shared" si="18"/>
        <v>542674.72540880332</v>
      </c>
      <c r="N53" s="121">
        <f t="shared" si="18"/>
        <v>521593.76892752462</v>
      </c>
      <c r="O53" s="121">
        <f t="shared" si="18"/>
        <v>500512.81244624581</v>
      </c>
      <c r="P53" s="121">
        <f t="shared" si="18"/>
        <v>479431.85596496699</v>
      </c>
      <c r="Q53" s="121">
        <f t="shared" si="18"/>
        <v>458350.89948368829</v>
      </c>
      <c r="R53" s="121">
        <f t="shared" si="18"/>
        <v>437269.94300240959</v>
      </c>
      <c r="S53" s="121">
        <f t="shared" si="18"/>
        <v>416188.98652113089</v>
      </c>
      <c r="T53" s="121">
        <f t="shared" si="18"/>
        <v>395108.03003985208</v>
      </c>
      <c r="U53" s="121">
        <f t="shared" si="18"/>
        <v>374027.07355857326</v>
      </c>
      <c r="V53" s="121">
        <f t="shared" si="18"/>
        <v>352946.11707729456</v>
      </c>
      <c r="W53" s="121">
        <f t="shared" si="18"/>
        <v>331865.16059601575</v>
      </c>
      <c r="X53" s="121">
        <f t="shared" si="18"/>
        <v>310784.20411473705</v>
      </c>
      <c r="Y53" s="121">
        <f t="shared" si="18"/>
        <v>291425.12490056054</v>
      </c>
      <c r="Z53" s="121">
        <f t="shared" si="18"/>
        <v>275509.02842441335</v>
      </c>
      <c r="AA53" s="121">
        <f t="shared" si="18"/>
        <v>261314.80921536835</v>
      </c>
      <c r="AB53" s="121">
        <f t="shared" si="18"/>
        <v>247120.59000632336</v>
      </c>
      <c r="AC53" s="121">
        <f t="shared" si="18"/>
        <v>232926.37079727848</v>
      </c>
      <c r="AD53" s="121">
        <f t="shared" si="18"/>
        <v>218732.15158823351</v>
      </c>
      <c r="AE53" s="121">
        <f t="shared" si="18"/>
        <v>204537.9323791886</v>
      </c>
      <c r="AF53" s="121">
        <f t="shared" si="18"/>
        <v>190343.71317014366</v>
      </c>
      <c r="AG53" s="121">
        <f t="shared" si="18"/>
        <v>176149.49396109875</v>
      </c>
      <c r="AH53" s="121">
        <f t="shared" si="18"/>
        <v>161955.27475205384</v>
      </c>
      <c r="AI53" s="121">
        <f t="shared" si="18"/>
        <v>147761.05554300893</v>
      </c>
      <c r="AJ53" s="121">
        <f t="shared" si="18"/>
        <v>133566.83633396399</v>
      </c>
      <c r="AK53" s="121">
        <f t="shared" si="18"/>
        <v>119372.61712491907</v>
      </c>
      <c r="AL53" s="121">
        <f t="shared" si="18"/>
        <v>105178.39791587417</v>
      </c>
      <c r="AM53" s="121">
        <f t="shared" si="18"/>
        <v>90984.178706829262</v>
      </c>
      <c r="AN53" s="121">
        <f t="shared" si="18"/>
        <v>76789.959497784337</v>
      </c>
      <c r="AO53" s="121">
        <f t="shared" si="18"/>
        <v>62595.74028873942</v>
      </c>
      <c r="AP53" s="121">
        <f t="shared" si="18"/>
        <v>48401.52107969451</v>
      </c>
      <c r="AQ53" s="121">
        <f t="shared" si="18"/>
        <v>34207.301870649593</v>
      </c>
      <c r="AR53" s="121">
        <f t="shared" si="18"/>
        <v>20013.082661604672</v>
      </c>
      <c r="AS53" s="121">
        <f t="shared" si="18"/>
        <v>6457.9865203597192</v>
      </c>
      <c r="AT53" s="121">
        <f t="shared" si="18"/>
        <v>12915.973057082216</v>
      </c>
      <c r="AU53" s="126">
        <f t="shared" si="15"/>
        <v>13391595.487399878</v>
      </c>
    </row>
    <row r="54" spans="1:47" x14ac:dyDescent="0.2">
      <c r="A54" s="432">
        <f t="shared" si="12"/>
        <v>24</v>
      </c>
      <c r="B54" s="21" t="s">
        <v>67</v>
      </c>
      <c r="C54" s="21"/>
      <c r="D54" s="445"/>
      <c r="E54" s="57">
        <f>E52-E53</f>
        <v>2757486.6098910645</v>
      </c>
      <c r="F54" s="123">
        <f t="shared" ref="F54:AT54" si="19">F52-F53</f>
        <v>2642333.990532238</v>
      </c>
      <c r="G54" s="123">
        <f t="shared" si="19"/>
        <v>2548590.713864428</v>
      </c>
      <c r="H54" s="123">
        <f t="shared" si="19"/>
        <v>2457872.8046994102</v>
      </c>
      <c r="I54" s="123">
        <f t="shared" si="19"/>
        <v>2369953.7959880317</v>
      </c>
      <c r="J54" s="123">
        <f t="shared" si="19"/>
        <v>2284624.6412233813</v>
      </c>
      <c r="K54" s="123">
        <f t="shared" si="19"/>
        <v>2201690.8110170835</v>
      </c>
      <c r="L54" s="123">
        <f t="shared" si="19"/>
        <v>2120972.2930992986</v>
      </c>
      <c r="M54" s="123">
        <f t="shared" si="19"/>
        <v>2041490.6336807366</v>
      </c>
      <c r="N54" s="123">
        <f t="shared" si="19"/>
        <v>1962186.0831083071</v>
      </c>
      <c r="O54" s="123">
        <f t="shared" si="19"/>
        <v>1882881.5325358771</v>
      </c>
      <c r="P54" s="123">
        <f t="shared" si="19"/>
        <v>1803576.9819634473</v>
      </c>
      <c r="Q54" s="123">
        <f t="shared" si="19"/>
        <v>1724272.431391018</v>
      </c>
      <c r="R54" s="123">
        <f t="shared" si="19"/>
        <v>1644967.8808185887</v>
      </c>
      <c r="S54" s="123">
        <f t="shared" si="19"/>
        <v>1565663.3302461591</v>
      </c>
      <c r="T54" s="123">
        <f t="shared" si="19"/>
        <v>1486358.7796737293</v>
      </c>
      <c r="U54" s="123">
        <f t="shared" si="19"/>
        <v>1407054.2291012993</v>
      </c>
      <c r="V54" s="123">
        <f t="shared" si="19"/>
        <v>1327749.6785288702</v>
      </c>
      <c r="W54" s="123">
        <f t="shared" si="19"/>
        <v>1248445.1279564402</v>
      </c>
      <c r="X54" s="123">
        <f t="shared" si="19"/>
        <v>1169140.5773840109</v>
      </c>
      <c r="Y54" s="123">
        <f t="shared" si="19"/>
        <v>1096313.5651021088</v>
      </c>
      <c r="Z54" s="123">
        <f t="shared" si="19"/>
        <v>1036438.7259775549</v>
      </c>
      <c r="AA54" s="123">
        <f t="shared" si="19"/>
        <v>983041.42514352861</v>
      </c>
      <c r="AB54" s="123">
        <f t="shared" si="19"/>
        <v>929644.12430950231</v>
      </c>
      <c r="AC54" s="123">
        <f t="shared" si="19"/>
        <v>876246.82347547624</v>
      </c>
      <c r="AD54" s="123">
        <f t="shared" si="19"/>
        <v>822849.52264144993</v>
      </c>
      <c r="AE54" s="123">
        <f t="shared" si="19"/>
        <v>769452.22180742386</v>
      </c>
      <c r="AF54" s="123">
        <f t="shared" si="19"/>
        <v>716054.92097339767</v>
      </c>
      <c r="AG54" s="123">
        <f t="shared" si="19"/>
        <v>662657.6201393716</v>
      </c>
      <c r="AH54" s="123">
        <f t="shared" si="19"/>
        <v>609260.31930534542</v>
      </c>
      <c r="AI54" s="123">
        <f t="shared" si="19"/>
        <v>555863.01847131934</v>
      </c>
      <c r="AJ54" s="123">
        <f t="shared" si="19"/>
        <v>502465.71763729316</v>
      </c>
      <c r="AK54" s="123">
        <f t="shared" si="19"/>
        <v>449068.41680326697</v>
      </c>
      <c r="AL54" s="123">
        <f t="shared" si="19"/>
        <v>395671.1159692409</v>
      </c>
      <c r="AM54" s="123">
        <f t="shared" si="19"/>
        <v>342273.81513521483</v>
      </c>
      <c r="AN54" s="123">
        <f t="shared" si="19"/>
        <v>288876.51430118876</v>
      </c>
      <c r="AO54" s="123">
        <f t="shared" si="19"/>
        <v>235479.2134671626</v>
      </c>
      <c r="AP54" s="123">
        <f t="shared" si="19"/>
        <v>182081.9126331365</v>
      </c>
      <c r="AQ54" s="123">
        <f t="shared" si="19"/>
        <v>128684.61179911037</v>
      </c>
      <c r="AR54" s="123">
        <f t="shared" si="19"/>
        <v>75287.310965084253</v>
      </c>
      <c r="AS54" s="123">
        <f t="shared" si="19"/>
        <v>24294.330243257995</v>
      </c>
      <c r="AT54" s="123">
        <f t="shared" si="19"/>
        <v>48588.660548071195</v>
      </c>
      <c r="AU54" s="126">
        <f t="shared" si="15"/>
        <v>50377906.833551936</v>
      </c>
    </row>
    <row r="55" spans="1:47" x14ac:dyDescent="0.2">
      <c r="A55" s="432">
        <f t="shared" si="12"/>
        <v>25</v>
      </c>
      <c r="B55" s="21"/>
      <c r="C55" s="21"/>
      <c r="D55" s="445"/>
      <c r="E55" s="448"/>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126">
        <f t="shared" si="15"/>
        <v>0</v>
      </c>
    </row>
    <row r="56" spans="1:47" x14ac:dyDescent="0.2">
      <c r="A56" s="432">
        <f t="shared" si="12"/>
        <v>26</v>
      </c>
      <c r="B56" s="21"/>
      <c r="C56" s="21"/>
      <c r="D56" s="445"/>
      <c r="E56" s="108"/>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126">
        <f t="shared" si="15"/>
        <v>0</v>
      </c>
    </row>
    <row r="57" spans="1:47" x14ac:dyDescent="0.2">
      <c r="A57" s="432">
        <f t="shared" si="12"/>
        <v>27</v>
      </c>
      <c r="B57" s="21" t="s">
        <v>68</v>
      </c>
      <c r="C57" s="21"/>
      <c r="D57" s="445"/>
      <c r="E57" s="57">
        <f>E27</f>
        <v>1482270.176383141</v>
      </c>
      <c r="F57" s="123">
        <f>F27</f>
        <v>1482270.176383141</v>
      </c>
      <c r="G57" s="123">
        <f>G27</f>
        <v>1482270.176383141</v>
      </c>
      <c r="H57" s="123">
        <f t="shared" ref="H57:AT57" si="20">H27</f>
        <v>1482270.176383141</v>
      </c>
      <c r="I57" s="123">
        <f t="shared" si="20"/>
        <v>1482270.176383141</v>
      </c>
      <c r="J57" s="123">
        <f t="shared" si="20"/>
        <v>1482270.176383141</v>
      </c>
      <c r="K57" s="123">
        <f t="shared" si="20"/>
        <v>1482270.176383141</v>
      </c>
      <c r="L57" s="123">
        <f t="shared" si="20"/>
        <v>1482270.176383141</v>
      </c>
      <c r="M57" s="123">
        <f t="shared" si="20"/>
        <v>1482270.176383141</v>
      </c>
      <c r="N57" s="123">
        <f t="shared" si="20"/>
        <v>1482270.176383141</v>
      </c>
      <c r="O57" s="123">
        <f t="shared" si="20"/>
        <v>1482270.176383141</v>
      </c>
      <c r="P57" s="123">
        <f t="shared" si="20"/>
        <v>1482270.176383141</v>
      </c>
      <c r="Q57" s="123">
        <f t="shared" si="20"/>
        <v>1482270.176383141</v>
      </c>
      <c r="R57" s="123">
        <f t="shared" si="20"/>
        <v>1482270.176383141</v>
      </c>
      <c r="S57" s="123">
        <f t="shared" si="20"/>
        <v>1482270.176383141</v>
      </c>
      <c r="T57" s="123">
        <f t="shared" si="20"/>
        <v>1482270.176383141</v>
      </c>
      <c r="U57" s="123">
        <f t="shared" si="20"/>
        <v>1482270.176383141</v>
      </c>
      <c r="V57" s="123">
        <f t="shared" si="20"/>
        <v>1482270.176383141</v>
      </c>
      <c r="W57" s="123">
        <f t="shared" si="20"/>
        <v>1482270.176383141</v>
      </c>
      <c r="X57" s="123">
        <f t="shared" si="20"/>
        <v>1482270.176383141</v>
      </c>
      <c r="Y57" s="123">
        <f t="shared" si="20"/>
        <v>1482270.176383141</v>
      </c>
      <c r="Z57" s="123">
        <f t="shared" si="20"/>
        <v>1482270.176383141</v>
      </c>
      <c r="AA57" s="123">
        <f t="shared" si="20"/>
        <v>1482270.176383141</v>
      </c>
      <c r="AB57" s="123">
        <f t="shared" si="20"/>
        <v>1482270.176383141</v>
      </c>
      <c r="AC57" s="123">
        <f t="shared" si="20"/>
        <v>1482270.176383141</v>
      </c>
      <c r="AD57" s="123">
        <f t="shared" si="20"/>
        <v>1482270.176383141</v>
      </c>
      <c r="AE57" s="123">
        <f t="shared" si="20"/>
        <v>1482270.176383141</v>
      </c>
      <c r="AF57" s="123">
        <f t="shared" si="20"/>
        <v>1482270.176383141</v>
      </c>
      <c r="AG57" s="123">
        <f t="shared" si="20"/>
        <v>1482270.176383141</v>
      </c>
      <c r="AH57" s="123">
        <f t="shared" si="20"/>
        <v>1482270.176383141</v>
      </c>
      <c r="AI57" s="123">
        <f t="shared" si="20"/>
        <v>1482270.176383141</v>
      </c>
      <c r="AJ57" s="123">
        <f t="shared" si="20"/>
        <v>1482270.176383141</v>
      </c>
      <c r="AK57" s="123">
        <f t="shared" si="20"/>
        <v>1482270.176383141</v>
      </c>
      <c r="AL57" s="123">
        <f t="shared" si="20"/>
        <v>1482270.176383141</v>
      </c>
      <c r="AM57" s="123">
        <f t="shared" si="20"/>
        <v>1482270.176383141</v>
      </c>
      <c r="AN57" s="123">
        <f t="shared" si="20"/>
        <v>1482270.176383141</v>
      </c>
      <c r="AO57" s="123">
        <f t="shared" si="20"/>
        <v>1482270.176383141</v>
      </c>
      <c r="AP57" s="123">
        <f t="shared" si="20"/>
        <v>1482270.176383141</v>
      </c>
      <c r="AQ57" s="123">
        <f t="shared" si="20"/>
        <v>1482270.176383141</v>
      </c>
      <c r="AR57" s="123">
        <f t="shared" si="20"/>
        <v>1482270.176383141</v>
      </c>
      <c r="AS57" s="123">
        <f t="shared" si="20"/>
        <v>1348785.8263831409</v>
      </c>
      <c r="AT57" s="123">
        <f t="shared" si="20"/>
        <v>0</v>
      </c>
      <c r="AU57" s="126">
        <f t="shared" si="15"/>
        <v>60639592.881708734</v>
      </c>
    </row>
    <row r="58" spans="1:47" x14ac:dyDescent="0.2">
      <c r="A58" s="432">
        <f t="shared" si="12"/>
        <v>28</v>
      </c>
      <c r="B58" s="21" t="s">
        <v>69</v>
      </c>
      <c r="C58" s="21"/>
      <c r="D58" s="445"/>
      <c r="E58" s="57">
        <f>$F22*E62</f>
        <v>2273984.7329999995</v>
      </c>
      <c r="F58" s="123">
        <f t="shared" ref="F58:AT58" si="21">$F22*F62</f>
        <v>4377572.2100072</v>
      </c>
      <c r="G58" s="123">
        <f t="shared" si="21"/>
        <v>4048905.6165975993</v>
      </c>
      <c r="H58" s="123">
        <f t="shared" si="21"/>
        <v>3745707.6521975994</v>
      </c>
      <c r="I58" s="123">
        <f t="shared" si="21"/>
        <v>3464339.9412343996</v>
      </c>
      <c r="J58" s="123">
        <f t="shared" si="21"/>
        <v>3204802.4837079998</v>
      </c>
      <c r="K58" s="123">
        <f t="shared" si="21"/>
        <v>2964063.2999743996</v>
      </c>
      <c r="L58" s="123">
        <f t="shared" si="21"/>
        <v>2742122.3900335999</v>
      </c>
      <c r="M58" s="123">
        <f t="shared" si="21"/>
        <v>2705738.6343055996</v>
      </c>
      <c r="N58" s="123">
        <f t="shared" si="21"/>
        <v>2705132.2383768</v>
      </c>
      <c r="O58" s="123">
        <f t="shared" si="21"/>
        <v>2705738.6343055996</v>
      </c>
      <c r="P58" s="123">
        <f t="shared" si="21"/>
        <v>2705132.2383768</v>
      </c>
      <c r="Q58" s="123">
        <f t="shared" si="21"/>
        <v>2705738.6343055996</v>
      </c>
      <c r="R58" s="123">
        <f t="shared" si="21"/>
        <v>2705132.2383768</v>
      </c>
      <c r="S58" s="123">
        <f t="shared" si="21"/>
        <v>2705738.6343055996</v>
      </c>
      <c r="T58" s="123">
        <f t="shared" si="21"/>
        <v>2705132.2383768</v>
      </c>
      <c r="U58" s="123">
        <f t="shared" si="21"/>
        <v>2705738.6343055996</v>
      </c>
      <c r="V58" s="123">
        <f t="shared" si="21"/>
        <v>2705132.2383768</v>
      </c>
      <c r="W58" s="123">
        <f t="shared" si="21"/>
        <v>2705738.6343055996</v>
      </c>
      <c r="X58" s="123">
        <f t="shared" si="21"/>
        <v>2705132.2383768</v>
      </c>
      <c r="Y58" s="123">
        <f t="shared" si="21"/>
        <v>1352869.3171527998</v>
      </c>
      <c r="Z58" s="123">
        <f t="shared" si="21"/>
        <v>0</v>
      </c>
      <c r="AA58" s="123">
        <f t="shared" si="21"/>
        <v>0</v>
      </c>
      <c r="AB58" s="123">
        <f t="shared" si="21"/>
        <v>0</v>
      </c>
      <c r="AC58" s="123">
        <f t="shared" si="21"/>
        <v>0</v>
      </c>
      <c r="AD58" s="123">
        <f t="shared" si="21"/>
        <v>0</v>
      </c>
      <c r="AE58" s="123">
        <f t="shared" si="21"/>
        <v>0</v>
      </c>
      <c r="AF58" s="123">
        <f t="shared" si="21"/>
        <v>0</v>
      </c>
      <c r="AG58" s="123">
        <f t="shared" si="21"/>
        <v>0</v>
      </c>
      <c r="AH58" s="123">
        <f t="shared" si="21"/>
        <v>0</v>
      </c>
      <c r="AI58" s="123">
        <f t="shared" si="21"/>
        <v>0</v>
      </c>
      <c r="AJ58" s="123">
        <f t="shared" si="21"/>
        <v>0</v>
      </c>
      <c r="AK58" s="123">
        <f t="shared" si="21"/>
        <v>0</v>
      </c>
      <c r="AL58" s="123">
        <f t="shared" si="21"/>
        <v>0</v>
      </c>
      <c r="AM58" s="123">
        <f t="shared" si="21"/>
        <v>0</v>
      </c>
      <c r="AN58" s="123">
        <f t="shared" si="21"/>
        <v>0</v>
      </c>
      <c r="AO58" s="123">
        <f t="shared" si="21"/>
        <v>0</v>
      </c>
      <c r="AP58" s="123">
        <f t="shared" si="21"/>
        <v>0</v>
      </c>
      <c r="AQ58" s="123">
        <f t="shared" si="21"/>
        <v>0</v>
      </c>
      <c r="AR58" s="123">
        <f t="shared" si="21"/>
        <v>0</v>
      </c>
      <c r="AS58" s="123">
        <f t="shared" si="21"/>
        <v>0</v>
      </c>
      <c r="AT58" s="123">
        <f t="shared" si="21"/>
        <v>0</v>
      </c>
      <c r="AU58" s="126">
        <f t="shared" si="15"/>
        <v>60639592.879999965</v>
      </c>
    </row>
    <row r="59" spans="1:47" x14ac:dyDescent="0.2">
      <c r="A59" s="432">
        <f t="shared" si="12"/>
        <v>29</v>
      </c>
      <c r="B59" s="21" t="s">
        <v>70</v>
      </c>
      <c r="C59" s="21"/>
      <c r="D59" s="445"/>
      <c r="E59" s="57">
        <f>E58-E57</f>
        <v>791714.55661685858</v>
      </c>
      <c r="F59" s="123">
        <f>F58-F57</f>
        <v>2895302.0336240591</v>
      </c>
      <c r="G59" s="123">
        <f>G58-G57</f>
        <v>2566635.4402144584</v>
      </c>
      <c r="H59" s="123">
        <f t="shared" ref="H59:AT59" si="22">H58-H57</f>
        <v>2263437.4758144584</v>
      </c>
      <c r="I59" s="123">
        <f t="shared" si="22"/>
        <v>1982069.7648512586</v>
      </c>
      <c r="J59" s="123">
        <f t="shared" si="22"/>
        <v>1722532.3073248588</v>
      </c>
      <c r="K59" s="123">
        <f t="shared" si="22"/>
        <v>1481793.1235912587</v>
      </c>
      <c r="L59" s="123">
        <f t="shared" si="22"/>
        <v>1259852.213650459</v>
      </c>
      <c r="M59" s="123">
        <f t="shared" si="22"/>
        <v>1223468.4579224586</v>
      </c>
      <c r="N59" s="123">
        <f t="shared" si="22"/>
        <v>1222862.061993659</v>
      </c>
      <c r="O59" s="123">
        <f t="shared" si="22"/>
        <v>1223468.4579224586</v>
      </c>
      <c r="P59" s="123">
        <f t="shared" si="22"/>
        <v>1222862.061993659</v>
      </c>
      <c r="Q59" s="123">
        <f t="shared" si="22"/>
        <v>1223468.4579224586</v>
      </c>
      <c r="R59" s="123">
        <f t="shared" si="22"/>
        <v>1222862.061993659</v>
      </c>
      <c r="S59" s="123">
        <f t="shared" si="22"/>
        <v>1223468.4579224586</v>
      </c>
      <c r="T59" s="123">
        <f t="shared" si="22"/>
        <v>1222862.061993659</v>
      </c>
      <c r="U59" s="123">
        <f t="shared" si="22"/>
        <v>1223468.4579224586</v>
      </c>
      <c r="V59" s="123">
        <f t="shared" si="22"/>
        <v>1222862.061993659</v>
      </c>
      <c r="W59" s="123">
        <f t="shared" si="22"/>
        <v>1223468.4579224586</v>
      </c>
      <c r="X59" s="123">
        <f t="shared" si="22"/>
        <v>1222862.061993659</v>
      </c>
      <c r="Y59" s="123">
        <f t="shared" si="22"/>
        <v>-129400.85923034116</v>
      </c>
      <c r="Z59" s="123">
        <f t="shared" si="22"/>
        <v>-1482270.176383141</v>
      </c>
      <c r="AA59" s="123">
        <f t="shared" si="22"/>
        <v>-1482270.176383141</v>
      </c>
      <c r="AB59" s="123">
        <f t="shared" si="22"/>
        <v>-1482270.176383141</v>
      </c>
      <c r="AC59" s="123">
        <f t="shared" si="22"/>
        <v>-1482270.176383141</v>
      </c>
      <c r="AD59" s="123">
        <f t="shared" si="22"/>
        <v>-1482270.176383141</v>
      </c>
      <c r="AE59" s="123">
        <f t="shared" si="22"/>
        <v>-1482270.176383141</v>
      </c>
      <c r="AF59" s="123">
        <f t="shared" si="22"/>
        <v>-1482270.176383141</v>
      </c>
      <c r="AG59" s="123">
        <f t="shared" si="22"/>
        <v>-1482270.176383141</v>
      </c>
      <c r="AH59" s="123">
        <f t="shared" si="22"/>
        <v>-1482270.176383141</v>
      </c>
      <c r="AI59" s="123">
        <f t="shared" si="22"/>
        <v>-1482270.176383141</v>
      </c>
      <c r="AJ59" s="123">
        <f t="shared" si="22"/>
        <v>-1482270.176383141</v>
      </c>
      <c r="AK59" s="123">
        <f t="shared" si="22"/>
        <v>-1482270.176383141</v>
      </c>
      <c r="AL59" s="123">
        <f t="shared" si="22"/>
        <v>-1482270.176383141</v>
      </c>
      <c r="AM59" s="123">
        <f t="shared" si="22"/>
        <v>-1482270.176383141</v>
      </c>
      <c r="AN59" s="123">
        <f t="shared" si="22"/>
        <v>-1482270.176383141</v>
      </c>
      <c r="AO59" s="123">
        <f t="shared" si="22"/>
        <v>-1482270.176383141</v>
      </c>
      <c r="AP59" s="123">
        <f t="shared" si="22"/>
        <v>-1482270.176383141</v>
      </c>
      <c r="AQ59" s="123">
        <f t="shared" si="22"/>
        <v>-1482270.176383141</v>
      </c>
      <c r="AR59" s="123">
        <f t="shared" si="22"/>
        <v>-1482270.176383141</v>
      </c>
      <c r="AS59" s="123">
        <f t="shared" si="22"/>
        <v>-1348785.8263831409</v>
      </c>
      <c r="AT59" s="123">
        <f t="shared" si="22"/>
        <v>0</v>
      </c>
      <c r="AU59" s="126">
        <f t="shared" si="15"/>
        <v>-1.70879065990448E-3</v>
      </c>
    </row>
    <row r="60" spans="1:47" x14ac:dyDescent="0.2">
      <c r="A60" s="432">
        <f t="shared" si="12"/>
        <v>30</v>
      </c>
      <c r="B60" s="21" t="s">
        <v>71</v>
      </c>
      <c r="C60" s="21"/>
      <c r="D60" s="445"/>
      <c r="E60" s="57">
        <f>E59*$F$15</f>
        <v>166260.05688954028</v>
      </c>
      <c r="F60" s="123">
        <f>F59*$G$15</f>
        <v>608013.42706105241</v>
      </c>
      <c r="G60" s="123">
        <f t="shared" ref="G60:AT60" si="23">G59*$G$15</f>
        <v>538993.44244503626</v>
      </c>
      <c r="H60" s="123">
        <f t="shared" si="23"/>
        <v>475321.86992103624</v>
      </c>
      <c r="I60" s="123">
        <f t="shared" si="23"/>
        <v>416234.65061876428</v>
      </c>
      <c r="J60" s="123">
        <f t="shared" si="23"/>
        <v>361731.78453822032</v>
      </c>
      <c r="K60" s="123">
        <f t="shared" si="23"/>
        <v>311176.5559541643</v>
      </c>
      <c r="L60" s="123">
        <f t="shared" si="23"/>
        <v>264568.96486659639</v>
      </c>
      <c r="M60" s="123">
        <f t="shared" si="23"/>
        <v>256928.37616371631</v>
      </c>
      <c r="N60" s="123">
        <f t="shared" si="23"/>
        <v>256801.03301866839</v>
      </c>
      <c r="O60" s="123">
        <f t="shared" si="23"/>
        <v>256928.37616371631</v>
      </c>
      <c r="P60" s="123">
        <f t="shared" si="23"/>
        <v>256801.03301866839</v>
      </c>
      <c r="Q60" s="123">
        <f t="shared" si="23"/>
        <v>256928.37616371631</v>
      </c>
      <c r="R60" s="123">
        <f t="shared" si="23"/>
        <v>256801.03301866839</v>
      </c>
      <c r="S60" s="123">
        <f t="shared" si="23"/>
        <v>256928.37616371631</v>
      </c>
      <c r="T60" s="123">
        <f t="shared" si="23"/>
        <v>256801.03301866839</v>
      </c>
      <c r="U60" s="123">
        <f t="shared" si="23"/>
        <v>256928.37616371631</v>
      </c>
      <c r="V60" s="123">
        <f t="shared" si="23"/>
        <v>256801.03301866839</v>
      </c>
      <c r="W60" s="123">
        <f t="shared" si="23"/>
        <v>256928.37616371631</v>
      </c>
      <c r="X60" s="123">
        <f t="shared" si="23"/>
        <v>256801.03301866839</v>
      </c>
      <c r="Y60" s="123">
        <f t="shared" si="23"/>
        <v>-27174.180438371641</v>
      </c>
      <c r="Z60" s="123">
        <f t="shared" si="23"/>
        <v>-311276.73704045959</v>
      </c>
      <c r="AA60" s="123">
        <f t="shared" si="23"/>
        <v>-311276.73704045959</v>
      </c>
      <c r="AB60" s="123">
        <f t="shared" si="23"/>
        <v>-311276.73704045959</v>
      </c>
      <c r="AC60" s="123">
        <f t="shared" si="23"/>
        <v>-311276.73704045959</v>
      </c>
      <c r="AD60" s="123">
        <f t="shared" si="23"/>
        <v>-311276.73704045959</v>
      </c>
      <c r="AE60" s="123">
        <f t="shared" si="23"/>
        <v>-311276.73704045959</v>
      </c>
      <c r="AF60" s="123">
        <f t="shared" si="23"/>
        <v>-311276.73704045959</v>
      </c>
      <c r="AG60" s="123">
        <f t="shared" si="23"/>
        <v>-311276.73704045959</v>
      </c>
      <c r="AH60" s="123">
        <f t="shared" si="23"/>
        <v>-311276.73704045959</v>
      </c>
      <c r="AI60" s="123">
        <f t="shared" si="23"/>
        <v>-311276.73704045959</v>
      </c>
      <c r="AJ60" s="123">
        <f t="shared" si="23"/>
        <v>-311276.73704045959</v>
      </c>
      <c r="AK60" s="123">
        <f t="shared" si="23"/>
        <v>-311276.73704045959</v>
      </c>
      <c r="AL60" s="123">
        <f t="shared" si="23"/>
        <v>-311276.73704045959</v>
      </c>
      <c r="AM60" s="123">
        <f t="shared" si="23"/>
        <v>-311276.73704045959</v>
      </c>
      <c r="AN60" s="123">
        <f t="shared" si="23"/>
        <v>-311276.73704045959</v>
      </c>
      <c r="AO60" s="123">
        <f t="shared" si="23"/>
        <v>-311276.73704045959</v>
      </c>
      <c r="AP60" s="123">
        <f t="shared" si="23"/>
        <v>-311276.73704045959</v>
      </c>
      <c r="AQ60" s="123">
        <f t="shared" si="23"/>
        <v>-311276.73704045959</v>
      </c>
      <c r="AR60" s="123">
        <f t="shared" si="23"/>
        <v>-311276.73704045959</v>
      </c>
      <c r="AS60" s="123">
        <f t="shared" si="23"/>
        <v>-283245.02354045957</v>
      </c>
      <c r="AT60" s="123">
        <f t="shared" si="23"/>
        <v>0</v>
      </c>
      <c r="AU60" s="126">
        <f t="shared" si="15"/>
        <v>-3.5884365206584334E-4</v>
      </c>
    </row>
    <row r="61" spans="1:47" x14ac:dyDescent="0.2">
      <c r="A61" s="432">
        <f t="shared" si="12"/>
        <v>31</v>
      </c>
      <c r="B61" s="21"/>
      <c r="C61" s="21"/>
      <c r="D61" s="445"/>
      <c r="E61" s="108"/>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445"/>
    </row>
    <row r="62" spans="1:47" s="69" customFormat="1" x14ac:dyDescent="0.2">
      <c r="A62" s="432">
        <f t="shared" si="12"/>
        <v>32</v>
      </c>
      <c r="B62" s="21" t="str">
        <f t="shared" ref="B62" si="24">IF($F$18=1,B66,B65)</f>
        <v>MACRS Depreciation - 20</v>
      </c>
      <c r="C62" s="21"/>
      <c r="D62" s="66"/>
      <c r="E62" s="81">
        <f t="shared" ref="E62" si="25">IF($F$18=1,E66,E65)</f>
        <v>3.7499999999999999E-2</v>
      </c>
      <c r="F62" s="77">
        <f>IF($F$18=1,F66,F65)</f>
        <v>7.2190000000000004E-2</v>
      </c>
      <c r="G62" s="77">
        <f t="shared" ref="G62:Y62" si="26">IF($F$18=1,G66,G65)</f>
        <v>6.6769999999999996E-2</v>
      </c>
      <c r="H62" s="77">
        <f t="shared" si="26"/>
        <v>6.1769999999999999E-2</v>
      </c>
      <c r="I62" s="77">
        <f t="shared" si="26"/>
        <v>5.713E-2</v>
      </c>
      <c r="J62" s="77">
        <f t="shared" si="26"/>
        <v>5.2850000000000001E-2</v>
      </c>
      <c r="K62" s="77">
        <f t="shared" si="26"/>
        <v>4.888E-2</v>
      </c>
      <c r="L62" s="77">
        <f t="shared" si="26"/>
        <v>4.5220000000000003E-2</v>
      </c>
      <c r="M62" s="77">
        <f t="shared" si="26"/>
        <v>4.462E-2</v>
      </c>
      <c r="N62" s="77">
        <f t="shared" si="26"/>
        <v>4.4610000000000004E-2</v>
      </c>
      <c r="O62" s="77">
        <f t="shared" si="26"/>
        <v>4.462E-2</v>
      </c>
      <c r="P62" s="77">
        <f t="shared" si="26"/>
        <v>4.4610000000000004E-2</v>
      </c>
      <c r="Q62" s="77">
        <f t="shared" si="26"/>
        <v>4.462E-2</v>
      </c>
      <c r="R62" s="77">
        <f t="shared" si="26"/>
        <v>4.4610000000000004E-2</v>
      </c>
      <c r="S62" s="77">
        <f t="shared" si="26"/>
        <v>4.462E-2</v>
      </c>
      <c r="T62" s="77">
        <f t="shared" si="26"/>
        <v>4.4610000000000004E-2</v>
      </c>
      <c r="U62" s="77">
        <f t="shared" si="26"/>
        <v>4.462E-2</v>
      </c>
      <c r="V62" s="77">
        <f t="shared" si="26"/>
        <v>4.4610000000000004E-2</v>
      </c>
      <c r="W62" s="77">
        <f t="shared" si="26"/>
        <v>4.462E-2</v>
      </c>
      <c r="X62" s="77">
        <f t="shared" si="26"/>
        <v>4.4610000000000004E-2</v>
      </c>
      <c r="Y62" s="77">
        <f t="shared" si="26"/>
        <v>2.231E-2</v>
      </c>
      <c r="Z62" s="67"/>
      <c r="AA62" s="67"/>
      <c r="AB62" s="67"/>
      <c r="AC62" s="67"/>
      <c r="AD62" s="67"/>
      <c r="AE62" s="67"/>
      <c r="AF62" s="67"/>
      <c r="AG62" s="67"/>
      <c r="AH62" s="67"/>
      <c r="AI62" s="67"/>
      <c r="AJ62" s="67"/>
      <c r="AK62" s="67"/>
      <c r="AL62" s="67"/>
      <c r="AM62" s="67"/>
      <c r="AN62" s="67"/>
      <c r="AO62" s="67"/>
      <c r="AP62" s="66"/>
    </row>
    <row r="63" spans="1:47" outlineLevel="1" x14ac:dyDescent="0.25">
      <c r="A63" s="432">
        <f t="shared" si="12"/>
        <v>33</v>
      </c>
      <c r="B63" s="21"/>
      <c r="C63" s="449"/>
      <c r="E63" s="450"/>
      <c r="F63" s="451"/>
      <c r="G63" s="451"/>
      <c r="H63" s="451"/>
      <c r="I63" s="451"/>
      <c r="J63" s="451"/>
      <c r="K63" s="451"/>
      <c r="L63" s="451"/>
      <c r="M63" s="452"/>
      <c r="N63" s="452"/>
      <c r="O63" s="452"/>
      <c r="P63" s="452"/>
      <c r="Q63" s="452"/>
      <c r="R63" s="452"/>
      <c r="S63" s="452"/>
      <c r="T63" s="452"/>
      <c r="U63" s="452"/>
      <c r="V63" s="452"/>
      <c r="W63" s="452"/>
      <c r="X63" s="452"/>
      <c r="Y63" s="452"/>
      <c r="Z63" s="445"/>
      <c r="AA63" s="445"/>
      <c r="AB63" s="445"/>
      <c r="AC63" s="445"/>
      <c r="AD63" s="445"/>
      <c r="AE63" s="445"/>
      <c r="AF63" s="445"/>
      <c r="AG63" s="445"/>
      <c r="AH63" s="445"/>
      <c r="AI63" s="445"/>
      <c r="AJ63" s="445"/>
      <c r="AK63" s="445"/>
      <c r="AL63" s="445"/>
      <c r="AM63" s="445"/>
      <c r="AN63" s="445"/>
      <c r="AO63" s="22"/>
    </row>
    <row r="64" spans="1:47" outlineLevel="1" x14ac:dyDescent="0.25">
      <c r="A64" s="432">
        <f t="shared" si="12"/>
        <v>34</v>
      </c>
      <c r="B64" s="21"/>
      <c r="C64" s="449"/>
      <c r="E64" s="450"/>
      <c r="F64" s="451"/>
      <c r="G64" s="451"/>
      <c r="H64" s="451"/>
      <c r="I64" s="451"/>
      <c r="J64" s="451"/>
      <c r="K64" s="451"/>
      <c r="L64" s="451"/>
      <c r="M64" s="452"/>
      <c r="N64" s="452"/>
      <c r="O64" s="452"/>
      <c r="P64" s="452"/>
      <c r="Q64" s="452"/>
      <c r="R64" s="452"/>
      <c r="S64" s="452"/>
      <c r="T64" s="452"/>
      <c r="U64" s="452"/>
      <c r="V64" s="452"/>
      <c r="W64" s="452"/>
      <c r="X64" s="452"/>
      <c r="Y64" s="452"/>
      <c r="Z64" s="445"/>
      <c r="AA64" s="445"/>
      <c r="AB64" s="445"/>
      <c r="AC64" s="445"/>
      <c r="AD64" s="445"/>
      <c r="AE64" s="445"/>
      <c r="AF64" s="445"/>
      <c r="AG64" s="445"/>
      <c r="AH64" s="445"/>
      <c r="AI64" s="445"/>
      <c r="AJ64" s="445"/>
      <c r="AK64" s="445"/>
      <c r="AL64" s="445"/>
      <c r="AM64" s="445"/>
      <c r="AN64" s="445"/>
      <c r="AO64" s="22"/>
    </row>
    <row r="65" spans="1:42" s="69" customFormat="1" x14ac:dyDescent="0.25">
      <c r="A65" s="432">
        <f t="shared" si="12"/>
        <v>35</v>
      </c>
      <c r="B65" s="21" t="s">
        <v>72</v>
      </c>
      <c r="C65" s="21"/>
      <c r="D65" s="70">
        <v>0</v>
      </c>
      <c r="E65" s="78">
        <f>'MACRS 20'!B5</f>
        <v>3.7499999999999999E-2</v>
      </c>
      <c r="F65" s="77">
        <f>'MACRS 20'!C5</f>
        <v>7.2190000000000004E-2</v>
      </c>
      <c r="G65" s="77">
        <f>'MACRS 20'!D5</f>
        <v>6.6769999999999996E-2</v>
      </c>
      <c r="H65" s="79">
        <f>'MACRS 20'!E5</f>
        <v>6.1769999999999999E-2</v>
      </c>
      <c r="I65" s="79">
        <f>'MACRS 20'!F5</f>
        <v>5.713E-2</v>
      </c>
      <c r="J65" s="79">
        <f>'MACRS 20'!G5</f>
        <v>5.2850000000000001E-2</v>
      </c>
      <c r="K65" s="79">
        <f>'MACRS 20'!H5</f>
        <v>4.888E-2</v>
      </c>
      <c r="L65" s="79">
        <f>'MACRS 20'!I5</f>
        <v>4.5220000000000003E-2</v>
      </c>
      <c r="M65" s="79">
        <f>'MACRS 20'!J5</f>
        <v>4.462E-2</v>
      </c>
      <c r="N65" s="79">
        <f>'MACRS 20'!K5</f>
        <v>4.4610000000000004E-2</v>
      </c>
      <c r="O65" s="79">
        <f>'MACRS 20'!L5</f>
        <v>4.462E-2</v>
      </c>
      <c r="P65" s="79">
        <f>'MACRS 20'!M5</f>
        <v>4.4610000000000004E-2</v>
      </c>
      <c r="Q65" s="79">
        <f>'MACRS 20'!N5</f>
        <v>4.462E-2</v>
      </c>
      <c r="R65" s="79">
        <f>'MACRS 20'!O5</f>
        <v>4.4610000000000004E-2</v>
      </c>
      <c r="S65" s="79">
        <f>'MACRS 20'!P5</f>
        <v>4.462E-2</v>
      </c>
      <c r="T65" s="79">
        <f>'MACRS 20'!Q5</f>
        <v>4.4610000000000004E-2</v>
      </c>
      <c r="U65" s="79">
        <f>'MACRS 20'!R5</f>
        <v>4.462E-2</v>
      </c>
      <c r="V65" s="79">
        <f>'MACRS 20'!S5</f>
        <v>4.4610000000000004E-2</v>
      </c>
      <c r="W65" s="79">
        <f>'MACRS 20'!T5</f>
        <v>4.462E-2</v>
      </c>
      <c r="X65" s="79">
        <f>'MACRS 20'!U5</f>
        <v>4.4610000000000004E-2</v>
      </c>
      <c r="Y65" s="79">
        <f>'MACRS 20'!V5</f>
        <v>2.231E-2</v>
      </c>
      <c r="Z65" s="71"/>
      <c r="AA65" s="67"/>
      <c r="AB65" s="67"/>
      <c r="AC65" s="67"/>
      <c r="AD65" s="67"/>
      <c r="AE65" s="67"/>
      <c r="AF65" s="67"/>
      <c r="AG65" s="67"/>
      <c r="AH65" s="67"/>
      <c r="AI65" s="67"/>
      <c r="AJ65" s="67"/>
      <c r="AK65" s="67"/>
      <c r="AL65" s="67"/>
      <c r="AM65" s="67"/>
      <c r="AN65" s="66"/>
      <c r="AP65" s="72"/>
    </row>
    <row r="66" spans="1:42" x14ac:dyDescent="0.2">
      <c r="A66" s="432">
        <f t="shared" si="12"/>
        <v>36</v>
      </c>
      <c r="B66" s="21" t="s">
        <v>73</v>
      </c>
      <c r="C66" s="21"/>
      <c r="D66" s="70">
        <v>0</v>
      </c>
      <c r="E66" s="78">
        <f>'MACRS 20'!B6</f>
        <v>0.51875000000000004</v>
      </c>
      <c r="F66" s="77">
        <f>'MACRS 20'!C6</f>
        <v>3.6095000000000002E-2</v>
      </c>
      <c r="G66" s="77">
        <f>'MACRS 20'!D6</f>
        <v>3.3384999999999998E-2</v>
      </c>
      <c r="H66" s="80">
        <f>'MACRS 20'!E6</f>
        <v>3.0884999999999999E-2</v>
      </c>
      <c r="I66" s="80">
        <f>'MACRS 20'!F6</f>
        <v>2.8565E-2</v>
      </c>
      <c r="J66" s="80">
        <f>'MACRS 20'!G6</f>
        <v>2.6425000000000001E-2</v>
      </c>
      <c r="K66" s="80">
        <f>'MACRS 20'!H6</f>
        <v>2.444E-2</v>
      </c>
      <c r="L66" s="80">
        <f>'MACRS 20'!I6</f>
        <v>2.2610000000000002E-2</v>
      </c>
      <c r="M66" s="80">
        <f>'MACRS 20'!J6</f>
        <v>2.231E-2</v>
      </c>
      <c r="N66" s="80">
        <f>'MACRS 20'!K6</f>
        <v>2.2305000000000002E-2</v>
      </c>
      <c r="O66" s="80">
        <f>'MACRS 20'!L6</f>
        <v>2.231E-2</v>
      </c>
      <c r="P66" s="80">
        <f>'MACRS 20'!M6</f>
        <v>2.2305000000000002E-2</v>
      </c>
      <c r="Q66" s="80">
        <f>'MACRS 20'!N6</f>
        <v>2.231E-2</v>
      </c>
      <c r="R66" s="80">
        <f>'MACRS 20'!O6</f>
        <v>2.2305000000000002E-2</v>
      </c>
      <c r="S66" s="80">
        <f>'MACRS 20'!P6</f>
        <v>2.231E-2</v>
      </c>
      <c r="T66" s="80">
        <f>'MACRS 20'!Q6</f>
        <v>2.2305000000000002E-2</v>
      </c>
      <c r="U66" s="80">
        <f>'MACRS 20'!R6</f>
        <v>2.231E-2</v>
      </c>
      <c r="V66" s="80">
        <f>'MACRS 20'!S6</f>
        <v>2.2305000000000002E-2</v>
      </c>
      <c r="W66" s="80">
        <f>'MACRS 20'!T6</f>
        <v>2.231E-2</v>
      </c>
      <c r="X66" s="80">
        <f>'MACRS 20'!U6</f>
        <v>2.2305000000000002E-2</v>
      </c>
      <c r="Y66" s="80">
        <f>'MACRS 20'!V6</f>
        <v>1.1155E-2</v>
      </c>
      <c r="Z66" s="68"/>
      <c r="AA66" s="68"/>
      <c r="AB66" s="73"/>
      <c r="AC66" s="73"/>
      <c r="AD66" s="73"/>
      <c r="AE66" s="73"/>
      <c r="AF66" s="73"/>
      <c r="AG66" s="73"/>
      <c r="AH66" s="73"/>
      <c r="AI66" s="73"/>
      <c r="AJ66" s="73"/>
      <c r="AK66" s="73"/>
      <c r="AL66" s="73"/>
      <c r="AM66" s="73"/>
      <c r="AN66" s="445"/>
      <c r="AO66" s="22"/>
      <c r="AP66" s="72">
        <f>SUM(D66:AO66)</f>
        <v>1.0000000000000004</v>
      </c>
    </row>
    <row r="69" spans="1:42" x14ac:dyDescent="0.25">
      <c r="B69" s="74"/>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topLeftCell="A3" zoomScale="90" zoomScaleNormal="90" workbookViewId="0">
      <selection activeCell="G16" sqref="G16"/>
    </sheetView>
  </sheetViews>
  <sheetFormatPr defaultColWidth="9.28515625" defaultRowHeight="15" outlineLevelRow="1" x14ac:dyDescent="0.25"/>
  <cols>
    <col min="1" max="1" width="17" style="449" customWidth="1"/>
    <col min="2" max="2" width="46" style="449" bestFit="1" customWidth="1"/>
    <col min="3" max="3" width="14.5703125" style="449" bestFit="1" customWidth="1"/>
    <col min="4" max="4" width="15.7109375" style="449" bestFit="1" customWidth="1"/>
    <col min="5" max="5" width="16" style="449" bestFit="1" customWidth="1"/>
    <col min="6" max="6" width="35.7109375" style="449" customWidth="1"/>
    <col min="7" max="7" width="28.5703125" style="620" bestFit="1" customWidth="1"/>
    <col min="8" max="8" width="11" style="620" customWidth="1"/>
    <col min="9" max="16384" width="9.28515625" style="620"/>
  </cols>
  <sheetData>
    <row r="1" spans="1:8" x14ac:dyDescent="0.25">
      <c r="A1" s="218"/>
      <c r="B1" s="218"/>
      <c r="C1" s="218"/>
      <c r="D1" s="218"/>
      <c r="E1" s="218"/>
      <c r="F1" s="218"/>
      <c r="G1"/>
      <c r="H1"/>
    </row>
    <row r="2" spans="1:8" x14ac:dyDescent="0.25">
      <c r="B2" s="152" t="s">
        <v>78</v>
      </c>
      <c r="C2" s="634"/>
      <c r="D2" s="634"/>
      <c r="E2" s="634"/>
    </row>
    <row r="4" spans="1:8" ht="15.75" thickBot="1" x14ac:dyDescent="0.3"/>
    <row r="5" spans="1:8" ht="15.75" thickBot="1" x14ac:dyDescent="0.3">
      <c r="A5" s="635"/>
      <c r="B5" s="145">
        <v>43739</v>
      </c>
      <c r="C5" s="636"/>
      <c r="D5" s="636"/>
      <c r="E5" s="637"/>
      <c r="F5" s="638"/>
      <c r="G5" s="639"/>
    </row>
    <row r="6" spans="1:8" ht="82.9" customHeight="1" x14ac:dyDescent="0.25">
      <c r="A6" s="146" t="s">
        <v>79</v>
      </c>
      <c r="B6" s="146" t="s">
        <v>80</v>
      </c>
      <c r="C6" s="147" t="s">
        <v>200</v>
      </c>
      <c r="D6" s="147" t="s">
        <v>226</v>
      </c>
      <c r="E6" s="147" t="s">
        <v>293</v>
      </c>
      <c r="F6" s="638"/>
      <c r="G6" s="639"/>
    </row>
    <row r="7" spans="1:8" ht="15.75" x14ac:dyDescent="0.25">
      <c r="A7" s="449" t="s">
        <v>95</v>
      </c>
      <c r="B7" s="149" t="s">
        <v>96</v>
      </c>
      <c r="C7" s="139">
        <v>49985039.879999995</v>
      </c>
      <c r="D7" s="139">
        <v>10065397.379999999</v>
      </c>
      <c r="E7" s="150">
        <f>SUM(C7:D7)</f>
        <v>60050437.25999999</v>
      </c>
      <c r="F7" s="638"/>
      <c r="G7" s="639"/>
    </row>
    <row r="8" spans="1:8" ht="15.75" x14ac:dyDescent="0.25">
      <c r="A8" s="449" t="s">
        <v>97</v>
      </c>
      <c r="B8" s="149" t="s">
        <v>98</v>
      </c>
      <c r="C8" s="139">
        <v>479737.33</v>
      </c>
      <c r="D8" s="139">
        <v>1588.01</v>
      </c>
      <c r="E8" s="150">
        <f>SUM(C8:D8)</f>
        <v>481325.34</v>
      </c>
      <c r="F8" s="638"/>
      <c r="G8" s="639"/>
    </row>
    <row r="9" spans="1:8" ht="15.75" x14ac:dyDescent="0.25">
      <c r="A9" s="449" t="s">
        <v>99</v>
      </c>
      <c r="B9" s="149" t="s">
        <v>100</v>
      </c>
      <c r="C9" s="139">
        <v>105950.33000000002</v>
      </c>
      <c r="D9" s="139">
        <v>1879.9500000000003</v>
      </c>
      <c r="E9" s="150">
        <f>SUM(C9:D9)</f>
        <v>107830.28000000001</v>
      </c>
      <c r="F9" s="638"/>
      <c r="G9" s="639"/>
    </row>
    <row r="10" spans="1:8" x14ac:dyDescent="0.25">
      <c r="A10" s="261" t="s">
        <v>82</v>
      </c>
      <c r="B10" s="261"/>
      <c r="C10" s="150">
        <f>SUM(C7:C9)</f>
        <v>50570727.539999992</v>
      </c>
      <c r="D10" s="150">
        <f t="shared" ref="D10:E10" si="0">SUM(D7:D9)</f>
        <v>10068865.339999998</v>
      </c>
      <c r="E10" s="150">
        <f t="shared" si="0"/>
        <v>60639592.879999995</v>
      </c>
      <c r="F10" s="638"/>
      <c r="G10" s="639"/>
    </row>
    <row r="11" spans="1:8" x14ac:dyDescent="0.25">
      <c r="F11" s="638"/>
      <c r="G11" s="639"/>
    </row>
    <row r="12" spans="1:8" x14ac:dyDescent="0.25">
      <c r="B12" s="612" t="s">
        <v>83</v>
      </c>
      <c r="C12" s="612"/>
      <c r="D12" s="612"/>
      <c r="E12" s="640">
        <f>+E7+E8</f>
        <v>60531762.599999994</v>
      </c>
      <c r="F12" s="638"/>
      <c r="G12" s="639"/>
    </row>
    <row r="13" spans="1:8" x14ac:dyDescent="0.25">
      <c r="B13" s="612" t="s">
        <v>84</v>
      </c>
      <c r="C13" s="612"/>
      <c r="D13" s="612"/>
      <c r="E13" s="640">
        <f>+E9</f>
        <v>107830.28000000001</v>
      </c>
      <c r="F13" s="638"/>
      <c r="G13" s="639"/>
    </row>
    <row r="14" spans="1:8" x14ac:dyDescent="0.25">
      <c r="E14" s="632">
        <f>+E12/E10</f>
        <v>0.99822178423569918</v>
      </c>
      <c r="F14" s="638"/>
      <c r="G14" s="639"/>
    </row>
    <row r="15" spans="1:8" x14ac:dyDescent="0.25">
      <c r="E15" s="632">
        <f>+E13/E10</f>
        <v>1.7782157643008243E-3</v>
      </c>
      <c r="F15" s="638"/>
      <c r="G15" s="639"/>
    </row>
    <row r="16" spans="1:8" x14ac:dyDescent="0.25">
      <c r="E16" s="632"/>
      <c r="F16" s="638"/>
      <c r="G16" s="639"/>
    </row>
    <row r="17" spans="1:8" x14ac:dyDescent="0.25">
      <c r="A17" s="151"/>
      <c r="B17" s="152" t="s">
        <v>85</v>
      </c>
      <c r="C17" s="152"/>
      <c r="D17" s="152"/>
      <c r="E17" s="152"/>
      <c r="F17" s="638"/>
      <c r="G17" s="639"/>
    </row>
    <row r="18" spans="1:8" x14ac:dyDescent="0.25">
      <c r="A18" s="641" t="s">
        <v>86</v>
      </c>
      <c r="B18" s="153" t="s">
        <v>187</v>
      </c>
      <c r="C18" s="154" t="s">
        <v>188</v>
      </c>
      <c r="D18" s="154" t="s">
        <v>189</v>
      </c>
      <c r="E18" s="154" t="s">
        <v>90</v>
      </c>
      <c r="F18" s="638"/>
      <c r="G18" s="639"/>
    </row>
    <row r="19" spans="1:8" x14ac:dyDescent="0.25">
      <c r="A19" s="261" t="s">
        <v>91</v>
      </c>
      <c r="B19" s="140">
        <f>D30</f>
        <v>2.443056207967733E-2</v>
      </c>
      <c r="C19" s="155">
        <f>E12*B19</f>
        <v>1478824.9839915903</v>
      </c>
      <c r="D19" s="155"/>
      <c r="E19" s="155">
        <f>SUM(C19:D19)</f>
        <v>1478824.9839915903</v>
      </c>
      <c r="F19" s="638"/>
      <c r="G19" s="639"/>
    </row>
    <row r="20" spans="1:8" x14ac:dyDescent="0.25">
      <c r="A20" s="612" t="s">
        <v>84</v>
      </c>
      <c r="B20" s="140">
        <f>D31</f>
        <v>3.1950138602539598E-2</v>
      </c>
      <c r="C20" s="155"/>
      <c r="D20" s="155">
        <f>E13*B20</f>
        <v>3445.1923915506541</v>
      </c>
      <c r="E20" s="155">
        <f>SUM(C20:D20)</f>
        <v>3445.1923915506541</v>
      </c>
      <c r="F20" s="638"/>
      <c r="G20" s="639"/>
    </row>
    <row r="21" spans="1:8" x14ac:dyDescent="0.25">
      <c r="A21" s="261" t="s">
        <v>92</v>
      </c>
      <c r="B21" s="156"/>
      <c r="C21" s="155">
        <f>SUM(C19:C20)</f>
        <v>1478824.9839915903</v>
      </c>
      <c r="D21" s="155">
        <f>SUM(D19:D20)</f>
        <v>3445.1923915506541</v>
      </c>
      <c r="E21" s="155">
        <f>SUM(C21:D21)</f>
        <v>1482270.176383141</v>
      </c>
      <c r="F21" s="638"/>
      <c r="G21" s="639"/>
    </row>
    <row r="22" spans="1:8" x14ac:dyDescent="0.25">
      <c r="A22" s="156"/>
      <c r="B22" s="157" t="s">
        <v>93</v>
      </c>
      <c r="C22" s="156"/>
      <c r="D22" s="156"/>
      <c r="E22" s="140">
        <f>+E21/E10</f>
        <v>2.4443933509191149E-2</v>
      </c>
      <c r="F22" s="642" t="s">
        <v>197</v>
      </c>
      <c r="G22" s="639"/>
    </row>
    <row r="23" spans="1:8" x14ac:dyDescent="0.25">
      <c r="E23" s="632">
        <f>E19/E21</f>
        <v>0.99767573250380226</v>
      </c>
      <c r="F23" s="643" t="s">
        <v>198</v>
      </c>
      <c r="G23" s="639"/>
      <c r="H23" s="639"/>
    </row>
    <row r="24" spans="1:8" x14ac:dyDescent="0.25">
      <c r="E24" s="632">
        <f>E20/E21</f>
        <v>2.3242674961977592E-3</v>
      </c>
      <c r="F24" s="638"/>
      <c r="G24" s="639"/>
      <c r="H24" s="639"/>
    </row>
    <row r="25" spans="1:8" ht="15.75" thickBot="1" x14ac:dyDescent="0.3">
      <c r="F25" s="638"/>
      <c r="G25" s="639"/>
      <c r="H25" s="639"/>
    </row>
    <row r="26" spans="1:8" x14ac:dyDescent="0.25">
      <c r="A26" s="219" t="s">
        <v>179</v>
      </c>
      <c r="B26" s="220"/>
      <c r="C26" s="220"/>
      <c r="D26" s="221"/>
      <c r="E26" s="632"/>
    </row>
    <row r="27" spans="1:8" ht="24.75" x14ac:dyDescent="0.25">
      <c r="A27" s="222" t="s">
        <v>180</v>
      </c>
      <c r="B27" s="223" t="s">
        <v>110</v>
      </c>
      <c r="C27" s="224" t="s">
        <v>181</v>
      </c>
      <c r="D27" s="225" t="s">
        <v>182</v>
      </c>
      <c r="E27" s="644"/>
      <c r="F27" s="638"/>
    </row>
    <row r="28" spans="1:8" x14ac:dyDescent="0.25">
      <c r="A28" s="222" t="s">
        <v>183</v>
      </c>
      <c r="B28" s="223"/>
      <c r="C28" s="226" t="s">
        <v>111</v>
      </c>
      <c r="D28" s="227" t="s">
        <v>111</v>
      </c>
      <c r="E28" s="638"/>
      <c r="F28" s="645"/>
    </row>
    <row r="29" spans="1:8" x14ac:dyDescent="0.25">
      <c r="A29" s="228"/>
      <c r="B29" s="229"/>
      <c r="C29" s="226" t="s">
        <v>184</v>
      </c>
      <c r="D29" s="230"/>
    </row>
    <row r="30" spans="1:8" x14ac:dyDescent="0.25">
      <c r="A30" s="231">
        <v>376.2</v>
      </c>
      <c r="B30" s="229" t="s">
        <v>185</v>
      </c>
      <c r="C30" s="232">
        <v>2.7700000000000002E-2</v>
      </c>
      <c r="D30" s="233">
        <v>2.443056207967733E-2</v>
      </c>
    </row>
    <row r="31" spans="1:8" ht="15.75" thickBot="1" x14ac:dyDescent="0.3">
      <c r="A31" s="234">
        <v>380.2</v>
      </c>
      <c r="B31" s="235" t="s">
        <v>186</v>
      </c>
      <c r="C31" s="236">
        <v>4.58E-2</v>
      </c>
      <c r="D31" s="237">
        <v>3.1950138602539598E-2</v>
      </c>
    </row>
    <row r="33" spans="1:8" x14ac:dyDescent="0.25">
      <c r="A33" s="151"/>
      <c r="B33" s="152" t="s">
        <v>85</v>
      </c>
      <c r="C33" s="152"/>
      <c r="D33" s="152"/>
      <c r="E33" s="632"/>
    </row>
    <row r="34" spans="1:8" x14ac:dyDescent="0.25">
      <c r="A34" s="641" t="s">
        <v>86</v>
      </c>
      <c r="B34" s="153" t="s">
        <v>87</v>
      </c>
      <c r="C34" s="154" t="s">
        <v>88</v>
      </c>
      <c r="D34" s="154" t="s">
        <v>89</v>
      </c>
      <c r="E34" s="154" t="s">
        <v>90</v>
      </c>
    </row>
    <row r="35" spans="1:8" x14ac:dyDescent="0.25">
      <c r="A35" s="261" t="s">
        <v>91</v>
      </c>
      <c r="B35" s="140">
        <f>D30</f>
        <v>2.443056207967733E-2</v>
      </c>
      <c r="C35" s="155">
        <f>E80*B35</f>
        <v>1026649.0141054934</v>
      </c>
      <c r="D35" s="155"/>
      <c r="E35" s="155">
        <f>SUM(C35:D35)</f>
        <v>1026649.0141054934</v>
      </c>
    </row>
    <row r="36" spans="1:8" x14ac:dyDescent="0.25">
      <c r="A36" s="261" t="s">
        <v>84</v>
      </c>
      <c r="B36" s="140">
        <f>D31</f>
        <v>3.1950138602539598E-2</v>
      </c>
      <c r="C36" s="155"/>
      <c r="D36" s="155">
        <f>E81*B36</f>
        <v>111651.69744198215</v>
      </c>
      <c r="E36" s="155">
        <f>SUM(C36:D36)</f>
        <v>111651.69744198215</v>
      </c>
    </row>
    <row r="37" spans="1:8" x14ac:dyDescent="0.25">
      <c r="A37" s="261" t="s">
        <v>92</v>
      </c>
      <c r="B37" s="156"/>
      <c r="C37" s="155">
        <f>SUM(C35:C36)</f>
        <v>1026649.0141054934</v>
      </c>
      <c r="D37" s="155">
        <f>SUM(D35:D36)</f>
        <v>111651.69744198215</v>
      </c>
      <c r="E37" s="155">
        <f>SUM(C37:D37)</f>
        <v>1138300.7115474755</v>
      </c>
    </row>
    <row r="38" spans="1:8" x14ac:dyDescent="0.25">
      <c r="A38" s="156"/>
      <c r="B38" s="157" t="s">
        <v>93</v>
      </c>
      <c r="C38" s="156"/>
      <c r="D38" s="156"/>
      <c r="E38" s="140">
        <f>+E37/E78</f>
        <v>2.5007867478263991E-2</v>
      </c>
    </row>
    <row r="41" spans="1:8" ht="15.75" thickBot="1" x14ac:dyDescent="0.3"/>
    <row r="42" spans="1:8" ht="15.75" thickBot="1" x14ac:dyDescent="0.3">
      <c r="A42" s="635"/>
      <c r="B42" s="238">
        <v>2018</v>
      </c>
      <c r="C42" s="636"/>
      <c r="D42" s="636"/>
      <c r="E42" s="637"/>
      <c r="G42" s="268"/>
      <c r="H42" s="268"/>
    </row>
    <row r="43" spans="1:8" ht="75" x14ac:dyDescent="0.25">
      <c r="A43" s="146" t="s">
        <v>79</v>
      </c>
      <c r="B43" s="146" t="s">
        <v>80</v>
      </c>
      <c r="C43" s="147" t="s">
        <v>194</v>
      </c>
      <c r="D43" s="147" t="s">
        <v>195</v>
      </c>
      <c r="E43" s="148" t="s">
        <v>81</v>
      </c>
      <c r="G43" s="239"/>
      <c r="H43" s="239"/>
    </row>
    <row r="44" spans="1:8" ht="15.75" x14ac:dyDescent="0.25">
      <c r="A44" s="449" t="s">
        <v>95</v>
      </c>
      <c r="B44" s="149" t="s">
        <v>96</v>
      </c>
      <c r="C44" s="139">
        <v>50181798.259999998</v>
      </c>
      <c r="D44" s="139">
        <v>4644023.4099999992</v>
      </c>
      <c r="E44" s="150">
        <f>SUM(C44:D44)</f>
        <v>54825821.669999994</v>
      </c>
      <c r="G44" s="240"/>
      <c r="H44" s="240"/>
    </row>
    <row r="45" spans="1:8" ht="15.75" x14ac:dyDescent="0.25">
      <c r="A45" s="449" t="s">
        <v>97</v>
      </c>
      <c r="B45" s="149" t="s">
        <v>98</v>
      </c>
      <c r="C45" s="139">
        <v>4782276.53</v>
      </c>
      <c r="D45" s="139"/>
      <c r="E45" s="150">
        <f>SUM(C45:D45)</f>
        <v>4782276.53</v>
      </c>
      <c r="G45" s="240"/>
      <c r="H45" s="240"/>
    </row>
    <row r="46" spans="1:8" ht="15.75" x14ac:dyDescent="0.25">
      <c r="A46" s="449" t="s">
        <v>99</v>
      </c>
      <c r="B46" s="149" t="s">
        <v>100</v>
      </c>
      <c r="C46" s="139">
        <v>676665.87999999989</v>
      </c>
      <c r="D46" s="139"/>
      <c r="E46" s="150">
        <f>SUM(C46:D46)</f>
        <v>676665.87999999989</v>
      </c>
      <c r="G46" s="240"/>
      <c r="H46" s="240"/>
    </row>
    <row r="47" spans="1:8" x14ac:dyDescent="0.25">
      <c r="A47" s="261" t="s">
        <v>82</v>
      </c>
      <c r="B47" s="261"/>
      <c r="C47" s="150">
        <f t="shared" ref="C47:D47" si="1">SUM(C44:C46)</f>
        <v>55640740.670000002</v>
      </c>
      <c r="D47" s="150">
        <f t="shared" si="1"/>
        <v>4644023.4099999992</v>
      </c>
      <c r="E47" s="150">
        <f>SUM(E44:E46)</f>
        <v>60284764.079999998</v>
      </c>
      <c r="F47" s="646"/>
      <c r="G47" s="241"/>
      <c r="H47" s="241"/>
    </row>
    <row r="48" spans="1:8" x14ac:dyDescent="0.25">
      <c r="G48" s="647"/>
      <c r="H48" s="647"/>
    </row>
    <row r="49" spans="1:8" x14ac:dyDescent="0.25">
      <c r="B49" s="612" t="s">
        <v>83</v>
      </c>
      <c r="C49" s="612"/>
      <c r="D49" s="612"/>
      <c r="E49" s="640">
        <f>+E44+E45</f>
        <v>59608098.199999996</v>
      </c>
      <c r="G49" s="647"/>
      <c r="H49" s="647"/>
    </row>
    <row r="50" spans="1:8" x14ac:dyDescent="0.25">
      <c r="B50" s="612" t="s">
        <v>84</v>
      </c>
      <c r="C50" s="612"/>
      <c r="D50" s="612"/>
      <c r="E50" s="640">
        <f>+E46</f>
        <v>676665.87999999989</v>
      </c>
      <c r="G50" s="647"/>
      <c r="H50" s="647"/>
    </row>
    <row r="51" spans="1:8" x14ac:dyDescent="0.25">
      <c r="E51" s="632">
        <f>+E49/E47</f>
        <v>0.98877550753782428</v>
      </c>
      <c r="G51" s="647"/>
      <c r="H51" s="647"/>
    </row>
    <row r="52" spans="1:8" x14ac:dyDescent="0.25">
      <c r="E52" s="632">
        <f>+E50/E47</f>
        <v>1.1224492462175693E-2</v>
      </c>
      <c r="G52" s="647"/>
      <c r="H52" s="647"/>
    </row>
    <row r="53" spans="1:8" x14ac:dyDescent="0.25">
      <c r="E53" s="632"/>
      <c r="G53" s="647"/>
      <c r="H53" s="647"/>
    </row>
    <row r="54" spans="1:8" x14ac:dyDescent="0.25">
      <c r="A54" s="151"/>
      <c r="B54" s="152" t="s">
        <v>85</v>
      </c>
      <c r="C54" s="152"/>
      <c r="D54" s="152"/>
      <c r="E54" s="152"/>
      <c r="G54" s="647"/>
      <c r="H54" s="647"/>
    </row>
    <row r="55" spans="1:8" x14ac:dyDescent="0.25">
      <c r="A55" s="641" t="s">
        <v>86</v>
      </c>
      <c r="B55" s="153" t="s">
        <v>192</v>
      </c>
      <c r="C55" s="154" t="s">
        <v>188</v>
      </c>
      <c r="D55" s="154" t="s">
        <v>189</v>
      </c>
      <c r="E55" s="154" t="s">
        <v>90</v>
      </c>
      <c r="G55" s="647"/>
      <c r="H55" s="647"/>
    </row>
    <row r="56" spans="1:8" x14ac:dyDescent="0.25">
      <c r="A56" s="261" t="s">
        <v>91</v>
      </c>
      <c r="B56" s="140">
        <f>C30</f>
        <v>2.7700000000000002E-2</v>
      </c>
      <c r="C56" s="155">
        <f>E49*B56</f>
        <v>1651144.32014</v>
      </c>
      <c r="D56" s="155"/>
      <c r="E56" s="155">
        <f>SUM(C56:D56)</f>
        <v>1651144.32014</v>
      </c>
      <c r="G56" s="647"/>
      <c r="H56" s="647"/>
    </row>
    <row r="57" spans="1:8" x14ac:dyDescent="0.25">
      <c r="A57" s="261" t="s">
        <v>84</v>
      </c>
      <c r="B57" s="140">
        <f>C31</f>
        <v>4.58E-2</v>
      </c>
      <c r="C57" s="155"/>
      <c r="D57" s="155">
        <f>E50*B57</f>
        <v>30991.297303999996</v>
      </c>
      <c r="E57" s="155">
        <f>SUM(C57:D57)</f>
        <v>30991.297303999996</v>
      </c>
      <c r="G57" s="647"/>
      <c r="H57" s="647"/>
    </row>
    <row r="58" spans="1:8" x14ac:dyDescent="0.25">
      <c r="A58" s="261" t="s">
        <v>92</v>
      </c>
      <c r="B58" s="156"/>
      <c r="C58" s="155">
        <f>SUM(C56:C57)</f>
        <v>1651144.32014</v>
      </c>
      <c r="D58" s="155">
        <f>SUM(D56:D57)</f>
        <v>30991.297303999996</v>
      </c>
      <c r="E58" s="155">
        <f>SUM(C58:D58)</f>
        <v>1682135.617444</v>
      </c>
      <c r="G58" s="647"/>
      <c r="H58" s="647"/>
    </row>
    <row r="59" spans="1:8" x14ac:dyDescent="0.25">
      <c r="A59" s="156"/>
      <c r="B59" s="157" t="s">
        <v>93</v>
      </c>
      <c r="C59" s="156"/>
      <c r="D59" s="156"/>
      <c r="E59" s="140">
        <f>+E58/E47</f>
        <v>2.790316331356538E-2</v>
      </c>
      <c r="G59" s="647"/>
      <c r="H59" s="647"/>
    </row>
    <row r="60" spans="1:8" x14ac:dyDescent="0.25">
      <c r="E60" s="632">
        <f>E56/E58</f>
        <v>0.98157621954935403</v>
      </c>
      <c r="G60" s="647"/>
      <c r="H60" s="647"/>
    </row>
    <row r="61" spans="1:8" x14ac:dyDescent="0.25">
      <c r="E61" s="632">
        <f>E57/E58</f>
        <v>1.8423780450645934E-2</v>
      </c>
      <c r="G61" s="647"/>
      <c r="H61" s="647"/>
    </row>
    <row r="62" spans="1:8" x14ac:dyDescent="0.25">
      <c r="A62" s="151"/>
      <c r="B62" s="152" t="s">
        <v>85</v>
      </c>
      <c r="C62" s="152"/>
      <c r="D62" s="152"/>
      <c r="E62" s="152"/>
      <c r="G62" s="647"/>
      <c r="H62" s="647"/>
    </row>
    <row r="63" spans="1:8" x14ac:dyDescent="0.25">
      <c r="A63" s="641" t="s">
        <v>86</v>
      </c>
      <c r="B63" s="153" t="s">
        <v>187</v>
      </c>
      <c r="C63" s="154" t="s">
        <v>188</v>
      </c>
      <c r="D63" s="154" t="s">
        <v>189</v>
      </c>
      <c r="E63" s="154" t="s">
        <v>90</v>
      </c>
      <c r="G63" s="647"/>
      <c r="H63" s="647"/>
    </row>
    <row r="64" spans="1:8" x14ac:dyDescent="0.25">
      <c r="A64" s="261" t="s">
        <v>91</v>
      </c>
      <c r="B64" s="140">
        <f>D30</f>
        <v>2.443056207967733E-2</v>
      </c>
      <c r="C64" s="155">
        <f>E49*B64</f>
        <v>1456259.3435266025</v>
      </c>
      <c r="D64" s="155"/>
      <c r="E64" s="155">
        <f>SUM(C64:D64)</f>
        <v>1456259.3435266025</v>
      </c>
      <c r="F64" s="638"/>
      <c r="G64" s="647"/>
      <c r="H64" s="647"/>
    </row>
    <row r="65" spans="1:8" x14ac:dyDescent="0.25">
      <c r="A65" s="261" t="s">
        <v>84</v>
      </c>
      <c r="B65" s="140">
        <f>D31</f>
        <v>3.1950138602539598E-2</v>
      </c>
      <c r="C65" s="155"/>
      <c r="D65" s="155">
        <f>E50*B65</f>
        <v>21619.568653609422</v>
      </c>
      <c r="E65" s="155">
        <f>SUM(C65:D65)</f>
        <v>21619.568653609422</v>
      </c>
      <c r="F65" s="638"/>
      <c r="G65" s="647"/>
      <c r="H65" s="647"/>
    </row>
    <row r="66" spans="1:8" x14ac:dyDescent="0.25">
      <c r="A66" s="261" t="s">
        <v>92</v>
      </c>
      <c r="B66" s="156"/>
      <c r="C66" s="155">
        <f>SUM(C64:C65)</f>
        <v>1456259.3435266025</v>
      </c>
      <c r="D66" s="155">
        <f>SUM(D64:D65)</f>
        <v>21619.568653609422</v>
      </c>
      <c r="E66" s="155">
        <f>SUM(C66:D66)</f>
        <v>1477878.9121802119</v>
      </c>
      <c r="F66" s="638"/>
      <c r="G66" s="647"/>
      <c r="H66" s="647"/>
    </row>
    <row r="67" spans="1:8" x14ac:dyDescent="0.25">
      <c r="A67" s="156"/>
      <c r="B67" s="157" t="s">
        <v>93</v>
      </c>
      <c r="C67" s="156"/>
      <c r="D67" s="156"/>
      <c r="E67" s="140">
        <f>+E66/E47</f>
        <v>2.451496550967695E-2</v>
      </c>
      <c r="G67" s="648"/>
      <c r="H67" s="648"/>
    </row>
    <row r="68" spans="1:8" x14ac:dyDescent="0.25">
      <c r="E68" s="632">
        <f>E64/E66</f>
        <v>0.98537121784780357</v>
      </c>
      <c r="F68" s="638"/>
      <c r="G68" s="649"/>
      <c r="H68" s="649"/>
    </row>
    <row r="69" spans="1:8" x14ac:dyDescent="0.25">
      <c r="E69" s="632">
        <f>E65/E66</f>
        <v>1.4628782152196472E-2</v>
      </c>
      <c r="F69" s="638"/>
      <c r="G69" s="649"/>
      <c r="H69" s="649"/>
    </row>
    <row r="70" spans="1:8" x14ac:dyDescent="0.25">
      <c r="F70" s="638"/>
      <c r="G70" s="649"/>
      <c r="H70" s="649"/>
    </row>
    <row r="71" spans="1:8" x14ac:dyDescent="0.25">
      <c r="E71" s="638">
        <f>E66/12*F71</f>
        <v>50237.303400000004</v>
      </c>
      <c r="F71" s="638">
        <f>0.01/E67</f>
        <v>0.40791409623042857</v>
      </c>
      <c r="G71" s="647"/>
      <c r="H71" s="647"/>
    </row>
    <row r="72" spans="1:8" ht="15.75" thickBot="1" x14ac:dyDescent="0.3">
      <c r="E72" s="638"/>
      <c r="G72" s="647"/>
      <c r="H72" s="647"/>
    </row>
    <row r="73" spans="1:8" ht="15.75" outlineLevel="1" thickBot="1" x14ac:dyDescent="0.3">
      <c r="A73" s="635"/>
      <c r="B73" s="238">
        <v>2017</v>
      </c>
      <c r="C73" s="636"/>
      <c r="D73" s="636"/>
      <c r="E73" s="637"/>
      <c r="G73" s="650"/>
      <c r="H73" s="650"/>
    </row>
    <row r="74" spans="1:8" ht="30" outlineLevel="1" x14ac:dyDescent="0.25">
      <c r="A74" s="146" t="s">
        <v>79</v>
      </c>
      <c r="B74" s="146" t="s">
        <v>80</v>
      </c>
      <c r="C74" s="148" t="s">
        <v>94</v>
      </c>
      <c r="D74" s="148" t="s">
        <v>178</v>
      </c>
      <c r="E74" s="148" t="s">
        <v>81</v>
      </c>
      <c r="G74" s="650"/>
      <c r="H74" s="650"/>
    </row>
    <row r="75" spans="1:8" ht="15.75" outlineLevel="1" x14ac:dyDescent="0.25">
      <c r="A75" s="449" t="s">
        <v>95</v>
      </c>
      <c r="B75" s="149" t="s">
        <v>96</v>
      </c>
      <c r="C75" s="150">
        <v>32093652.129999988</v>
      </c>
      <c r="D75" s="150">
        <v>2505759</v>
      </c>
      <c r="E75" s="150">
        <f>SUM(C75:D75)</f>
        <v>34599411.129999988</v>
      </c>
      <c r="G75" s="650"/>
      <c r="H75" s="650"/>
    </row>
    <row r="76" spans="1:8" ht="15.75" outlineLevel="1" x14ac:dyDescent="0.25">
      <c r="A76" s="449" t="s">
        <v>97</v>
      </c>
      <c r="B76" s="149" t="s">
        <v>98</v>
      </c>
      <c r="C76" s="150">
        <v>7251539.2899999935</v>
      </c>
      <c r="D76" s="150">
        <v>172193</v>
      </c>
      <c r="E76" s="150">
        <f>SUM(C76:D76)</f>
        <v>7423732.2899999935</v>
      </c>
      <c r="G76" s="650"/>
      <c r="H76" s="650"/>
    </row>
    <row r="77" spans="1:8" ht="15.75" outlineLevel="1" x14ac:dyDescent="0.25">
      <c r="A77" s="449" t="s">
        <v>99</v>
      </c>
      <c r="B77" s="149" t="s">
        <v>100</v>
      </c>
      <c r="C77" s="150">
        <v>3437688.6599999969</v>
      </c>
      <c r="D77" s="150">
        <v>56872</v>
      </c>
      <c r="E77" s="150">
        <f>SUM(C77:D77)</f>
        <v>3494560.6599999969</v>
      </c>
      <c r="G77" s="650"/>
      <c r="H77" s="650"/>
    </row>
    <row r="78" spans="1:8" outlineLevel="1" x14ac:dyDescent="0.25">
      <c r="A78" s="261" t="s">
        <v>82</v>
      </c>
      <c r="B78" s="261"/>
      <c r="C78" s="150">
        <f t="shared" ref="C78:D78" si="2">SUM(C75:C77)</f>
        <v>42782880.079999976</v>
      </c>
      <c r="D78" s="150">
        <f t="shared" si="2"/>
        <v>2734824</v>
      </c>
      <c r="E78" s="150">
        <f>SUM(E75:E77)</f>
        <v>45517704.079999976</v>
      </c>
      <c r="F78" s="622"/>
      <c r="G78" s="650"/>
      <c r="H78" s="650"/>
    </row>
    <row r="79" spans="1:8" outlineLevel="1" x14ac:dyDescent="0.25">
      <c r="F79" s="651"/>
      <c r="G79" s="650"/>
      <c r="H79" s="650"/>
    </row>
    <row r="80" spans="1:8" outlineLevel="1" x14ac:dyDescent="0.25">
      <c r="B80" s="612" t="s">
        <v>83</v>
      </c>
      <c r="C80" s="612"/>
      <c r="D80" s="612"/>
      <c r="E80" s="640">
        <f>+E75+E76</f>
        <v>42023143.419999979</v>
      </c>
      <c r="G80" s="650"/>
      <c r="H80" s="650"/>
    </row>
    <row r="81" spans="1:8" outlineLevel="1" x14ac:dyDescent="0.25">
      <c r="B81" s="612" t="s">
        <v>84</v>
      </c>
      <c r="C81" s="612"/>
      <c r="D81" s="612"/>
      <c r="E81" s="640">
        <f>+E77</f>
        <v>3494560.6599999969</v>
      </c>
    </row>
    <row r="82" spans="1:8" outlineLevel="1" x14ac:dyDescent="0.25">
      <c r="D82" s="449" t="s">
        <v>190</v>
      </c>
      <c r="E82" s="632">
        <f>+E80/E78</f>
        <v>0.92322634169205664</v>
      </c>
    </row>
    <row r="83" spans="1:8" outlineLevel="1" x14ac:dyDescent="0.25">
      <c r="D83" s="449" t="s">
        <v>191</v>
      </c>
      <c r="E83" s="632">
        <f>+E81/E78</f>
        <v>7.6773658307943346E-2</v>
      </c>
    </row>
    <row r="84" spans="1:8" outlineLevel="1" x14ac:dyDescent="0.25">
      <c r="A84" s="151"/>
      <c r="B84" s="152" t="s">
        <v>85</v>
      </c>
      <c r="C84" s="152"/>
      <c r="D84" s="152"/>
    </row>
    <row r="85" spans="1:8" outlineLevel="1" x14ac:dyDescent="0.25">
      <c r="A85" s="641" t="s">
        <v>86</v>
      </c>
      <c r="B85" s="153" t="s">
        <v>87</v>
      </c>
      <c r="C85" s="154" t="s">
        <v>88</v>
      </c>
      <c r="D85" s="154" t="s">
        <v>89</v>
      </c>
      <c r="E85" s="154" t="s">
        <v>90</v>
      </c>
    </row>
    <row r="86" spans="1:8" outlineLevel="1" x14ac:dyDescent="0.25">
      <c r="A86" s="261" t="s">
        <v>91</v>
      </c>
      <c r="B86" s="140">
        <f>C30</f>
        <v>2.7700000000000002E-2</v>
      </c>
      <c r="C86" s="155">
        <f>E80*B86</f>
        <v>1164041.0727339995</v>
      </c>
      <c r="D86" s="155"/>
      <c r="E86" s="155">
        <f>SUM(C86:D86)</f>
        <v>1164041.0727339995</v>
      </c>
      <c r="F86" s="638"/>
    </row>
    <row r="87" spans="1:8" outlineLevel="1" x14ac:dyDescent="0.25">
      <c r="A87" s="261" t="s">
        <v>84</v>
      </c>
      <c r="B87" s="140">
        <f>C31</f>
        <v>4.58E-2</v>
      </c>
      <c r="C87" s="155"/>
      <c r="D87" s="155">
        <f>E81*B87</f>
        <v>160050.87822799987</v>
      </c>
      <c r="E87" s="155">
        <f>SUM(C87:D87)</f>
        <v>160050.87822799987</v>
      </c>
      <c r="F87" s="638"/>
    </row>
    <row r="88" spans="1:8" outlineLevel="1" x14ac:dyDescent="0.25">
      <c r="A88" s="261" t="s">
        <v>92</v>
      </c>
      <c r="B88" s="156"/>
      <c r="C88" s="155">
        <f>SUM(C86:C87)</f>
        <v>1164041.0727339995</v>
      </c>
      <c r="D88" s="155">
        <f>SUM(D86:D87)</f>
        <v>160050.87822799987</v>
      </c>
      <c r="E88" s="155">
        <f>SUM(C88:D88)</f>
        <v>1324091.9509619994</v>
      </c>
      <c r="F88" s="638"/>
    </row>
    <row r="89" spans="1:8" outlineLevel="1" x14ac:dyDescent="0.25">
      <c r="A89" s="156"/>
      <c r="B89" s="157" t="s">
        <v>93</v>
      </c>
      <c r="C89" s="156"/>
      <c r="D89" s="156"/>
      <c r="E89" s="140">
        <f>+E88/E78</f>
        <v>2.9089603215373776E-2</v>
      </c>
      <c r="F89" s="638"/>
    </row>
    <row r="90" spans="1:8" outlineLevel="1" x14ac:dyDescent="0.25">
      <c r="E90" s="632">
        <f>E86/E88</f>
        <v>0.87912404564372038</v>
      </c>
      <c r="F90" s="638"/>
      <c r="G90" s="639"/>
      <c r="H90" s="639"/>
    </row>
    <row r="91" spans="1:8" outlineLevel="1" x14ac:dyDescent="0.25">
      <c r="E91" s="632">
        <f>E87/E88</f>
        <v>0.12087595435627962</v>
      </c>
      <c r="F91" s="638"/>
      <c r="G91" s="639"/>
      <c r="H91" s="639"/>
    </row>
  </sheetData>
  <pageMargins left="0.7" right="0.7" top="0.75" bottom="0.75" header="0.3" footer="0.3"/>
  <pageSetup scale="5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1"/>
  <sheetViews>
    <sheetView zoomScaleNormal="100" workbookViewId="0">
      <selection activeCell="I36" sqref="I36"/>
    </sheetView>
  </sheetViews>
  <sheetFormatPr defaultColWidth="9.28515625" defaultRowHeight="12.75" x14ac:dyDescent="0.2"/>
  <cols>
    <col min="1" max="1" width="3.5703125" style="413" customWidth="1"/>
    <col min="2" max="2" width="8.7109375" style="413" customWidth="1"/>
    <col min="3" max="3" width="63" style="413" bestFit="1" customWidth="1"/>
    <col min="4" max="4" width="4.42578125" style="413" customWidth="1"/>
    <col min="5" max="16384" width="9.28515625" style="413"/>
  </cols>
  <sheetData>
    <row r="3" spans="2:6" ht="13.5" thickBot="1" x14ac:dyDescent="0.25"/>
    <row r="4" spans="2:6" ht="13.5" thickBot="1" x14ac:dyDescent="0.25">
      <c r="B4" s="414"/>
      <c r="C4" s="414"/>
      <c r="D4" s="414"/>
      <c r="E4" s="414"/>
      <c r="F4" s="415" t="s">
        <v>303</v>
      </c>
    </row>
    <row r="5" spans="2:6" x14ac:dyDescent="0.2">
      <c r="C5" s="835" t="s">
        <v>304</v>
      </c>
      <c r="D5" s="835"/>
      <c r="E5" s="835"/>
      <c r="F5" s="835"/>
    </row>
    <row r="6" spans="2:6" x14ac:dyDescent="0.2">
      <c r="B6" s="416"/>
      <c r="C6" s="836" t="s">
        <v>305</v>
      </c>
      <c r="D6" s="836"/>
      <c r="E6" s="836"/>
      <c r="F6" s="836"/>
    </row>
    <row r="7" spans="2:6" x14ac:dyDescent="0.2">
      <c r="B7" s="417"/>
      <c r="C7" s="837" t="s">
        <v>306</v>
      </c>
      <c r="D7" s="837"/>
      <c r="E7" s="837"/>
      <c r="F7" s="837"/>
    </row>
    <row r="8" spans="2:6" x14ac:dyDescent="0.2">
      <c r="B8" s="417"/>
      <c r="C8" s="837"/>
      <c r="D8" s="837"/>
      <c r="E8" s="837"/>
      <c r="F8" s="837"/>
    </row>
    <row r="9" spans="2:6" x14ac:dyDescent="0.2">
      <c r="B9" s="414"/>
      <c r="C9" s="414"/>
      <c r="D9" s="414"/>
      <c r="E9" s="414"/>
      <c r="F9" s="414"/>
    </row>
    <row r="10" spans="2:6" x14ac:dyDescent="0.2">
      <c r="B10" s="433" t="s">
        <v>108</v>
      </c>
      <c r="C10" s="414"/>
      <c r="D10" s="414"/>
      <c r="E10" s="414"/>
      <c r="F10" s="414"/>
    </row>
    <row r="11" spans="2:6" x14ac:dyDescent="0.2">
      <c r="B11" s="418" t="s">
        <v>109</v>
      </c>
      <c r="C11" s="419" t="s">
        <v>110</v>
      </c>
      <c r="D11" s="420"/>
      <c r="E11" s="420"/>
      <c r="F11" s="421" t="s">
        <v>111</v>
      </c>
    </row>
    <row r="12" spans="2:6" x14ac:dyDescent="0.2">
      <c r="B12" s="422"/>
      <c r="C12" s="422"/>
      <c r="D12" s="422"/>
      <c r="E12" s="422"/>
      <c r="F12" s="423"/>
    </row>
    <row r="13" spans="2:6" x14ac:dyDescent="0.2">
      <c r="B13" s="423">
        <v>1</v>
      </c>
      <c r="C13" s="424" t="s">
        <v>112</v>
      </c>
      <c r="D13" s="422"/>
      <c r="E13" s="422"/>
      <c r="F13" s="425">
        <v>5.1399999999999996E-3</v>
      </c>
    </row>
    <row r="14" spans="2:6" x14ac:dyDescent="0.2">
      <c r="B14" s="423">
        <v>2</v>
      </c>
      <c r="C14" s="424" t="s">
        <v>113</v>
      </c>
      <c r="D14" s="422"/>
      <c r="E14" s="422"/>
      <c r="F14" s="425">
        <v>2E-3</v>
      </c>
    </row>
    <row r="15" spans="2:6" x14ac:dyDescent="0.2">
      <c r="B15" s="423">
        <v>3</v>
      </c>
      <c r="C15" s="424" t="s">
        <v>307</v>
      </c>
      <c r="D15" s="422"/>
      <c r="E15" s="426">
        <v>3.8519999999999999E-2</v>
      </c>
      <c r="F15" s="427">
        <v>3.8322000000000002E-2</v>
      </c>
    </row>
    <row r="16" spans="2:6" x14ac:dyDescent="0.2">
      <c r="B16" s="423">
        <v>4</v>
      </c>
      <c r="C16" s="424"/>
      <c r="D16" s="422"/>
      <c r="E16" s="422"/>
      <c r="F16" s="428"/>
    </row>
    <row r="17" spans="1:6" x14ac:dyDescent="0.2">
      <c r="B17" s="423">
        <v>5</v>
      </c>
      <c r="C17" s="424" t="s">
        <v>114</v>
      </c>
      <c r="D17" s="422"/>
      <c r="E17" s="422"/>
      <c r="F17" s="425">
        <v>4.5462000000000002E-2</v>
      </c>
    </row>
    <row r="18" spans="1:6" x14ac:dyDescent="0.2">
      <c r="B18" s="423">
        <v>6</v>
      </c>
      <c r="C18" s="422"/>
      <c r="D18" s="422"/>
      <c r="E18" s="422"/>
      <c r="F18" s="425"/>
    </row>
    <row r="19" spans="1:6" x14ac:dyDescent="0.2">
      <c r="A19" s="429"/>
      <c r="B19" s="423">
        <v>7</v>
      </c>
      <c r="C19" s="422" t="s">
        <v>308</v>
      </c>
      <c r="D19" s="422"/>
      <c r="E19" s="422"/>
      <c r="F19" s="425">
        <v>0.954538</v>
      </c>
    </row>
    <row r="20" spans="1:6" x14ac:dyDescent="0.2">
      <c r="B20" s="423">
        <v>8</v>
      </c>
      <c r="C20" s="424" t="s">
        <v>309</v>
      </c>
      <c r="D20" s="422"/>
      <c r="E20" s="430">
        <v>0.35</v>
      </c>
      <c r="F20" s="425">
        <v>0.334088</v>
      </c>
    </row>
    <row r="21" spans="1:6" x14ac:dyDescent="0.2">
      <c r="B21" s="423">
        <v>9</v>
      </c>
      <c r="C21" s="424" t="s">
        <v>310</v>
      </c>
      <c r="D21" s="422"/>
      <c r="E21" s="422"/>
      <c r="F21" s="431">
        <v>0.62044999999999995</v>
      </c>
    </row>
  </sheetData>
  <mergeCells count="4">
    <mergeCell ref="C5:F5"/>
    <mergeCell ref="C6:F6"/>
    <mergeCell ref="C7:F7"/>
    <mergeCell ref="C8:F8"/>
  </mergeCells>
  <printOptions horizontalCentered="1"/>
  <pageMargins left="0.68" right="0.56000000000000005" top="1" bottom="1" header="0.5" footer="0.5"/>
  <pageSetup scale="9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70" zoomScaleNormal="70" workbookViewId="0">
      <selection activeCell="I36" sqref="I36"/>
    </sheetView>
  </sheetViews>
  <sheetFormatPr defaultRowHeight="12.75" x14ac:dyDescent="0.2"/>
  <cols>
    <col min="1" max="1" width="5.42578125" customWidth="1"/>
    <col min="2" max="2" width="49.7109375" bestFit="1" customWidth="1"/>
    <col min="5" max="5" width="18.7109375" customWidth="1"/>
    <col min="6" max="6" width="5" bestFit="1" customWidth="1"/>
    <col min="7" max="7" width="75.42578125" bestFit="1" customWidth="1"/>
    <col min="9" max="9" width="8.42578125" bestFit="1" customWidth="1"/>
    <col min="10" max="10" width="14.28515625" bestFit="1" customWidth="1"/>
  </cols>
  <sheetData>
    <row r="1" spans="1:11" ht="15" x14ac:dyDescent="0.25">
      <c r="A1" s="176" t="s">
        <v>231</v>
      </c>
      <c r="B1" s="177"/>
      <c r="C1" s="177"/>
      <c r="D1" s="178" t="s">
        <v>233</v>
      </c>
      <c r="E1" s="179"/>
      <c r="F1" s="652"/>
      <c r="G1" s="652"/>
      <c r="H1" s="652"/>
      <c r="I1" s="653" t="s">
        <v>234</v>
      </c>
      <c r="J1" s="654"/>
    </row>
    <row r="2" spans="1:11" ht="15" x14ac:dyDescent="0.25">
      <c r="A2" s="180" t="s">
        <v>235</v>
      </c>
      <c r="B2" s="180"/>
      <c r="C2" s="180"/>
      <c r="D2" s="180"/>
      <c r="E2" s="180"/>
      <c r="F2" s="655" t="s">
        <v>235</v>
      </c>
      <c r="G2" s="655"/>
      <c r="H2" s="656"/>
      <c r="I2" s="656"/>
      <c r="J2" s="656"/>
    </row>
    <row r="3" spans="1:11" ht="15" x14ac:dyDescent="0.25">
      <c r="A3" s="180" t="s">
        <v>236</v>
      </c>
      <c r="B3" s="180"/>
      <c r="C3" s="180"/>
      <c r="D3" s="180"/>
      <c r="E3" s="180"/>
      <c r="F3" s="655" t="s">
        <v>236</v>
      </c>
      <c r="G3" s="655"/>
      <c r="H3" s="656"/>
      <c r="I3" s="656"/>
      <c r="J3" s="656"/>
    </row>
    <row r="4" spans="1:11" ht="15" x14ac:dyDescent="0.25">
      <c r="A4" s="180" t="s">
        <v>237</v>
      </c>
      <c r="B4" s="180"/>
      <c r="C4" s="180"/>
      <c r="D4" s="180"/>
      <c r="E4" s="180"/>
      <c r="F4" s="655" t="s">
        <v>237</v>
      </c>
      <c r="G4" s="655"/>
      <c r="H4" s="656"/>
      <c r="I4" s="656"/>
      <c r="J4" s="656"/>
    </row>
    <row r="5" spans="1:11" ht="15" x14ac:dyDescent="0.25">
      <c r="A5" s="180" t="s">
        <v>238</v>
      </c>
      <c r="B5" s="180"/>
      <c r="C5" s="180"/>
      <c r="D5" s="180"/>
      <c r="E5" s="180"/>
      <c r="F5" s="655" t="s">
        <v>238</v>
      </c>
      <c r="G5" s="655"/>
      <c r="H5" s="656"/>
      <c r="I5" s="656"/>
      <c r="J5" s="656"/>
    </row>
    <row r="6" spans="1:11" ht="14.25" x14ac:dyDescent="0.2">
      <c r="A6" s="180" t="s">
        <v>239</v>
      </c>
      <c r="B6" s="180"/>
      <c r="C6" s="180"/>
      <c r="D6" s="180"/>
      <c r="E6" s="180"/>
      <c r="F6" s="657" t="s">
        <v>240</v>
      </c>
      <c r="G6" s="657"/>
      <c r="H6" s="655"/>
      <c r="I6" s="655"/>
      <c r="J6" s="655"/>
    </row>
    <row r="7" spans="1:11" ht="15" x14ac:dyDescent="0.25">
      <c r="A7" s="177"/>
      <c r="B7" s="181"/>
      <c r="C7" s="181"/>
      <c r="D7" s="181"/>
      <c r="E7" s="181"/>
      <c r="F7" s="656"/>
      <c r="G7" s="656"/>
      <c r="H7" s="656"/>
      <c r="I7" s="656"/>
      <c r="J7" s="656"/>
    </row>
    <row r="8" spans="1:11" ht="15" x14ac:dyDescent="0.25">
      <c r="A8" s="177"/>
      <c r="B8" s="177"/>
      <c r="C8" s="177"/>
      <c r="D8" s="177"/>
      <c r="E8" s="177"/>
      <c r="F8" s="656"/>
      <c r="G8" s="655" t="s">
        <v>342</v>
      </c>
      <c r="H8" s="656"/>
      <c r="I8" s="656"/>
      <c r="J8" s="652"/>
    </row>
    <row r="9" spans="1:11" x14ac:dyDescent="0.2">
      <c r="A9" s="182" t="s">
        <v>108</v>
      </c>
      <c r="B9" s="182"/>
      <c r="C9" s="183" t="s">
        <v>209</v>
      </c>
      <c r="D9" s="184"/>
      <c r="E9" s="183" t="s">
        <v>241</v>
      </c>
      <c r="F9" s="433" t="s">
        <v>108</v>
      </c>
      <c r="G9" s="433"/>
      <c r="H9" s="433"/>
      <c r="I9" s="658"/>
      <c r="J9" s="658"/>
    </row>
    <row r="10" spans="1:11" x14ac:dyDescent="0.2">
      <c r="A10" s="185" t="s">
        <v>109</v>
      </c>
      <c r="B10" s="185" t="s">
        <v>110</v>
      </c>
      <c r="C10" s="186" t="s">
        <v>242</v>
      </c>
      <c r="D10" s="186" t="s">
        <v>243</v>
      </c>
      <c r="E10" s="186" t="s">
        <v>243</v>
      </c>
      <c r="F10" s="418" t="s">
        <v>109</v>
      </c>
      <c r="G10" s="418" t="s">
        <v>110</v>
      </c>
      <c r="H10" s="418"/>
      <c r="I10" s="659"/>
      <c r="J10" s="659"/>
    </row>
    <row r="11" spans="1:11" ht="15" x14ac:dyDescent="0.25">
      <c r="A11" s="177"/>
      <c r="B11" s="177"/>
      <c r="C11" s="177"/>
      <c r="D11" s="177"/>
      <c r="E11" s="177"/>
      <c r="F11" s="652"/>
      <c r="G11" s="652"/>
      <c r="H11" s="652"/>
      <c r="I11" s="652"/>
      <c r="J11" s="652"/>
    </row>
    <row r="12" spans="1:11" ht="15" x14ac:dyDescent="0.25">
      <c r="A12" s="188">
        <v>1</v>
      </c>
      <c r="B12" s="189" t="s">
        <v>244</v>
      </c>
      <c r="C12" s="190">
        <v>0.51500000000000001</v>
      </c>
      <c r="D12" s="190">
        <v>5.4951456310679617E-2</v>
      </c>
      <c r="E12" s="190">
        <v>2.8299999999999999E-2</v>
      </c>
      <c r="F12" s="660">
        <v>1</v>
      </c>
      <c r="G12" s="661" t="s">
        <v>112</v>
      </c>
      <c r="H12" s="662"/>
      <c r="I12" s="662"/>
      <c r="J12" s="663">
        <v>5.1240000000000001E-3</v>
      </c>
      <c r="K12" s="218"/>
    </row>
    <row r="13" spans="1:11" ht="15" x14ac:dyDescent="0.25">
      <c r="A13" s="188">
        <v>2</v>
      </c>
      <c r="B13" s="189" t="s">
        <v>245</v>
      </c>
      <c r="C13" s="190">
        <v>0.48499999999999999</v>
      </c>
      <c r="D13" s="190">
        <v>9.4E-2</v>
      </c>
      <c r="E13" s="190">
        <v>4.5600000000000002E-2</v>
      </c>
      <c r="F13" s="660">
        <f t="shared" ref="F13:F20" si="0">F12+1</f>
        <v>2</v>
      </c>
      <c r="G13" s="664" t="s">
        <v>113</v>
      </c>
      <c r="H13" s="665"/>
      <c r="I13" s="665"/>
      <c r="J13" s="666">
        <v>2E-3</v>
      </c>
      <c r="K13" s="218"/>
    </row>
    <row r="14" spans="1:11" ht="15" x14ac:dyDescent="0.25">
      <c r="A14" s="188">
        <v>3</v>
      </c>
      <c r="B14" s="189" t="s">
        <v>246</v>
      </c>
      <c r="C14" s="193">
        <v>1</v>
      </c>
      <c r="D14" s="194"/>
      <c r="E14" s="195">
        <v>7.3899999999999993E-2</v>
      </c>
      <c r="F14" s="660">
        <f t="shared" si="0"/>
        <v>3</v>
      </c>
      <c r="G14" s="661" t="str">
        <f>"STATE UTILITY TAX ( "&amp;J14*100&amp;"% - ( LINE 1 * "&amp;J14*100&amp;"% )  )"</f>
        <v>STATE UTILITY TAX ( 3.8323% - ( LINE 1 * 3.8323% )  )</v>
      </c>
      <c r="H14" s="177"/>
      <c r="I14" s="667">
        <v>3.8519999999999999E-2</v>
      </c>
      <c r="J14" s="668">
        <v>3.8323000000000003E-2</v>
      </c>
      <c r="K14" s="218"/>
    </row>
    <row r="15" spans="1:11" ht="15" x14ac:dyDescent="0.25">
      <c r="A15" s="188">
        <v>4</v>
      </c>
      <c r="B15" s="189"/>
      <c r="C15" s="177"/>
      <c r="D15" s="177"/>
      <c r="E15" s="177"/>
      <c r="F15" s="660">
        <f t="shared" si="0"/>
        <v>4</v>
      </c>
      <c r="G15" s="661"/>
      <c r="H15" s="662"/>
      <c r="I15" s="662"/>
      <c r="J15" s="669"/>
      <c r="K15" s="218"/>
    </row>
    <row r="16" spans="1:11" ht="15" x14ac:dyDescent="0.25">
      <c r="A16" s="188">
        <v>5</v>
      </c>
      <c r="B16" s="189" t="s">
        <v>248</v>
      </c>
      <c r="C16" s="190">
        <v>0.51500000000000001</v>
      </c>
      <c r="D16" s="190">
        <v>4.3411650485436902E-2</v>
      </c>
      <c r="E16" s="190">
        <v>2.24E-2</v>
      </c>
      <c r="F16" s="660">
        <f t="shared" si="0"/>
        <v>5</v>
      </c>
      <c r="G16" s="661" t="s">
        <v>114</v>
      </c>
      <c r="H16" s="662"/>
      <c r="I16" s="662"/>
      <c r="J16" s="663">
        <v>4.5447000000000001E-2</v>
      </c>
      <c r="K16" s="218"/>
    </row>
    <row r="17" spans="1:11" ht="15" x14ac:dyDescent="0.25">
      <c r="A17" s="188">
        <v>6</v>
      </c>
      <c r="B17" s="189" t="s">
        <v>245</v>
      </c>
      <c r="C17" s="190">
        <v>0.48499999999999999</v>
      </c>
      <c r="D17" s="190">
        <v>9.4E-2</v>
      </c>
      <c r="E17" s="190">
        <v>4.5600000000000002E-2</v>
      </c>
      <c r="F17" s="660">
        <f t="shared" si="0"/>
        <v>6</v>
      </c>
      <c r="G17" s="662"/>
      <c r="H17" s="662"/>
      <c r="I17" s="662"/>
      <c r="J17" s="663"/>
      <c r="K17" s="218"/>
    </row>
    <row r="18" spans="1:11" ht="15" x14ac:dyDescent="0.25">
      <c r="A18" s="188">
        <v>7</v>
      </c>
      <c r="B18" s="189" t="s">
        <v>249</v>
      </c>
      <c r="C18" s="193">
        <v>1</v>
      </c>
      <c r="D18" s="194"/>
      <c r="E18" s="193">
        <v>6.8000000000000005E-2</v>
      </c>
      <c r="F18" s="660">
        <f t="shared" si="0"/>
        <v>7</v>
      </c>
      <c r="G18" s="662" t="str">
        <f>"CONVERSION FACTOR EXCLUDING FEDERAL INCOME TAX ( 1 - LINE "&amp;$I$17&amp;" )"</f>
        <v>CONVERSION FACTOR EXCLUDING FEDERAL INCOME TAX ( 1 - LINE  )</v>
      </c>
      <c r="H18" s="662"/>
      <c r="I18" s="662"/>
      <c r="J18" s="663">
        <v>0.95455299999999998</v>
      </c>
      <c r="K18" s="218"/>
    </row>
    <row r="19" spans="1:11" ht="15" x14ac:dyDescent="0.25">
      <c r="A19" s="188"/>
      <c r="B19" s="177"/>
      <c r="C19" s="177"/>
      <c r="D19" s="177"/>
      <c r="E19" s="177"/>
      <c r="F19" s="660">
        <f t="shared" si="0"/>
        <v>8</v>
      </c>
      <c r="G19" s="661" t="s">
        <v>251</v>
      </c>
      <c r="H19" s="662"/>
      <c r="I19" s="670">
        <v>0.21</v>
      </c>
      <c r="J19" s="663">
        <v>0.200456</v>
      </c>
      <c r="K19" s="218"/>
    </row>
    <row r="20" spans="1:11" ht="15.75" thickBot="1" x14ac:dyDescent="0.3">
      <c r="A20" s="188"/>
      <c r="B20" s="177"/>
      <c r="C20" s="177"/>
      <c r="D20" s="177"/>
      <c r="E20" s="177"/>
      <c r="F20" s="660">
        <f t="shared" si="0"/>
        <v>9</v>
      </c>
      <c r="G20" s="661" t="str">
        <f>"CONVERSION FACTOR INCL FEDERAL INCOME TAX ( LINE "&amp;F18&amp;" - LINE "&amp;F19&amp;" ) "</f>
        <v xml:space="preserve">CONVERSION FACTOR INCL FEDERAL INCOME TAX ( LINE 7 - LINE 8 ) </v>
      </c>
      <c r="H20" s="662"/>
      <c r="I20" s="662"/>
      <c r="J20" s="671">
        <v>0.75409700000000002</v>
      </c>
      <c r="K20" s="218"/>
    </row>
    <row r="21" spans="1:11" ht="15.75" thickTop="1" x14ac:dyDescent="0.25">
      <c r="A21" s="188"/>
      <c r="B21" s="201"/>
      <c r="C21" s="7"/>
      <c r="D21" s="177"/>
      <c r="E21" s="177"/>
      <c r="F21" s="188"/>
      <c r="G21" s="177"/>
      <c r="H21" s="189"/>
      <c r="I21" s="189"/>
      <c r="J21" s="189"/>
      <c r="K21" s="218"/>
    </row>
    <row r="22" spans="1:11" x14ac:dyDescent="0.2">
      <c r="G22" s="218"/>
      <c r="H22" s="218"/>
      <c r="I22" s="218"/>
      <c r="J22" s="218"/>
      <c r="K22" s="218"/>
    </row>
    <row r="23" spans="1:11" ht="15" x14ac:dyDescent="0.25">
      <c r="F23" s="176" t="s">
        <v>231</v>
      </c>
      <c r="G23" s="177"/>
      <c r="H23" s="177"/>
      <c r="I23" s="178" t="s">
        <v>234</v>
      </c>
      <c r="J23" s="179"/>
      <c r="K23" s="218"/>
    </row>
    <row r="24" spans="1:11" ht="15" x14ac:dyDescent="0.25">
      <c r="F24" s="180" t="s">
        <v>235</v>
      </c>
      <c r="G24" s="180"/>
      <c r="H24" s="181"/>
      <c r="I24" s="181"/>
      <c r="J24" s="181"/>
      <c r="K24" s="218"/>
    </row>
    <row r="25" spans="1:11" ht="15" x14ac:dyDescent="0.25">
      <c r="F25" s="180" t="s">
        <v>236</v>
      </c>
      <c r="G25" s="180"/>
      <c r="H25" s="181"/>
      <c r="I25" s="181"/>
      <c r="J25" s="181"/>
      <c r="K25" s="218"/>
    </row>
    <row r="26" spans="1:11" ht="15" x14ac:dyDescent="0.25">
      <c r="F26" s="180" t="s">
        <v>237</v>
      </c>
      <c r="G26" s="180"/>
      <c r="H26" s="181"/>
      <c r="I26" s="181"/>
      <c r="J26" s="181"/>
      <c r="K26" s="218"/>
    </row>
    <row r="27" spans="1:11" ht="15" x14ac:dyDescent="0.25">
      <c r="F27" s="180" t="s">
        <v>238</v>
      </c>
      <c r="G27" s="180"/>
      <c r="H27" s="181"/>
      <c r="I27" s="181"/>
      <c r="J27" s="181"/>
      <c r="K27" s="218"/>
    </row>
    <row r="28" spans="1:11" ht="14.25" x14ac:dyDescent="0.2">
      <c r="F28" s="180" t="s">
        <v>240</v>
      </c>
      <c r="G28" s="180"/>
      <c r="H28" s="180"/>
      <c r="I28" s="180"/>
      <c r="J28" s="180"/>
      <c r="K28" s="218"/>
    </row>
    <row r="29" spans="1:11" ht="15" x14ac:dyDescent="0.25">
      <c r="F29" s="181"/>
      <c r="G29" s="181"/>
      <c r="H29" s="181"/>
      <c r="I29" s="181"/>
      <c r="J29" s="181"/>
      <c r="K29" s="218"/>
    </row>
    <row r="30" spans="1:11" ht="15" x14ac:dyDescent="0.25">
      <c r="F30" s="181"/>
      <c r="G30" s="180" t="s">
        <v>343</v>
      </c>
      <c r="H30" s="181"/>
      <c r="I30" s="181"/>
      <c r="J30" s="177"/>
      <c r="K30" s="218"/>
    </row>
    <row r="31" spans="1:11" x14ac:dyDescent="0.2">
      <c r="F31" s="182" t="s">
        <v>108</v>
      </c>
      <c r="G31" s="182"/>
      <c r="H31" s="182"/>
      <c r="I31" s="184"/>
      <c r="J31" s="184"/>
      <c r="K31" s="218"/>
    </row>
    <row r="32" spans="1:11" x14ac:dyDescent="0.2">
      <c r="F32" s="185" t="s">
        <v>109</v>
      </c>
      <c r="G32" s="185" t="s">
        <v>110</v>
      </c>
      <c r="H32" s="185"/>
      <c r="I32" s="187"/>
      <c r="J32" s="187"/>
      <c r="K32" s="218"/>
    </row>
    <row r="33" spans="6:11" ht="15" x14ac:dyDescent="0.25">
      <c r="F33" s="177"/>
      <c r="G33" s="177"/>
      <c r="H33" s="177"/>
      <c r="I33" s="177"/>
      <c r="J33" s="177"/>
      <c r="K33" s="218"/>
    </row>
    <row r="34" spans="6:11" ht="15" x14ac:dyDescent="0.25">
      <c r="F34" s="188">
        <v>1</v>
      </c>
      <c r="G34" s="191" t="s">
        <v>112</v>
      </c>
      <c r="H34" s="189"/>
      <c r="I34" s="189"/>
      <c r="J34" s="192">
        <v>5.1240000000000001E-3</v>
      </c>
      <c r="K34" s="218"/>
    </row>
    <row r="35" spans="6:11" ht="15" x14ac:dyDescent="0.25">
      <c r="F35" s="188">
        <v>2</v>
      </c>
      <c r="G35" s="672" t="s">
        <v>113</v>
      </c>
      <c r="H35" s="673"/>
      <c r="I35" s="673"/>
      <c r="J35" s="674">
        <v>4.0000000000000001E-3</v>
      </c>
      <c r="K35" s="218"/>
    </row>
    <row r="36" spans="6:11" ht="15" x14ac:dyDescent="0.25">
      <c r="F36" s="188">
        <v>3</v>
      </c>
      <c r="G36" s="191" t="s">
        <v>247</v>
      </c>
      <c r="H36" s="177"/>
      <c r="I36" s="196">
        <v>3.8519999999999999E-2</v>
      </c>
      <c r="J36" s="197">
        <v>3.8323000000000003E-2</v>
      </c>
      <c r="K36" s="218"/>
    </row>
    <row r="37" spans="6:11" ht="15" x14ac:dyDescent="0.25">
      <c r="F37" s="188">
        <v>4</v>
      </c>
      <c r="G37" s="191"/>
      <c r="H37" s="189"/>
      <c r="I37" s="189"/>
      <c r="J37" s="198"/>
      <c r="K37" s="218"/>
    </row>
    <row r="38" spans="6:11" ht="15" x14ac:dyDescent="0.25">
      <c r="F38" s="188">
        <v>5</v>
      </c>
      <c r="G38" s="191" t="s">
        <v>114</v>
      </c>
      <c r="H38" s="189"/>
      <c r="I38" s="189"/>
      <c r="J38" s="192">
        <v>4.7447000000000003E-2</v>
      </c>
      <c r="K38" s="218"/>
    </row>
    <row r="39" spans="6:11" ht="15" x14ac:dyDescent="0.25">
      <c r="F39" s="188">
        <v>6</v>
      </c>
      <c r="G39" s="189"/>
      <c r="H39" s="189"/>
      <c r="I39" s="189"/>
      <c r="J39" s="192"/>
    </row>
    <row r="40" spans="6:11" ht="15" x14ac:dyDescent="0.25">
      <c r="F40" s="188">
        <v>7</v>
      </c>
      <c r="G40" s="189" t="s">
        <v>250</v>
      </c>
      <c r="H40" s="189"/>
      <c r="I40" s="189"/>
      <c r="J40" s="192">
        <v>0.95255299999999998</v>
      </c>
    </row>
    <row r="41" spans="6:11" ht="15" x14ac:dyDescent="0.25">
      <c r="F41" s="188">
        <v>8</v>
      </c>
      <c r="G41" s="191" t="s">
        <v>251</v>
      </c>
      <c r="H41" s="189"/>
      <c r="I41" s="199">
        <v>0.21</v>
      </c>
      <c r="J41" s="192">
        <v>0.20003599999999999</v>
      </c>
    </row>
    <row r="42" spans="6:11" ht="15.75" thickBot="1" x14ac:dyDescent="0.3">
      <c r="F42" s="188">
        <v>9</v>
      </c>
      <c r="G42" s="191" t="s">
        <v>252</v>
      </c>
      <c r="H42" s="189"/>
      <c r="I42" s="189"/>
      <c r="J42" s="200">
        <v>0.75251699999999999</v>
      </c>
    </row>
    <row r="43" spans="6:11" ht="13.5" thickTop="1" x14ac:dyDescent="0.2"/>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7"/>
  <sheetViews>
    <sheetView workbookViewId="0">
      <selection activeCell="I36" sqref="I36"/>
    </sheetView>
  </sheetViews>
  <sheetFormatPr defaultColWidth="9.28515625" defaultRowHeight="15" x14ac:dyDescent="0.2"/>
  <cols>
    <col min="1" max="1" width="19.28515625" style="128" bestFit="1" customWidth="1"/>
    <col min="2" max="2" width="11.5703125" style="128" bestFit="1" customWidth="1"/>
    <col min="3" max="22" width="10.28515625" style="128" bestFit="1" customWidth="1"/>
    <col min="23" max="23" width="12.7109375" style="128" bestFit="1" customWidth="1"/>
    <col min="24" max="16384" width="9.28515625" style="128"/>
  </cols>
  <sheetData>
    <row r="2" spans="1:23" x14ac:dyDescent="0.2">
      <c r="B2" s="129"/>
    </row>
    <row r="4" spans="1:23" x14ac:dyDescent="0.2">
      <c r="A4" s="130" t="s">
        <v>103</v>
      </c>
      <c r="B4" s="131">
        <v>1</v>
      </c>
      <c r="C4" s="131">
        <v>2</v>
      </c>
      <c r="D4" s="131">
        <v>3</v>
      </c>
      <c r="E4" s="131">
        <v>4</v>
      </c>
      <c r="F4" s="131">
        <v>5</v>
      </c>
      <c r="G4" s="131">
        <v>6</v>
      </c>
      <c r="H4" s="131">
        <v>7</v>
      </c>
      <c r="I4" s="131">
        <v>8</v>
      </c>
      <c r="J4" s="131">
        <v>9</v>
      </c>
      <c r="K4" s="131">
        <v>10</v>
      </c>
      <c r="L4" s="131">
        <v>11</v>
      </c>
      <c r="M4" s="131">
        <v>12</v>
      </c>
      <c r="N4" s="131">
        <v>13</v>
      </c>
      <c r="O4" s="131">
        <v>14</v>
      </c>
      <c r="P4" s="131">
        <v>15</v>
      </c>
      <c r="Q4" s="131">
        <v>16</v>
      </c>
      <c r="R4" s="131">
        <v>17</v>
      </c>
      <c r="S4" s="131">
        <v>18</v>
      </c>
      <c r="T4" s="131">
        <v>19</v>
      </c>
      <c r="U4" s="131">
        <v>20</v>
      </c>
      <c r="V4" s="131">
        <v>21</v>
      </c>
      <c r="W4" s="131" t="s">
        <v>104</v>
      </c>
    </row>
    <row r="5" spans="1:23" x14ac:dyDescent="0.2">
      <c r="A5" s="132" t="s">
        <v>105</v>
      </c>
      <c r="B5" s="133">
        <v>3.7499999999999999E-2</v>
      </c>
      <c r="C5" s="133">
        <v>7.2190000000000004E-2</v>
      </c>
      <c r="D5" s="133">
        <v>6.6769999999999996E-2</v>
      </c>
      <c r="E5" s="133">
        <v>6.1769999999999999E-2</v>
      </c>
      <c r="F5" s="133">
        <v>5.713E-2</v>
      </c>
      <c r="G5" s="133">
        <v>5.2850000000000001E-2</v>
      </c>
      <c r="H5" s="133">
        <v>4.888E-2</v>
      </c>
      <c r="I5" s="133">
        <v>4.5220000000000003E-2</v>
      </c>
      <c r="J5" s="133">
        <v>4.462E-2</v>
      </c>
      <c r="K5" s="133">
        <v>4.4610000000000004E-2</v>
      </c>
      <c r="L5" s="133">
        <v>4.462E-2</v>
      </c>
      <c r="M5" s="133">
        <v>4.4610000000000004E-2</v>
      </c>
      <c r="N5" s="133">
        <v>4.462E-2</v>
      </c>
      <c r="O5" s="133">
        <v>4.4610000000000004E-2</v>
      </c>
      <c r="P5" s="133">
        <v>4.462E-2</v>
      </c>
      <c r="Q5" s="133">
        <v>4.4610000000000004E-2</v>
      </c>
      <c r="R5" s="133">
        <v>4.462E-2</v>
      </c>
      <c r="S5" s="133">
        <v>4.4610000000000004E-2</v>
      </c>
      <c r="T5" s="133">
        <v>4.462E-2</v>
      </c>
      <c r="U5" s="133">
        <v>4.4610000000000004E-2</v>
      </c>
      <c r="V5" s="133">
        <v>2.231E-2</v>
      </c>
      <c r="W5" s="133">
        <f>SUM(B5:V5)</f>
        <v>1.0000000000000002</v>
      </c>
    </row>
    <row r="6" spans="1:23" x14ac:dyDescent="0.2">
      <c r="A6" s="132" t="s">
        <v>106</v>
      </c>
      <c r="B6" s="133">
        <f>B5*0.5+0.5</f>
        <v>0.51875000000000004</v>
      </c>
      <c r="C6" s="133">
        <f>C5*0.5</f>
        <v>3.6095000000000002E-2</v>
      </c>
      <c r="D6" s="133">
        <f t="shared" ref="D6:V6" si="0">D5*0.5</f>
        <v>3.3384999999999998E-2</v>
      </c>
      <c r="E6" s="133">
        <f t="shared" si="0"/>
        <v>3.0884999999999999E-2</v>
      </c>
      <c r="F6" s="133">
        <f t="shared" si="0"/>
        <v>2.8565E-2</v>
      </c>
      <c r="G6" s="133">
        <f t="shared" si="0"/>
        <v>2.6425000000000001E-2</v>
      </c>
      <c r="H6" s="133">
        <f t="shared" si="0"/>
        <v>2.444E-2</v>
      </c>
      <c r="I6" s="133">
        <f t="shared" si="0"/>
        <v>2.2610000000000002E-2</v>
      </c>
      <c r="J6" s="133">
        <f t="shared" si="0"/>
        <v>2.231E-2</v>
      </c>
      <c r="K6" s="133">
        <f t="shared" si="0"/>
        <v>2.2305000000000002E-2</v>
      </c>
      <c r="L6" s="133">
        <f t="shared" si="0"/>
        <v>2.231E-2</v>
      </c>
      <c r="M6" s="133">
        <f t="shared" si="0"/>
        <v>2.2305000000000002E-2</v>
      </c>
      <c r="N6" s="133">
        <f t="shared" si="0"/>
        <v>2.231E-2</v>
      </c>
      <c r="O6" s="133">
        <f t="shared" si="0"/>
        <v>2.2305000000000002E-2</v>
      </c>
      <c r="P6" s="133">
        <f t="shared" si="0"/>
        <v>2.231E-2</v>
      </c>
      <c r="Q6" s="133">
        <f t="shared" si="0"/>
        <v>2.2305000000000002E-2</v>
      </c>
      <c r="R6" s="133">
        <f t="shared" si="0"/>
        <v>2.231E-2</v>
      </c>
      <c r="S6" s="133">
        <f t="shared" si="0"/>
        <v>2.2305000000000002E-2</v>
      </c>
      <c r="T6" s="133">
        <f t="shared" si="0"/>
        <v>2.231E-2</v>
      </c>
      <c r="U6" s="133">
        <f t="shared" si="0"/>
        <v>2.2305000000000002E-2</v>
      </c>
      <c r="V6" s="133">
        <f t="shared" si="0"/>
        <v>1.1155E-2</v>
      </c>
      <c r="W6" s="133">
        <f>SUM(B6:V6)</f>
        <v>1.0000000000000004</v>
      </c>
    </row>
    <row r="7" spans="1:23" x14ac:dyDescent="0.2">
      <c r="A7" s="132" t="s">
        <v>107</v>
      </c>
      <c r="B7" s="133">
        <f>B5*0.6+0.4</f>
        <v>0.42250000000000004</v>
      </c>
      <c r="C7" s="133">
        <f>C5*0.6</f>
        <v>4.3313999999999998E-2</v>
      </c>
      <c r="D7" s="133">
        <f t="shared" ref="D7:V7" si="1">D5*0.6</f>
        <v>4.0061999999999993E-2</v>
      </c>
      <c r="E7" s="133">
        <f t="shared" si="1"/>
        <v>3.7061999999999998E-2</v>
      </c>
      <c r="F7" s="133">
        <f t="shared" si="1"/>
        <v>3.4277999999999996E-2</v>
      </c>
      <c r="G7" s="133">
        <f t="shared" si="1"/>
        <v>3.1710000000000002E-2</v>
      </c>
      <c r="H7" s="133">
        <f t="shared" si="1"/>
        <v>2.9328E-2</v>
      </c>
      <c r="I7" s="133">
        <f t="shared" si="1"/>
        <v>2.7132E-2</v>
      </c>
      <c r="J7" s="133">
        <f t="shared" si="1"/>
        <v>2.6772000000000001E-2</v>
      </c>
      <c r="K7" s="133">
        <f t="shared" si="1"/>
        <v>2.6766000000000002E-2</v>
      </c>
      <c r="L7" s="133">
        <f t="shared" si="1"/>
        <v>2.6772000000000001E-2</v>
      </c>
      <c r="M7" s="133">
        <f t="shared" si="1"/>
        <v>2.6766000000000002E-2</v>
      </c>
      <c r="N7" s="133">
        <f t="shared" si="1"/>
        <v>2.6772000000000001E-2</v>
      </c>
      <c r="O7" s="133">
        <f t="shared" si="1"/>
        <v>2.6766000000000002E-2</v>
      </c>
      <c r="P7" s="133">
        <f t="shared" si="1"/>
        <v>2.6772000000000001E-2</v>
      </c>
      <c r="Q7" s="133">
        <f t="shared" si="1"/>
        <v>2.6766000000000002E-2</v>
      </c>
      <c r="R7" s="133">
        <f t="shared" si="1"/>
        <v>2.6772000000000001E-2</v>
      </c>
      <c r="S7" s="133">
        <f t="shared" si="1"/>
        <v>2.6766000000000002E-2</v>
      </c>
      <c r="T7" s="133">
        <f t="shared" si="1"/>
        <v>2.6772000000000001E-2</v>
      </c>
      <c r="U7" s="133">
        <f t="shared" si="1"/>
        <v>2.6766000000000002E-2</v>
      </c>
      <c r="V7" s="133">
        <f t="shared" si="1"/>
        <v>1.3386E-2</v>
      </c>
      <c r="W7" s="133">
        <f>SUM(B7:V7)</f>
        <v>1</v>
      </c>
    </row>
  </sheetData>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
  <sheetViews>
    <sheetView workbookViewId="0">
      <selection activeCell="E25" sqref="E25"/>
    </sheetView>
  </sheetViews>
  <sheetFormatPr defaultRowHeight="12.75" x14ac:dyDescent="0.2"/>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
  <sheetViews>
    <sheetView zoomScale="90" zoomScaleNormal="90" workbookViewId="0">
      <pane xSplit="3" ySplit="9" topLeftCell="I10" activePane="bottomRight" state="frozenSplit"/>
      <selection activeCell="E22" sqref="E22"/>
      <selection pane="topRight" activeCell="E22" sqref="E22"/>
      <selection pane="bottomLeft" activeCell="E22" sqref="E22"/>
      <selection pane="bottomRight" activeCell="T24" sqref="T24"/>
    </sheetView>
  </sheetViews>
  <sheetFormatPr defaultColWidth="8.7109375" defaultRowHeight="15" x14ac:dyDescent="0.25"/>
  <cols>
    <col min="1" max="1" width="2.85546875" style="683" customWidth="1"/>
    <col min="2" max="2" width="37.5703125" style="683" customWidth="1"/>
    <col min="3" max="3" width="8.42578125" style="683" bestFit="1" customWidth="1"/>
    <col min="4" max="4" width="15" style="683" bestFit="1" customWidth="1"/>
    <col min="5" max="5" width="14.5703125" style="683" bestFit="1" customWidth="1"/>
    <col min="6" max="6" width="10.5703125" style="683" bestFit="1" customWidth="1"/>
    <col min="7" max="7" width="15" style="683" customWidth="1"/>
    <col min="8" max="9" width="14.5703125" style="683" bestFit="1" customWidth="1"/>
    <col min="10" max="11" width="13.28515625" style="683" bestFit="1" customWidth="1"/>
    <col min="12" max="12" width="12.140625" style="683" bestFit="1" customWidth="1"/>
    <col min="13" max="13" width="13.28515625" style="683" bestFit="1" customWidth="1"/>
    <col min="14" max="14" width="14" style="683" bestFit="1" customWidth="1"/>
    <col min="15" max="15" width="12.85546875" style="683" bestFit="1" customWidth="1"/>
    <col min="16" max="17" width="13.28515625" style="683" bestFit="1" customWidth="1"/>
    <col min="18" max="18" width="16.140625" style="683" bestFit="1" customWidth="1"/>
    <col min="19" max="19" width="13.28515625" style="683" bestFit="1" customWidth="1"/>
    <col min="20" max="20" width="7.85546875" style="683" bestFit="1" customWidth="1"/>
    <col min="21" max="21" width="13.7109375" style="683" bestFit="1" customWidth="1"/>
    <col min="22" max="16384" width="8.7109375" style="683"/>
  </cols>
  <sheetData>
    <row r="1" spans="2:21" x14ac:dyDescent="0.25">
      <c r="B1" s="682" t="s">
        <v>0</v>
      </c>
      <c r="C1" s="682"/>
      <c r="D1" s="682"/>
      <c r="E1" s="682"/>
      <c r="F1" s="682"/>
      <c r="G1" s="682"/>
      <c r="H1" s="682"/>
      <c r="I1" s="682"/>
      <c r="J1" s="682"/>
      <c r="K1" s="682"/>
      <c r="L1" s="682"/>
      <c r="M1" s="682"/>
      <c r="N1" s="682"/>
      <c r="O1" s="682"/>
      <c r="P1" s="682"/>
      <c r="Q1" s="682"/>
      <c r="R1" s="682"/>
      <c r="S1" s="682"/>
      <c r="T1" s="682"/>
    </row>
    <row r="2" spans="2:21" x14ac:dyDescent="0.25">
      <c r="B2" s="682" t="s">
        <v>350</v>
      </c>
      <c r="C2" s="682"/>
      <c r="D2" s="682"/>
      <c r="E2" s="682"/>
      <c r="F2" s="682"/>
      <c r="G2" s="682"/>
      <c r="H2" s="682"/>
      <c r="I2" s="682"/>
      <c r="J2" s="682"/>
      <c r="K2" s="682"/>
      <c r="L2" s="682"/>
      <c r="M2" s="682"/>
      <c r="N2" s="682"/>
      <c r="O2" s="682"/>
      <c r="P2" s="682"/>
      <c r="Q2" s="682"/>
      <c r="R2" s="682"/>
      <c r="S2" s="682"/>
      <c r="T2" s="682"/>
    </row>
    <row r="3" spans="2:21" x14ac:dyDescent="0.25">
      <c r="B3" s="684" t="s">
        <v>351</v>
      </c>
      <c r="C3" s="684"/>
      <c r="D3" s="684"/>
      <c r="E3" s="684"/>
      <c r="F3" s="684"/>
      <c r="G3" s="684"/>
      <c r="H3" s="684"/>
      <c r="I3" s="684"/>
      <c r="J3" s="684"/>
      <c r="K3" s="684"/>
      <c r="L3" s="684"/>
      <c r="M3" s="684"/>
      <c r="N3" s="684"/>
      <c r="O3" s="684"/>
      <c r="P3" s="684"/>
      <c r="Q3" s="684"/>
      <c r="R3" s="684"/>
      <c r="S3" s="684"/>
      <c r="T3" s="684"/>
    </row>
    <row r="4" spans="2:21" x14ac:dyDescent="0.25">
      <c r="B4" s="684" t="s">
        <v>352</v>
      </c>
      <c r="C4" s="684"/>
      <c r="D4" s="684"/>
      <c r="E4" s="684"/>
      <c r="F4" s="684"/>
      <c r="G4" s="684"/>
      <c r="H4" s="684"/>
      <c r="I4" s="684"/>
      <c r="J4" s="684"/>
      <c r="K4" s="684"/>
      <c r="L4" s="684"/>
      <c r="M4" s="684"/>
      <c r="N4" s="684"/>
      <c r="O4" s="684"/>
      <c r="P4" s="684"/>
      <c r="Q4" s="684"/>
      <c r="R4" s="684"/>
      <c r="S4" s="684"/>
      <c r="T4" s="684"/>
    </row>
    <row r="5" spans="2:21" x14ac:dyDescent="0.25">
      <c r="F5" s="685"/>
      <c r="N5" s="685"/>
      <c r="Q5" s="685"/>
    </row>
    <row r="6" spans="2:21" x14ac:dyDescent="0.25">
      <c r="F6" s="685"/>
      <c r="G6" s="686" t="s">
        <v>353</v>
      </c>
      <c r="N6" s="685"/>
      <c r="Q6" s="685"/>
    </row>
    <row r="7" spans="2:21" x14ac:dyDescent="0.25">
      <c r="B7" s="686"/>
      <c r="C7" s="686"/>
      <c r="D7" s="686" t="s">
        <v>354</v>
      </c>
      <c r="E7" s="686" t="s">
        <v>354</v>
      </c>
      <c r="F7" s="686" t="s">
        <v>355</v>
      </c>
      <c r="G7" s="686" t="s">
        <v>356</v>
      </c>
      <c r="H7" s="685"/>
      <c r="I7" s="686"/>
      <c r="J7" s="686"/>
      <c r="K7" s="686"/>
      <c r="L7" s="686"/>
      <c r="M7" s="686"/>
      <c r="N7" s="686"/>
      <c r="O7" s="686"/>
      <c r="P7" s="686"/>
      <c r="Q7" s="686"/>
      <c r="R7" s="687" t="s">
        <v>357</v>
      </c>
      <c r="S7" s="687" t="s">
        <v>358</v>
      </c>
      <c r="T7" s="686"/>
    </row>
    <row r="8" spans="2:21" x14ac:dyDescent="0.25">
      <c r="B8" s="686"/>
      <c r="C8" s="686" t="s">
        <v>359</v>
      </c>
      <c r="D8" s="686" t="s">
        <v>129</v>
      </c>
      <c r="E8" s="686" t="s">
        <v>360</v>
      </c>
      <c r="F8" s="686" t="s">
        <v>359</v>
      </c>
      <c r="G8" s="687" t="s">
        <v>361</v>
      </c>
      <c r="H8" s="685" t="s">
        <v>360</v>
      </c>
      <c r="I8" s="686" t="s">
        <v>362</v>
      </c>
      <c r="J8" s="686" t="s">
        <v>363</v>
      </c>
      <c r="K8" s="686" t="s">
        <v>364</v>
      </c>
      <c r="L8" s="686" t="s">
        <v>365</v>
      </c>
      <c r="M8" s="686" t="s">
        <v>366</v>
      </c>
      <c r="N8" s="686" t="s">
        <v>367</v>
      </c>
      <c r="O8" s="686" t="s">
        <v>368</v>
      </c>
      <c r="P8" s="686" t="s">
        <v>369</v>
      </c>
      <c r="Q8" s="686" t="s">
        <v>358</v>
      </c>
      <c r="R8" s="686" t="s">
        <v>370</v>
      </c>
      <c r="S8" s="686" t="s">
        <v>371</v>
      </c>
      <c r="T8" s="686" t="s">
        <v>144</v>
      </c>
    </row>
    <row r="9" spans="2:21" ht="17.25" x14ac:dyDescent="0.25">
      <c r="B9" s="688" t="s">
        <v>372</v>
      </c>
      <c r="C9" s="688" t="s">
        <v>162</v>
      </c>
      <c r="D9" s="688" t="s">
        <v>373</v>
      </c>
      <c r="E9" s="688" t="s">
        <v>374</v>
      </c>
      <c r="F9" s="688" t="s">
        <v>375</v>
      </c>
      <c r="G9" s="689" t="s">
        <v>376</v>
      </c>
      <c r="H9" s="688" t="s">
        <v>371</v>
      </c>
      <c r="I9" s="688" t="s">
        <v>371</v>
      </c>
      <c r="J9" s="688" t="s">
        <v>371</v>
      </c>
      <c r="K9" s="688" t="s">
        <v>371</v>
      </c>
      <c r="L9" s="688" t="s">
        <v>371</v>
      </c>
      <c r="M9" s="688" t="s">
        <v>371</v>
      </c>
      <c r="N9" s="688" t="s">
        <v>371</v>
      </c>
      <c r="O9" s="688" t="s">
        <v>371</v>
      </c>
      <c r="P9" s="688" t="s">
        <v>371</v>
      </c>
      <c r="Q9" s="688" t="s">
        <v>371</v>
      </c>
      <c r="R9" s="690" t="s">
        <v>377</v>
      </c>
      <c r="S9" s="688" t="s">
        <v>378</v>
      </c>
      <c r="T9" s="688" t="s">
        <v>378</v>
      </c>
    </row>
    <row r="10" spans="2:21" x14ac:dyDescent="0.25">
      <c r="B10" s="686" t="s">
        <v>379</v>
      </c>
      <c r="C10" s="686" t="s">
        <v>380</v>
      </c>
      <c r="D10" s="691" t="s">
        <v>381</v>
      </c>
      <c r="E10" s="692" t="s">
        <v>382</v>
      </c>
      <c r="F10" s="686" t="s">
        <v>383</v>
      </c>
      <c r="G10" s="686" t="s">
        <v>384</v>
      </c>
      <c r="H10" s="686" t="s">
        <v>385</v>
      </c>
      <c r="I10" s="686" t="s">
        <v>386</v>
      </c>
      <c r="J10" s="686" t="s">
        <v>387</v>
      </c>
      <c r="K10" s="686" t="s">
        <v>388</v>
      </c>
      <c r="L10" s="692" t="s">
        <v>389</v>
      </c>
      <c r="M10" s="686" t="s">
        <v>390</v>
      </c>
      <c r="N10" s="692" t="s">
        <v>391</v>
      </c>
      <c r="O10" s="692" t="s">
        <v>392</v>
      </c>
      <c r="P10" s="692" t="s">
        <v>393</v>
      </c>
      <c r="Q10" s="686" t="s">
        <v>394</v>
      </c>
      <c r="R10" s="693" t="s">
        <v>395</v>
      </c>
      <c r="S10" s="686" t="s">
        <v>396</v>
      </c>
      <c r="T10" s="686" t="s">
        <v>397</v>
      </c>
    </row>
    <row r="11" spans="2:21" x14ac:dyDescent="0.25">
      <c r="B11" s="683" t="s">
        <v>127</v>
      </c>
      <c r="C11" s="685" t="s">
        <v>398</v>
      </c>
      <c r="D11" s="785">
        <v>609248315.15931809</v>
      </c>
      <c r="E11" s="700">
        <v>363968434.35868043</v>
      </c>
      <c r="F11" s="695">
        <f t="shared" ref="F11:F16" si="0">(E11)/D11</f>
        <v>0.59740572981888818</v>
      </c>
      <c r="G11" s="791">
        <f>'Sch. 149'!C9</f>
        <v>592785009</v>
      </c>
      <c r="H11" s="696">
        <f>F11*G11</f>
        <v>354133160.92734122</v>
      </c>
      <c r="I11" s="700">
        <v>274696573.17000002</v>
      </c>
      <c r="J11" s="700">
        <v>15519111.539999999</v>
      </c>
      <c r="K11" s="700">
        <v>14025293.31294</v>
      </c>
      <c r="L11" s="700">
        <v>2163665.2828500001</v>
      </c>
      <c r="M11" s="700">
        <v>14001581.912580002</v>
      </c>
      <c r="N11" s="700">
        <v>1861344.92826</v>
      </c>
      <c r="O11" s="700">
        <v>-812115.46232999989</v>
      </c>
      <c r="P11" s="700">
        <v>9881726.0999999996</v>
      </c>
      <c r="Q11" s="694">
        <f>'Sch. 149'!F9</f>
        <v>13385085.503219999</v>
      </c>
      <c r="R11" s="697">
        <f t="shared" ref="R11:R23" si="1">SUM(H11:Q11)</f>
        <v>698855427.21486127</v>
      </c>
      <c r="S11" s="694">
        <f>'Sch. 149'!H9</f>
        <v>4119855.8125500008</v>
      </c>
      <c r="T11" s="698">
        <f>S11/R11</f>
        <v>5.8951474827473324E-3</v>
      </c>
      <c r="U11" s="699"/>
    </row>
    <row r="12" spans="2:21" x14ac:dyDescent="0.25">
      <c r="B12" s="683" t="s">
        <v>399</v>
      </c>
      <c r="C12" s="685">
        <v>16</v>
      </c>
      <c r="D12" s="785">
        <v>9386</v>
      </c>
      <c r="E12" s="700">
        <v>5552.56</v>
      </c>
      <c r="F12" s="695">
        <f t="shared" si="0"/>
        <v>0.59157894736842109</v>
      </c>
      <c r="G12" s="791">
        <f>'Sch. 149'!C10</f>
        <v>7068</v>
      </c>
      <c r="H12" s="696">
        <f t="shared" ref="H12:H23" si="2">F12*G12</f>
        <v>4181.2800000000007</v>
      </c>
      <c r="I12" s="700">
        <v>3275.31</v>
      </c>
      <c r="J12" s="700">
        <v>185.04</v>
      </c>
      <c r="K12" s="700">
        <v>167.22888</v>
      </c>
      <c r="L12" s="700"/>
      <c r="M12" s="700">
        <v>166.94616000000002</v>
      </c>
      <c r="N12" s="700">
        <v>22.193519999999999</v>
      </c>
      <c r="O12" s="700">
        <v>-9.6831599999999991</v>
      </c>
      <c r="P12" s="700"/>
      <c r="Q12" s="694">
        <f>'Sch. 149'!F10</f>
        <v>159.59544</v>
      </c>
      <c r="R12" s="697">
        <f t="shared" si="1"/>
        <v>8147.9108400000005</v>
      </c>
      <c r="S12" s="694">
        <f>'Sch. 149'!H10</f>
        <v>49.122600000000006</v>
      </c>
      <c r="T12" s="698">
        <f t="shared" ref="T12:T24" si="3">S12/R12</f>
        <v>6.0288583128383869E-3</v>
      </c>
      <c r="U12" s="699"/>
    </row>
    <row r="13" spans="2:21" x14ac:dyDescent="0.25">
      <c r="B13" s="683" t="s">
        <v>400</v>
      </c>
      <c r="C13" s="685">
        <v>31</v>
      </c>
      <c r="D13" s="785">
        <v>234140158.08963937</v>
      </c>
      <c r="E13" s="700">
        <v>115517786.53999999</v>
      </c>
      <c r="F13" s="695">
        <f t="shared" si="0"/>
        <v>0.49337024234763949</v>
      </c>
      <c r="G13" s="791">
        <f>'Sch. 149'!C11</f>
        <v>239317160</v>
      </c>
      <c r="H13" s="696">
        <f t="shared" si="2"/>
        <v>118071965.22714882</v>
      </c>
      <c r="I13" s="700">
        <v>109037684.44</v>
      </c>
      <c r="J13" s="700">
        <v>6255750.5599999996</v>
      </c>
      <c r="K13" s="700">
        <v>5662244.0055999998</v>
      </c>
      <c r="L13" s="700">
        <v>737096.85279999999</v>
      </c>
      <c r="M13" s="700">
        <v>6066690.0060000001</v>
      </c>
      <c r="N13" s="700">
        <v>847182.74640000006</v>
      </c>
      <c r="O13" s="700">
        <v>-351796.22519999999</v>
      </c>
      <c r="P13" s="700">
        <v>3802749.67</v>
      </c>
      <c r="Q13" s="694">
        <f>'Sch. 149'!F11</f>
        <v>5915920.1952</v>
      </c>
      <c r="R13" s="697">
        <f t="shared" si="1"/>
        <v>256045487.47794884</v>
      </c>
      <c r="S13" s="694">
        <f>'Sch. 149'!H11</f>
        <v>1160688.2259999998</v>
      </c>
      <c r="T13" s="698">
        <f>S13/R13</f>
        <v>4.5331329110026228E-3</v>
      </c>
      <c r="U13" s="699"/>
    </row>
    <row r="14" spans="2:21" x14ac:dyDescent="0.25">
      <c r="B14" s="683" t="s">
        <v>401</v>
      </c>
      <c r="C14" s="685">
        <v>41</v>
      </c>
      <c r="D14" s="785">
        <v>65836657.463465497</v>
      </c>
      <c r="E14" s="700">
        <v>16636904.087507829</v>
      </c>
      <c r="F14" s="695">
        <f t="shared" si="0"/>
        <v>0.25269970755638815</v>
      </c>
      <c r="G14" s="791">
        <f>'Sch. 149'!C12</f>
        <v>65277168</v>
      </c>
      <c r="H14" s="696">
        <f t="shared" si="2"/>
        <v>16495521.263709219</v>
      </c>
      <c r="I14" s="700">
        <v>27466248.02</v>
      </c>
      <c r="J14" s="700">
        <v>1699164.68</v>
      </c>
      <c r="K14" s="700">
        <v>1544457.7948799999</v>
      </c>
      <c r="L14" s="700">
        <v>97262.980320000002</v>
      </c>
      <c r="M14" s="700">
        <v>568564.13327999995</v>
      </c>
      <c r="N14" s="700">
        <v>86818.633440000005</v>
      </c>
      <c r="O14" s="700">
        <v>-36555.214079999998</v>
      </c>
      <c r="P14" s="700">
        <v>-1314150.69</v>
      </c>
      <c r="Q14" s="694">
        <f>'Sch. 149'!F12</f>
        <v>734368.14</v>
      </c>
      <c r="R14" s="697">
        <f t="shared" si="1"/>
        <v>47341699.741549231</v>
      </c>
      <c r="S14" s="694">
        <f>'Sch. 149'!H12</f>
        <v>194525.96063999995</v>
      </c>
      <c r="T14" s="698">
        <f t="shared" si="3"/>
        <v>4.108977111129686E-3</v>
      </c>
      <c r="U14" s="699"/>
    </row>
    <row r="15" spans="2:21" x14ac:dyDescent="0.25">
      <c r="B15" s="683" t="s">
        <v>130</v>
      </c>
      <c r="C15" s="685">
        <v>85</v>
      </c>
      <c r="D15" s="785">
        <v>16184434.068649083</v>
      </c>
      <c r="E15" s="700">
        <v>1697295.0899999999</v>
      </c>
      <c r="F15" s="695">
        <f t="shared" si="0"/>
        <v>0.1048720692240846</v>
      </c>
      <c r="G15" s="791">
        <f>'Sch. 149'!C13</f>
        <v>12864575</v>
      </c>
      <c r="H15" s="696">
        <f t="shared" si="2"/>
        <v>1349134.599938428</v>
      </c>
      <c r="I15" s="700">
        <v>5070867.8199999994</v>
      </c>
      <c r="J15" s="700">
        <v>333835.71999999997</v>
      </c>
      <c r="K15" s="700">
        <v>264624.30775000004</v>
      </c>
      <c r="L15" s="700">
        <v>9551.1572959164878</v>
      </c>
      <c r="M15" s="700">
        <v>60206.211000000003</v>
      </c>
      <c r="N15" s="700">
        <v>10420.30575</v>
      </c>
      <c r="O15" s="700">
        <v>-3473.43525</v>
      </c>
      <c r="P15" s="700"/>
      <c r="Q15" s="694">
        <f>'Sch. 149'!F13</f>
        <v>86321.298249999993</v>
      </c>
      <c r="R15" s="697">
        <f t="shared" si="1"/>
        <v>7181487.9847343434</v>
      </c>
      <c r="S15" s="694">
        <f>'Sch. 149'!H13</f>
        <v>7461.4535000000033</v>
      </c>
      <c r="T15" s="698">
        <f t="shared" si="3"/>
        <v>1.0389843324754954E-3</v>
      </c>
      <c r="U15" s="699"/>
    </row>
    <row r="16" spans="2:21" x14ac:dyDescent="0.25">
      <c r="B16" s="683" t="s">
        <v>402</v>
      </c>
      <c r="C16" s="685">
        <v>86</v>
      </c>
      <c r="D16" s="785">
        <v>9397200.2729263548</v>
      </c>
      <c r="E16" s="700">
        <v>1991938.09</v>
      </c>
      <c r="F16" s="695">
        <f t="shared" si="0"/>
        <v>0.21197144172172638</v>
      </c>
      <c r="G16" s="791">
        <f>'Sch. 149'!C14</f>
        <v>5457791</v>
      </c>
      <c r="H16" s="696">
        <f t="shared" si="2"/>
        <v>1156895.8268858627</v>
      </c>
      <c r="I16" s="700">
        <v>2274713.52</v>
      </c>
      <c r="J16" s="700">
        <v>141793.41</v>
      </c>
      <c r="K16" s="700">
        <v>112266.76087000001</v>
      </c>
      <c r="L16" s="700">
        <v>7149.7062099999994</v>
      </c>
      <c r="M16" s="700">
        <v>41752.101150000002</v>
      </c>
      <c r="N16" s="700">
        <v>6658.5050199999996</v>
      </c>
      <c r="O16" s="700">
        <v>-1801.0710300000001</v>
      </c>
      <c r="P16" s="700">
        <v>-97340.199999999983</v>
      </c>
      <c r="Q16" s="694">
        <f>'Sch. 149'!F14</f>
        <v>46172.91186</v>
      </c>
      <c r="R16" s="697">
        <f t="shared" si="1"/>
        <v>3688261.4709658623</v>
      </c>
      <c r="S16" s="694">
        <f>'Sch. 149'!H14</f>
        <v>9714.8679800000027</v>
      </c>
      <c r="T16" s="698">
        <f t="shared" si="3"/>
        <v>2.6339965472827295E-3</v>
      </c>
      <c r="U16" s="699"/>
    </row>
    <row r="17" spans="2:21" x14ac:dyDescent="0.25">
      <c r="B17" s="683" t="s">
        <v>403</v>
      </c>
      <c r="C17" s="685">
        <v>87</v>
      </c>
      <c r="D17" s="785">
        <v>23337042.118500695</v>
      </c>
      <c r="E17" s="700">
        <v>1376677.9799999997</v>
      </c>
      <c r="F17" s="695">
        <f>(E17)/D17</f>
        <v>5.8991108342244594E-2</v>
      </c>
      <c r="G17" s="791">
        <f>'Sch. 149'!C15</f>
        <v>15634790</v>
      </c>
      <c r="H17" s="696">
        <f t="shared" si="2"/>
        <v>922313.59079824237</v>
      </c>
      <c r="I17" s="700">
        <v>6207167.9800000004</v>
      </c>
      <c r="J17" s="700">
        <v>405722.8</v>
      </c>
      <c r="K17" s="700">
        <v>321607.63030000002</v>
      </c>
      <c r="L17" s="700">
        <v>4611.2253512993957</v>
      </c>
      <c r="M17" s="700">
        <v>37523.496000000006</v>
      </c>
      <c r="N17" s="700">
        <v>6722.9596999999994</v>
      </c>
      <c r="O17" s="700">
        <v>-2188.8705999999997</v>
      </c>
      <c r="P17" s="700"/>
      <c r="Q17" s="694">
        <f>'Sch. 149'!F15</f>
        <v>58474.114600000001</v>
      </c>
      <c r="R17" s="697">
        <f t="shared" si="1"/>
        <v>7961954.9261495415</v>
      </c>
      <c r="S17" s="694">
        <f>'Sch. 149'!H15</f>
        <v>3752.3496000000014</v>
      </c>
      <c r="T17" s="698">
        <f t="shared" si="3"/>
        <v>4.7128495888316523E-4</v>
      </c>
      <c r="U17" s="699"/>
    </row>
    <row r="18" spans="2:21" x14ac:dyDescent="0.25">
      <c r="B18" s="683" t="s">
        <v>404</v>
      </c>
      <c r="C18" s="685" t="s">
        <v>163</v>
      </c>
      <c r="D18" s="785">
        <v>36359.963605097219</v>
      </c>
      <c r="E18" s="700">
        <v>25086.03</v>
      </c>
      <c r="F18" s="695">
        <f>(E18)/D18</f>
        <v>0.68993550907964185</v>
      </c>
      <c r="G18" s="791">
        <f>'Sch. 149'!C16</f>
        <v>35371</v>
      </c>
      <c r="H18" s="696">
        <f t="shared" si="2"/>
        <v>24403.708891656013</v>
      </c>
      <c r="I18" s="700"/>
      <c r="J18" s="700"/>
      <c r="K18" s="700"/>
      <c r="L18" s="700">
        <v>108.94268</v>
      </c>
      <c r="M18" s="700">
        <v>896.65485000000001</v>
      </c>
      <c r="N18" s="700">
        <v>125.21334</v>
      </c>
      <c r="O18" s="700">
        <v>-51.995370000000001</v>
      </c>
      <c r="P18" s="700">
        <v>542.59</v>
      </c>
      <c r="Q18" s="694">
        <f>'Sch. 149'!F16</f>
        <v>874.37111999999991</v>
      </c>
      <c r="R18" s="697">
        <f t="shared" si="1"/>
        <v>26899.48551165601</v>
      </c>
      <c r="S18" s="694">
        <f>'Sch. 149'!H16</f>
        <v>171.54935000000012</v>
      </c>
      <c r="T18" s="698">
        <f t="shared" si="3"/>
        <v>6.3774212308136836E-3</v>
      </c>
      <c r="U18" s="699"/>
    </row>
    <row r="19" spans="2:21" x14ac:dyDescent="0.25">
      <c r="B19" s="683" t="s">
        <v>405</v>
      </c>
      <c r="C19" s="685" t="s">
        <v>164</v>
      </c>
      <c r="D19" s="785">
        <v>20492334.449073859</v>
      </c>
      <c r="E19" s="700">
        <v>4384305.3758256389</v>
      </c>
      <c r="F19" s="695">
        <f t="shared" ref="F19:F24" si="4">(E19)/D19</f>
        <v>0.21394855655519449</v>
      </c>
      <c r="G19" s="791">
        <f>'Sch. 149'!C17</f>
        <v>23550670</v>
      </c>
      <c r="H19" s="696">
        <f>F19*G19</f>
        <v>5038631.8524077218</v>
      </c>
      <c r="I19" s="700"/>
      <c r="J19" s="700"/>
      <c r="K19" s="700"/>
      <c r="L19" s="700">
        <v>35090.498299999999</v>
      </c>
      <c r="M19" s="700">
        <v>205126.33569999997</v>
      </c>
      <c r="N19" s="700">
        <v>31322.391100000001</v>
      </c>
      <c r="O19" s="700">
        <v>-13188.375199999999</v>
      </c>
      <c r="P19" s="700">
        <v>-415391.98</v>
      </c>
      <c r="Q19" s="694">
        <f>'Sch. 149'!F17</f>
        <v>264945.03749999998</v>
      </c>
      <c r="R19" s="697">
        <f t="shared" si="1"/>
        <v>5146535.7598077208</v>
      </c>
      <c r="S19" s="694">
        <f>'Sch. 149'!H17</f>
        <v>70180.996600000013</v>
      </c>
      <c r="T19" s="698">
        <f t="shared" si="3"/>
        <v>1.3636550851950563E-2</v>
      </c>
      <c r="U19" s="699"/>
    </row>
    <row r="20" spans="2:21" x14ac:dyDescent="0.25">
      <c r="B20" s="683" t="s">
        <v>406</v>
      </c>
      <c r="C20" s="685" t="s">
        <v>165</v>
      </c>
      <c r="D20" s="785">
        <v>74773537.134971082</v>
      </c>
      <c r="E20" s="700">
        <v>7487912.2400000002</v>
      </c>
      <c r="F20" s="695">
        <f t="shared" si="4"/>
        <v>0.10014120672777367</v>
      </c>
      <c r="G20" s="791">
        <f>'Sch. 149'!C18</f>
        <v>73347355</v>
      </c>
      <c r="H20" s="696">
        <f t="shared" si="2"/>
        <v>7345092.6399904042</v>
      </c>
      <c r="I20" s="700"/>
      <c r="J20" s="700"/>
      <c r="K20" s="700"/>
      <c r="L20" s="700">
        <v>49849.357770261704</v>
      </c>
      <c r="M20" s="700">
        <v>343265.6214</v>
      </c>
      <c r="N20" s="700">
        <v>59411.357549999993</v>
      </c>
      <c r="O20" s="700">
        <v>-19803.78585</v>
      </c>
      <c r="P20" s="700"/>
      <c r="Q20" s="694">
        <f>'Sch. 149'!F18</f>
        <v>492160.75205000001</v>
      </c>
      <c r="R20" s="697">
        <f t="shared" si="1"/>
        <v>8269975.9429106656</v>
      </c>
      <c r="S20" s="694">
        <f>'Sch. 149'!H18</f>
        <v>42541.465899999952</v>
      </c>
      <c r="T20" s="698">
        <f t="shared" si="3"/>
        <v>5.1440858103666068E-3</v>
      </c>
      <c r="U20" s="699"/>
    </row>
    <row r="21" spans="2:21" x14ac:dyDescent="0.25">
      <c r="B21" s="683" t="s">
        <v>407</v>
      </c>
      <c r="C21" s="685" t="s">
        <v>166</v>
      </c>
      <c r="D21" s="785">
        <v>351288.14999999997</v>
      </c>
      <c r="E21" s="700">
        <v>70256.2</v>
      </c>
      <c r="F21" s="695">
        <f t="shared" si="4"/>
        <v>0.19999592926775356</v>
      </c>
      <c r="G21" s="791">
        <f>'Sch. 149'!C19</f>
        <v>1280916</v>
      </c>
      <c r="H21" s="696">
        <f t="shared" si="2"/>
        <v>256177.98573393381</v>
      </c>
      <c r="I21" s="700"/>
      <c r="J21" s="700"/>
      <c r="K21" s="700"/>
      <c r="L21" s="700">
        <v>1677.9999599999999</v>
      </c>
      <c r="M21" s="700">
        <v>9799.0074000000004</v>
      </c>
      <c r="N21" s="700">
        <v>1562.7175199999999</v>
      </c>
      <c r="O21" s="700">
        <v>-422.70227999999997</v>
      </c>
      <c r="P21" s="700">
        <v>-18832.87</v>
      </c>
      <c r="Q21" s="694">
        <f>'Sch. 149'!F19</f>
        <v>10836.549360000001</v>
      </c>
      <c r="R21" s="697">
        <f t="shared" si="1"/>
        <v>260798.68769393378</v>
      </c>
      <c r="S21" s="694">
        <f>'Sch. 149'!H19</f>
        <v>2280.0304799999994</v>
      </c>
      <c r="T21" s="698">
        <f t="shared" si="3"/>
        <v>8.7424921504044573E-3</v>
      </c>
      <c r="U21" s="699"/>
    </row>
    <row r="22" spans="2:21" x14ac:dyDescent="0.25">
      <c r="B22" s="683" t="s">
        <v>408</v>
      </c>
      <c r="C22" s="685" t="s">
        <v>167</v>
      </c>
      <c r="D22" s="785">
        <v>100441128.37470125</v>
      </c>
      <c r="E22" s="700">
        <v>4338586.3099999996</v>
      </c>
      <c r="F22" s="695">
        <f>(E22)/D22</f>
        <v>4.3195316303244434E-2</v>
      </c>
      <c r="G22" s="791">
        <f>'Sch. 149'!C20</f>
        <v>103795280</v>
      </c>
      <c r="H22" s="696">
        <f t="shared" si="2"/>
        <v>4483469.9503838206</v>
      </c>
      <c r="I22" s="700"/>
      <c r="J22" s="700"/>
      <c r="K22" s="700"/>
      <c r="L22" s="700">
        <v>24726.839630329421</v>
      </c>
      <c r="M22" s="700">
        <v>249108.67200000002</v>
      </c>
      <c r="N22" s="700">
        <v>44631.970399999998</v>
      </c>
      <c r="O22" s="700">
        <v>-14531.339199999999</v>
      </c>
      <c r="P22" s="700"/>
      <c r="Q22" s="694">
        <f>'Sch. 149'!F20</f>
        <v>388194.34719999996</v>
      </c>
      <c r="R22" s="697">
        <f t="shared" si="1"/>
        <v>5175600.4404141493</v>
      </c>
      <c r="S22" s="694">
        <f>'Sch. 149'!H20</f>
        <v>24910.867200000037</v>
      </c>
      <c r="T22" s="698">
        <f t="shared" si="3"/>
        <v>4.8131356905918108E-3</v>
      </c>
      <c r="U22" s="699"/>
    </row>
    <row r="23" spans="2:21" x14ac:dyDescent="0.25">
      <c r="B23" s="683" t="s">
        <v>131</v>
      </c>
      <c r="D23" s="785">
        <v>37056427.854413897</v>
      </c>
      <c r="E23" s="700">
        <v>1757519.5213237838</v>
      </c>
      <c r="F23" s="701">
        <f t="shared" si="4"/>
        <v>4.7428195945617584E-2</v>
      </c>
      <c r="G23" s="791">
        <f>'Sch. 149'!C21</f>
        <v>36911044</v>
      </c>
      <c r="H23" s="696">
        <f t="shared" si="2"/>
        <v>1750624.2273893123</v>
      </c>
      <c r="I23" s="700"/>
      <c r="J23" s="700"/>
      <c r="K23" s="700"/>
      <c r="L23" s="700"/>
      <c r="M23" s="700">
        <v>43555.031920000001</v>
      </c>
      <c r="N23" s="700">
        <v>7751.3192400000007</v>
      </c>
      <c r="O23" s="700">
        <v>-2583.7730799999999</v>
      </c>
      <c r="P23" s="700"/>
      <c r="Q23" s="694">
        <f>'Sch. 149'!F21</f>
        <v>34327.270920000003</v>
      </c>
      <c r="R23" s="697">
        <f t="shared" si="1"/>
        <v>1833674.0763893125</v>
      </c>
      <c r="S23" s="694">
        <f>'Sch. 149'!H21</f>
        <v>1476.4417600000015</v>
      </c>
      <c r="T23" s="698">
        <f t="shared" si="3"/>
        <v>8.0518221804567526E-4</v>
      </c>
      <c r="U23" s="699"/>
    </row>
    <row r="24" spans="2:21" x14ac:dyDescent="0.25">
      <c r="B24" s="683" t="s">
        <v>90</v>
      </c>
      <c r="D24" s="702">
        <f>SUM(D11:D23)</f>
        <v>1191304269.0992641</v>
      </c>
      <c r="E24" s="703">
        <f>SUM(E11:E23)</f>
        <v>519258254.38333762</v>
      </c>
      <c r="F24" s="695">
        <f t="shared" si="4"/>
        <v>0.43587374598761802</v>
      </c>
      <c r="G24" s="702">
        <f>SUM(G11:G23)</f>
        <v>1170264197</v>
      </c>
      <c r="H24" s="703">
        <f>SUM(H11:H23)</f>
        <v>511031573.08061868</v>
      </c>
      <c r="I24" s="703">
        <f t="shared" ref="I24:K24" si="5">SUM(I11:I23)</f>
        <v>424756530.25999999</v>
      </c>
      <c r="J24" s="703">
        <f t="shared" si="5"/>
        <v>24355563.749999996</v>
      </c>
      <c r="K24" s="703">
        <f t="shared" si="5"/>
        <v>21930661.041219998</v>
      </c>
      <c r="L24" s="703">
        <f>SUM(L11:L23)</f>
        <v>3130790.8431678079</v>
      </c>
      <c r="M24" s="703">
        <f>SUM(M11:M23)</f>
        <v>21628236.129439998</v>
      </c>
      <c r="N24" s="703">
        <f>SUM(N11:N23)</f>
        <v>2963975.2412399999</v>
      </c>
      <c r="O24" s="703">
        <f>SUM(O11:O23)</f>
        <v>-1258521.9326299999</v>
      </c>
      <c r="P24" s="703">
        <f t="shared" ref="P24:R24" si="6">SUM(P11:P23)</f>
        <v>11839302.620000001</v>
      </c>
      <c r="Q24" s="703">
        <f t="shared" si="6"/>
        <v>21417840.086720001</v>
      </c>
      <c r="R24" s="704">
        <f t="shared" si="6"/>
        <v>1041795951.1197765</v>
      </c>
      <c r="S24" s="703">
        <f>SUM(S11:S23)</f>
        <v>5637609.1441600015</v>
      </c>
      <c r="T24" s="705">
        <f t="shared" si="3"/>
        <v>5.4114331487854278E-3</v>
      </c>
      <c r="U24" s="699"/>
    </row>
    <row r="25" spans="2:21" x14ac:dyDescent="0.25">
      <c r="D25" s="706"/>
      <c r="E25" s="696"/>
      <c r="G25" s="706"/>
      <c r="L25" s="696"/>
      <c r="O25" s="696"/>
      <c r="P25" s="696"/>
      <c r="R25" s="696"/>
      <c r="T25" s="707"/>
    </row>
    <row r="26" spans="2:21" s="712" customFormat="1" x14ac:dyDescent="0.25">
      <c r="B26" s="708" t="s">
        <v>409</v>
      </c>
      <c r="C26" s="709"/>
      <c r="D26" s="710"/>
      <c r="E26" s="711"/>
      <c r="S26" s="713"/>
      <c r="T26" s="714"/>
    </row>
    <row r="27" spans="2:21" s="712" customFormat="1" x14ac:dyDescent="0.25">
      <c r="B27" s="715" t="s">
        <v>127</v>
      </c>
      <c r="C27" s="716" t="s">
        <v>410</v>
      </c>
      <c r="D27" s="717">
        <f>D11+D12</f>
        <v>609257701.15931809</v>
      </c>
      <c r="E27" s="718">
        <f>E11+E12</f>
        <v>363973986.91868043</v>
      </c>
      <c r="F27" s="695">
        <f t="shared" ref="F27:F34" si="7">(E27)/D27</f>
        <v>0.5974056400536214</v>
      </c>
      <c r="G27" s="719">
        <f>G11+G12</f>
        <v>592792077</v>
      </c>
      <c r="H27" s="718">
        <f>H11+H12</f>
        <v>354137342.20734119</v>
      </c>
      <c r="I27" s="718">
        <f t="shared" ref="I27:Q27" si="8">I11+I12</f>
        <v>274699848.48000002</v>
      </c>
      <c r="J27" s="718">
        <f t="shared" si="8"/>
        <v>15519296.579999998</v>
      </c>
      <c r="K27" s="718">
        <f t="shared" si="8"/>
        <v>14025460.541819999</v>
      </c>
      <c r="L27" s="718">
        <f t="shared" si="8"/>
        <v>2163665.2828500001</v>
      </c>
      <c r="M27" s="718">
        <f t="shared" si="8"/>
        <v>14001748.858740002</v>
      </c>
      <c r="N27" s="718">
        <f t="shared" si="8"/>
        <v>1861367.1217799999</v>
      </c>
      <c r="O27" s="718">
        <f t="shared" si="8"/>
        <v>-812125.14548999991</v>
      </c>
      <c r="P27" s="718">
        <f t="shared" si="8"/>
        <v>9881726.0999999996</v>
      </c>
      <c r="Q27" s="718">
        <f t="shared" si="8"/>
        <v>13385245.09866</v>
      </c>
      <c r="R27" s="718">
        <f>R11+R12</f>
        <v>698863575.12570131</v>
      </c>
      <c r="S27" s="696">
        <f>SUM(S11:S12)</f>
        <v>4119904.9351500007</v>
      </c>
      <c r="T27" s="698">
        <f t="shared" ref="T27:T34" si="9">S27/R27</f>
        <v>5.8951490416551938E-3</v>
      </c>
      <c r="U27" s="720"/>
    </row>
    <row r="28" spans="2:21" s="712" customFormat="1" x14ac:dyDescent="0.25">
      <c r="B28" s="721" t="s">
        <v>411</v>
      </c>
      <c r="C28" s="716" t="s">
        <v>412</v>
      </c>
      <c r="D28" s="717">
        <f>D13+D18</f>
        <v>234176518.05324447</v>
      </c>
      <c r="E28" s="718">
        <f>E13+E18</f>
        <v>115542872.56999999</v>
      </c>
      <c r="F28" s="695">
        <f t="shared" si="7"/>
        <v>0.49340076251252968</v>
      </c>
      <c r="G28" s="719">
        <f t="shared" ref="G28:Q32" si="10">G13+G18</f>
        <v>239352531</v>
      </c>
      <c r="H28" s="718">
        <f t="shared" si="10"/>
        <v>118096368.93604048</v>
      </c>
      <c r="I28" s="718">
        <f t="shared" si="10"/>
        <v>109037684.44</v>
      </c>
      <c r="J28" s="718">
        <f t="shared" si="10"/>
        <v>6255750.5599999996</v>
      </c>
      <c r="K28" s="718">
        <f t="shared" si="10"/>
        <v>5662244.0055999998</v>
      </c>
      <c r="L28" s="718">
        <f t="shared" si="10"/>
        <v>737205.79547999997</v>
      </c>
      <c r="M28" s="718">
        <f t="shared" si="10"/>
        <v>6067586.6608499996</v>
      </c>
      <c r="N28" s="718">
        <f t="shared" si="10"/>
        <v>847307.95974000008</v>
      </c>
      <c r="O28" s="718">
        <f t="shared" si="10"/>
        <v>-351848.22057</v>
      </c>
      <c r="P28" s="718">
        <f t="shared" si="10"/>
        <v>3803292.26</v>
      </c>
      <c r="Q28" s="718">
        <f t="shared" si="10"/>
        <v>5916794.5663200002</v>
      </c>
      <c r="R28" s="718">
        <f>R13+R18</f>
        <v>256072386.96346051</v>
      </c>
      <c r="S28" s="696">
        <f>SUM(S13,S18)</f>
        <v>1160859.7753499998</v>
      </c>
      <c r="T28" s="698">
        <f t="shared" si="9"/>
        <v>4.5333266468736639E-3</v>
      </c>
    </row>
    <row r="29" spans="2:21" s="712" customFormat="1" x14ac:dyDescent="0.25">
      <c r="B29" s="715" t="s">
        <v>413</v>
      </c>
      <c r="C29" s="716" t="s">
        <v>414</v>
      </c>
      <c r="D29" s="717">
        <f t="shared" ref="D29:E32" si="11">D14+D19</f>
        <v>86328991.912539363</v>
      </c>
      <c r="E29" s="718">
        <f t="shared" si="11"/>
        <v>21021209.463333469</v>
      </c>
      <c r="F29" s="695">
        <f t="shared" si="7"/>
        <v>0.24350115757902321</v>
      </c>
      <c r="G29" s="719">
        <f t="shared" si="10"/>
        <v>88827838</v>
      </c>
      <c r="H29" s="718">
        <f t="shared" si="10"/>
        <v>21534153.116116941</v>
      </c>
      <c r="I29" s="718">
        <f t="shared" si="10"/>
        <v>27466248.02</v>
      </c>
      <c r="J29" s="718">
        <f t="shared" si="10"/>
        <v>1699164.68</v>
      </c>
      <c r="K29" s="718">
        <f t="shared" si="10"/>
        <v>1544457.7948799999</v>
      </c>
      <c r="L29" s="718">
        <f t="shared" si="10"/>
        <v>132353.47862000001</v>
      </c>
      <c r="M29" s="718">
        <f t="shared" si="10"/>
        <v>773690.46897999989</v>
      </c>
      <c r="N29" s="718">
        <f t="shared" si="10"/>
        <v>118141.02454000001</v>
      </c>
      <c r="O29" s="718">
        <f t="shared" si="10"/>
        <v>-49743.58928</v>
      </c>
      <c r="P29" s="718">
        <f t="shared" si="10"/>
        <v>-1729542.67</v>
      </c>
      <c r="Q29" s="718">
        <f t="shared" si="10"/>
        <v>999313.17749999999</v>
      </c>
      <c r="R29" s="718">
        <f>R14+R19</f>
        <v>52488235.501356952</v>
      </c>
      <c r="S29" s="696">
        <f>SUM(S14,S19)</f>
        <v>264706.95723999996</v>
      </c>
      <c r="T29" s="698">
        <f t="shared" si="9"/>
        <v>5.0431673823967014E-3</v>
      </c>
    </row>
    <row r="30" spans="2:21" s="712" customFormat="1" x14ac:dyDescent="0.25">
      <c r="B30" s="715" t="s">
        <v>130</v>
      </c>
      <c r="C30" s="716" t="s">
        <v>415</v>
      </c>
      <c r="D30" s="717">
        <f t="shared" si="11"/>
        <v>90957971.203620166</v>
      </c>
      <c r="E30" s="718">
        <f t="shared" si="11"/>
        <v>9185207.3300000001</v>
      </c>
      <c r="F30" s="695">
        <f t="shared" si="7"/>
        <v>0.10098298377211853</v>
      </c>
      <c r="G30" s="719">
        <f t="shared" si="10"/>
        <v>86211930</v>
      </c>
      <c r="H30" s="718">
        <f t="shared" si="10"/>
        <v>8694227.2399288323</v>
      </c>
      <c r="I30" s="718">
        <f t="shared" si="10"/>
        <v>5070867.8199999994</v>
      </c>
      <c r="J30" s="718">
        <f t="shared" si="10"/>
        <v>333835.71999999997</v>
      </c>
      <c r="K30" s="718">
        <f t="shared" si="10"/>
        <v>264624.30775000004</v>
      </c>
      <c r="L30" s="718">
        <f t="shared" si="10"/>
        <v>59400.515066178195</v>
      </c>
      <c r="M30" s="718">
        <f t="shared" si="10"/>
        <v>403471.83240000001</v>
      </c>
      <c r="N30" s="718">
        <f t="shared" si="10"/>
        <v>69831.663299999986</v>
      </c>
      <c r="O30" s="718">
        <f t="shared" si="10"/>
        <v>-23277.221099999999</v>
      </c>
      <c r="P30" s="718">
        <f t="shared" si="10"/>
        <v>0</v>
      </c>
      <c r="Q30" s="718">
        <f t="shared" si="10"/>
        <v>578482.0503</v>
      </c>
      <c r="R30" s="718">
        <f>R15+R20</f>
        <v>15451463.927645009</v>
      </c>
      <c r="S30" s="696">
        <f>SUM(S15,S20)</f>
        <v>50002.919399999955</v>
      </c>
      <c r="T30" s="698">
        <f t="shared" si="9"/>
        <v>3.2361282810580271E-3</v>
      </c>
    </row>
    <row r="31" spans="2:21" s="712" customFormat="1" x14ac:dyDescent="0.25">
      <c r="B31" s="715" t="s">
        <v>416</v>
      </c>
      <c r="C31" s="716" t="s">
        <v>417</v>
      </c>
      <c r="D31" s="717">
        <f t="shared" si="11"/>
        <v>9748488.4229263552</v>
      </c>
      <c r="E31" s="718">
        <f t="shared" si="11"/>
        <v>2062194.29</v>
      </c>
      <c r="F31" s="695">
        <f t="shared" si="7"/>
        <v>0.2115399024478668</v>
      </c>
      <c r="G31" s="719">
        <f t="shared" si="10"/>
        <v>6738707</v>
      </c>
      <c r="H31" s="718">
        <f t="shared" si="10"/>
        <v>1413073.8126197965</v>
      </c>
      <c r="I31" s="718">
        <f t="shared" si="10"/>
        <v>2274713.52</v>
      </c>
      <c r="J31" s="718">
        <f t="shared" si="10"/>
        <v>141793.41</v>
      </c>
      <c r="K31" s="718">
        <f t="shared" si="10"/>
        <v>112266.76087000001</v>
      </c>
      <c r="L31" s="718">
        <f t="shared" si="10"/>
        <v>8827.7061699999995</v>
      </c>
      <c r="M31" s="718">
        <f t="shared" si="10"/>
        <v>51551.108550000004</v>
      </c>
      <c r="N31" s="718">
        <f t="shared" si="10"/>
        <v>8221.2225399999988</v>
      </c>
      <c r="O31" s="718">
        <f t="shared" si="10"/>
        <v>-2223.77331</v>
      </c>
      <c r="P31" s="718">
        <f t="shared" si="10"/>
        <v>-116173.06999999998</v>
      </c>
      <c r="Q31" s="718">
        <f t="shared" si="10"/>
        <v>57009.461219999997</v>
      </c>
      <c r="R31" s="718">
        <f>R16+R21</f>
        <v>3949060.1586597962</v>
      </c>
      <c r="S31" s="696">
        <f>SUM(S16,S21)</f>
        <v>11994.898460000002</v>
      </c>
      <c r="T31" s="698">
        <f t="shared" si="9"/>
        <v>3.0374058581246694E-3</v>
      </c>
    </row>
    <row r="32" spans="2:21" s="712" customFormat="1" x14ac:dyDescent="0.25">
      <c r="B32" s="722" t="s">
        <v>418</v>
      </c>
      <c r="C32" s="716" t="s">
        <v>419</v>
      </c>
      <c r="D32" s="717">
        <f t="shared" si="11"/>
        <v>123778170.49320194</v>
      </c>
      <c r="E32" s="718">
        <f t="shared" si="11"/>
        <v>5715264.2899999991</v>
      </c>
      <c r="F32" s="695">
        <f t="shared" si="7"/>
        <v>4.6173442919920107E-2</v>
      </c>
      <c r="G32" s="719">
        <f t="shared" si="10"/>
        <v>119430070</v>
      </c>
      <c r="H32" s="718">
        <f t="shared" si="10"/>
        <v>5405783.5411820626</v>
      </c>
      <c r="I32" s="718">
        <f t="shared" si="10"/>
        <v>6207167.9800000004</v>
      </c>
      <c r="J32" s="718">
        <f t="shared" si="10"/>
        <v>405722.8</v>
      </c>
      <c r="K32" s="718">
        <f t="shared" si="10"/>
        <v>321607.63030000002</v>
      </c>
      <c r="L32" s="718">
        <f t="shared" si="10"/>
        <v>29338.064981628817</v>
      </c>
      <c r="M32" s="718">
        <f t="shared" si="10"/>
        <v>286632.16800000001</v>
      </c>
      <c r="N32" s="718">
        <f t="shared" si="10"/>
        <v>51354.930099999998</v>
      </c>
      <c r="O32" s="718">
        <f t="shared" si="10"/>
        <v>-16720.209799999997</v>
      </c>
      <c r="P32" s="718">
        <f t="shared" si="10"/>
        <v>0</v>
      </c>
      <c r="Q32" s="718">
        <f t="shared" si="10"/>
        <v>446668.46179999993</v>
      </c>
      <c r="R32" s="718">
        <f>R17+R22</f>
        <v>13137555.366563691</v>
      </c>
      <c r="S32" s="696">
        <f>SUM(S17,S22)</f>
        <v>28663.216800000038</v>
      </c>
      <c r="T32" s="698">
        <f t="shared" si="9"/>
        <v>2.1817770506186115E-3</v>
      </c>
    </row>
    <row r="33" spans="2:20" s="712" customFormat="1" x14ac:dyDescent="0.25">
      <c r="B33" s="722" t="s">
        <v>131</v>
      </c>
      <c r="C33" s="715"/>
      <c r="D33" s="717">
        <f>D23</f>
        <v>37056427.854413897</v>
      </c>
      <c r="E33" s="718">
        <f>E23</f>
        <v>1757519.5213237838</v>
      </c>
      <c r="F33" s="695">
        <f t="shared" si="7"/>
        <v>4.7428195945617584E-2</v>
      </c>
      <c r="G33" s="719">
        <f>G23</f>
        <v>36911044</v>
      </c>
      <c r="H33" s="718">
        <f>H23</f>
        <v>1750624.2273893123</v>
      </c>
      <c r="I33" s="718">
        <f t="shared" ref="I33:Q33" si="12">I23</f>
        <v>0</v>
      </c>
      <c r="J33" s="718">
        <f t="shared" si="12"/>
        <v>0</v>
      </c>
      <c r="K33" s="718">
        <f t="shared" si="12"/>
        <v>0</v>
      </c>
      <c r="L33" s="718">
        <f t="shared" si="12"/>
        <v>0</v>
      </c>
      <c r="M33" s="718">
        <f t="shared" si="12"/>
        <v>43555.031920000001</v>
      </c>
      <c r="N33" s="718">
        <f t="shared" si="12"/>
        <v>7751.3192400000007</v>
      </c>
      <c r="O33" s="718">
        <f t="shared" si="12"/>
        <v>-2583.7730799999999</v>
      </c>
      <c r="P33" s="718">
        <f t="shared" si="12"/>
        <v>0</v>
      </c>
      <c r="Q33" s="718">
        <f t="shared" si="12"/>
        <v>34327.270920000003</v>
      </c>
      <c r="R33" s="718">
        <f>R23</f>
        <v>1833674.0763893125</v>
      </c>
      <c r="S33" s="696">
        <f>S23</f>
        <v>1476.4417600000015</v>
      </c>
      <c r="T33" s="698">
        <f t="shared" si="9"/>
        <v>8.0518221804567526E-4</v>
      </c>
    </row>
    <row r="34" spans="2:20" s="712" customFormat="1" x14ac:dyDescent="0.25">
      <c r="B34" s="722" t="s">
        <v>90</v>
      </c>
      <c r="C34" s="722"/>
      <c r="D34" s="723">
        <f>SUM(D27:D33)</f>
        <v>1191304269.0992644</v>
      </c>
      <c r="E34" s="724">
        <f>SUM(E27:E33)</f>
        <v>519258254.38333774</v>
      </c>
      <c r="F34" s="725">
        <f t="shared" si="7"/>
        <v>0.43587374598761802</v>
      </c>
      <c r="G34" s="726">
        <f>SUM(G27:G33)</f>
        <v>1170264197</v>
      </c>
      <c r="H34" s="724">
        <f>SUM(H27:H33)</f>
        <v>511031573.08061862</v>
      </c>
      <c r="I34" s="724">
        <f t="shared" ref="I34:Q34" si="13">SUM(I27:I33)</f>
        <v>424756530.25999999</v>
      </c>
      <c r="J34" s="724">
        <f t="shared" si="13"/>
        <v>24355563.749999996</v>
      </c>
      <c r="K34" s="724">
        <f t="shared" si="13"/>
        <v>21930661.041219998</v>
      </c>
      <c r="L34" s="724">
        <f t="shared" si="13"/>
        <v>3130790.843167807</v>
      </c>
      <c r="M34" s="724">
        <f t="shared" si="13"/>
        <v>21628236.129440006</v>
      </c>
      <c r="N34" s="724">
        <f t="shared" si="13"/>
        <v>2963975.2412400004</v>
      </c>
      <c r="O34" s="724">
        <f t="shared" si="13"/>
        <v>-1258521.9326299999</v>
      </c>
      <c r="P34" s="724">
        <f t="shared" si="13"/>
        <v>11839302.619999999</v>
      </c>
      <c r="Q34" s="724">
        <f t="shared" si="13"/>
        <v>21417840.086720001</v>
      </c>
      <c r="R34" s="724">
        <f>SUM(R27:R33)</f>
        <v>1041795951.1197766</v>
      </c>
      <c r="S34" s="724">
        <f>SUM(S27:S33)</f>
        <v>5637609.1441599997</v>
      </c>
      <c r="T34" s="705">
        <f t="shared" si="9"/>
        <v>5.4114331487854252E-3</v>
      </c>
    </row>
    <row r="35" spans="2:20" s="712" customFormat="1" x14ac:dyDescent="0.25">
      <c r="B35" s="727"/>
      <c r="C35" s="727"/>
      <c r="D35" s="727"/>
      <c r="E35" s="727"/>
      <c r="F35" s="727"/>
      <c r="I35" s="728"/>
      <c r="L35" s="727"/>
      <c r="N35" s="727"/>
      <c r="O35" s="727"/>
      <c r="P35" s="727"/>
      <c r="Q35" s="727"/>
      <c r="R35" s="727"/>
      <c r="S35" s="729"/>
    </row>
    <row r="36" spans="2:20" ht="17.25" x14ac:dyDescent="0.25">
      <c r="B36" s="683" t="s">
        <v>420</v>
      </c>
      <c r="D36" s="706"/>
      <c r="E36" s="706"/>
      <c r="H36" s="730"/>
      <c r="L36" s="706"/>
      <c r="O36" s="706"/>
      <c r="P36" s="706"/>
      <c r="R36" s="706"/>
    </row>
    <row r="37" spans="2:20" ht="17.25" x14ac:dyDescent="0.25">
      <c r="B37" s="683" t="s">
        <v>421</v>
      </c>
    </row>
  </sheetData>
  <printOptions horizontalCentered="1"/>
  <pageMargins left="0.45" right="0.45" top="0.75" bottom="0.75" header="0.3" footer="0.3"/>
  <pageSetup paperSize="5" scale="63" orientation="landscape" blackAndWhite="1" r:id="rId1"/>
  <headerFooter>
    <oddFooter>&amp;L&amp;F 
&amp;A&amp;C&amp;P&amp;R&amp;D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4"/>
  <sheetViews>
    <sheetView zoomScale="90" zoomScaleNormal="90" workbookViewId="0">
      <selection activeCell="H34" sqref="H34"/>
    </sheetView>
  </sheetViews>
  <sheetFormatPr defaultColWidth="9.140625" defaultRowHeight="15" x14ac:dyDescent="0.25"/>
  <cols>
    <col min="1" max="1" width="2.140625" style="732" customWidth="1"/>
    <col min="2" max="2" width="2.42578125" style="732" customWidth="1"/>
    <col min="3" max="3" width="33" style="732" customWidth="1"/>
    <col min="4" max="5" width="11.85546875" style="732" customWidth="1"/>
    <col min="6" max="6" width="2.7109375" style="733" customWidth="1"/>
    <col min="7" max="8" width="11.85546875" style="732" customWidth="1"/>
    <col min="9" max="16384" width="9.140625" style="732"/>
  </cols>
  <sheetData>
    <row r="1" spans="2:8" x14ac:dyDescent="0.25">
      <c r="B1" s="731" t="s">
        <v>0</v>
      </c>
      <c r="C1" s="731"/>
      <c r="D1" s="731"/>
      <c r="E1" s="731"/>
      <c r="F1" s="731"/>
      <c r="G1" s="731"/>
      <c r="H1" s="731"/>
    </row>
    <row r="2" spans="2:8" x14ac:dyDescent="0.25">
      <c r="B2" s="731" t="str">
        <f>'Rate Impacts Sch 149'!B2</f>
        <v>2022 Gas Schedule 149 CRM (August Preliminary Filing)</v>
      </c>
      <c r="C2" s="731"/>
      <c r="D2" s="731"/>
      <c r="E2" s="731"/>
      <c r="F2" s="731"/>
      <c r="G2" s="731"/>
      <c r="H2" s="731"/>
    </row>
    <row r="3" spans="2:8" x14ac:dyDescent="0.25">
      <c r="B3" s="682" t="s">
        <v>422</v>
      </c>
      <c r="C3" s="682"/>
      <c r="D3" s="682"/>
      <c r="E3" s="682"/>
      <c r="F3" s="682"/>
      <c r="G3" s="682"/>
      <c r="H3" s="682"/>
    </row>
    <row r="4" spans="2:8" x14ac:dyDescent="0.25">
      <c r="B4" s="682" t="str">
        <f>'Rate Impacts Sch 149'!B4</f>
        <v>Proposed Rates Effective November 1, 2022</v>
      </c>
      <c r="C4" s="682"/>
      <c r="D4" s="682"/>
      <c r="E4" s="682"/>
      <c r="F4" s="682"/>
      <c r="G4" s="682"/>
      <c r="H4" s="682"/>
    </row>
    <row r="6" spans="2:8" x14ac:dyDescent="0.25">
      <c r="G6" s="734" t="s">
        <v>423</v>
      </c>
      <c r="H6" s="734"/>
    </row>
    <row r="7" spans="2:8" x14ac:dyDescent="0.25">
      <c r="D7" s="735" t="s">
        <v>424</v>
      </c>
      <c r="E7" s="735"/>
      <c r="F7" s="736"/>
      <c r="G7" s="735" t="s">
        <v>425</v>
      </c>
      <c r="H7" s="735"/>
    </row>
    <row r="8" spans="2:8" ht="17.25" x14ac:dyDescent="0.25">
      <c r="D8" s="737" t="s">
        <v>426</v>
      </c>
      <c r="E8" s="737" t="s">
        <v>427</v>
      </c>
      <c r="F8" s="738"/>
      <c r="G8" s="737" t="s">
        <v>428</v>
      </c>
      <c r="H8" s="737" t="s">
        <v>427</v>
      </c>
    </row>
    <row r="9" spans="2:8" x14ac:dyDescent="0.25">
      <c r="B9" s="732" t="s">
        <v>429</v>
      </c>
      <c r="D9" s="739">
        <v>64</v>
      </c>
      <c r="E9" s="740"/>
      <c r="F9" s="741"/>
      <c r="G9" s="739">
        <v>64</v>
      </c>
      <c r="H9" s="740"/>
    </row>
    <row r="10" spans="2:8" x14ac:dyDescent="0.25">
      <c r="D10" s="739"/>
      <c r="E10" s="740"/>
      <c r="F10" s="741"/>
      <c r="G10" s="739"/>
      <c r="H10" s="740"/>
    </row>
    <row r="11" spans="2:8" x14ac:dyDescent="0.25">
      <c r="B11" s="732" t="s">
        <v>430</v>
      </c>
      <c r="D11" s="739"/>
      <c r="E11" s="740"/>
      <c r="F11" s="741"/>
      <c r="G11" s="739"/>
      <c r="H11" s="740"/>
    </row>
    <row r="12" spans="2:8" x14ac:dyDescent="0.25">
      <c r="C12" s="732" t="s">
        <v>431</v>
      </c>
      <c r="D12" s="788">
        <v>11.52</v>
      </c>
      <c r="E12" s="740">
        <f>D12</f>
        <v>11.52</v>
      </c>
      <c r="F12" s="742"/>
      <c r="G12" s="743">
        <f>$D$12</f>
        <v>11.52</v>
      </c>
      <c r="H12" s="740">
        <f>G12</f>
        <v>11.52</v>
      </c>
    </row>
    <row r="13" spans="2:8" x14ac:dyDescent="0.25">
      <c r="C13" s="732" t="s">
        <v>432</v>
      </c>
      <c r="D13" s="744">
        <f>SUM(D12:D12)</f>
        <v>11.52</v>
      </c>
      <c r="E13" s="744">
        <f>SUM(E12:E12)</f>
        <v>11.52</v>
      </c>
      <c r="F13" s="742"/>
      <c r="G13" s="744">
        <f>SUM(G12:G12)</f>
        <v>11.52</v>
      </c>
      <c r="H13" s="744">
        <f>SUM(H12:H12)</f>
        <v>11.52</v>
      </c>
    </row>
    <row r="14" spans="2:8" x14ac:dyDescent="0.25">
      <c r="D14" s="745"/>
      <c r="E14" s="740"/>
      <c r="F14" s="742"/>
      <c r="G14" s="743"/>
      <c r="H14" s="740"/>
    </row>
    <row r="15" spans="2:8" x14ac:dyDescent="0.25">
      <c r="B15" s="732" t="s">
        <v>433</v>
      </c>
      <c r="E15" s="740"/>
      <c r="H15" s="740"/>
    </row>
    <row r="16" spans="2:8" x14ac:dyDescent="0.25">
      <c r="C16" s="732" t="s">
        <v>434</v>
      </c>
      <c r="D16" s="786">
        <v>0.41964000000000001</v>
      </c>
      <c r="E16" s="740"/>
      <c r="F16" s="747"/>
      <c r="G16" s="748">
        <f>$D$16</f>
        <v>0.41964000000000001</v>
      </c>
      <c r="H16" s="740"/>
    </row>
    <row r="17" spans="2:8" x14ac:dyDescent="0.25">
      <c r="C17" s="732" t="s">
        <v>435</v>
      </c>
      <c r="D17" s="787">
        <v>3.65E-3</v>
      </c>
      <c r="E17" s="740"/>
      <c r="F17" s="747"/>
      <c r="G17" s="749">
        <f>$D$17</f>
        <v>3.65E-3</v>
      </c>
      <c r="H17" s="740"/>
    </row>
    <row r="18" spans="2:8" x14ac:dyDescent="0.25">
      <c r="C18" s="732" t="s">
        <v>436</v>
      </c>
      <c r="D18" s="786">
        <v>2.3620000000000002E-2</v>
      </c>
      <c r="E18" s="740"/>
      <c r="F18" s="747"/>
      <c r="G18" s="749">
        <f>$D$18</f>
        <v>2.3620000000000002E-2</v>
      </c>
      <c r="H18" s="740"/>
    </row>
    <row r="19" spans="2:8" x14ac:dyDescent="0.25">
      <c r="C19" s="732" t="s">
        <v>437</v>
      </c>
      <c r="D19" s="786">
        <v>3.14E-3</v>
      </c>
      <c r="E19" s="740"/>
      <c r="F19" s="747"/>
      <c r="G19" s="748">
        <f>$D$19</f>
        <v>3.14E-3</v>
      </c>
      <c r="H19" s="740"/>
    </row>
    <row r="20" spans="2:8" x14ac:dyDescent="0.25">
      <c r="C20" s="732" t="s">
        <v>438</v>
      </c>
      <c r="D20" s="786">
        <v>-1.3699999999999999E-3</v>
      </c>
      <c r="E20" s="740"/>
      <c r="F20" s="747"/>
      <c r="G20" s="749">
        <f>$D$20</f>
        <v>-1.3699999999999999E-3</v>
      </c>
      <c r="H20" s="740"/>
    </row>
    <row r="21" spans="2:8" x14ac:dyDescent="0.25">
      <c r="C21" s="732" t="s">
        <v>439</v>
      </c>
      <c r="D21" s="786">
        <v>1.6670000000000001E-2</v>
      </c>
      <c r="E21" s="740"/>
      <c r="F21" s="747"/>
      <c r="G21" s="749">
        <f>$D$21</f>
        <v>1.6670000000000001E-2</v>
      </c>
      <c r="H21" s="740"/>
    </row>
    <row r="22" spans="2:8" x14ac:dyDescent="0.25">
      <c r="C22" s="732" t="s">
        <v>440</v>
      </c>
      <c r="D22" s="787">
        <v>2.2579999999999999E-2</v>
      </c>
      <c r="E22" s="740"/>
      <c r="F22" s="747"/>
      <c r="G22" s="746">
        <f>'Sch. 149'!$E$9</f>
        <v>2.9530000000000001E-2</v>
      </c>
      <c r="H22" s="740"/>
    </row>
    <row r="23" spans="2:8" x14ac:dyDescent="0.25">
      <c r="C23" s="732" t="s">
        <v>432</v>
      </c>
      <c r="D23" s="750">
        <f>SUM(D16:D22)</f>
        <v>0.48793000000000003</v>
      </c>
      <c r="E23" s="740">
        <f>ROUND(D23*D$9,2)</f>
        <v>31.23</v>
      </c>
      <c r="F23" s="747"/>
      <c r="G23" s="750">
        <f>SUM(G16:G22)</f>
        <v>0.49488000000000004</v>
      </c>
      <c r="H23" s="740">
        <f>ROUND(G23*G$9,2)</f>
        <v>31.67</v>
      </c>
    </row>
    <row r="25" spans="2:8" x14ac:dyDescent="0.25">
      <c r="C25" s="732" t="s">
        <v>441</v>
      </c>
      <c r="D25" s="786">
        <v>2.366E-2</v>
      </c>
      <c r="E25" s="740">
        <f>ROUND(D25*D$9,2)</f>
        <v>1.51</v>
      </c>
      <c r="F25" s="747"/>
      <c r="G25" s="751">
        <f>$D$25</f>
        <v>2.366E-2</v>
      </c>
      <c r="H25" s="740">
        <f>ROUND(G25*G$9,2)</f>
        <v>1.51</v>
      </c>
    </row>
    <row r="26" spans="2:8" x14ac:dyDescent="0.25">
      <c r="D26" s="786"/>
      <c r="E26" s="740"/>
      <c r="F26" s="747"/>
      <c r="G26" s="748"/>
      <c r="H26" s="740"/>
    </row>
    <row r="27" spans="2:8" x14ac:dyDescent="0.25">
      <c r="C27" s="732" t="s">
        <v>442</v>
      </c>
      <c r="D27" s="786">
        <v>0.46339999999999998</v>
      </c>
      <c r="E27" s="740"/>
      <c r="F27" s="747"/>
      <c r="G27" s="749">
        <f>$D$27</f>
        <v>0.46339999999999998</v>
      </c>
      <c r="H27" s="740"/>
    </row>
    <row r="28" spans="2:8" x14ac:dyDescent="0.25">
      <c r="C28" s="732" t="s">
        <v>443</v>
      </c>
      <c r="D28" s="786">
        <v>2.6179999999999998E-2</v>
      </c>
      <c r="E28" s="740"/>
      <c r="F28" s="747"/>
      <c r="G28" s="749">
        <f>$D$28</f>
        <v>2.6179999999999998E-2</v>
      </c>
      <c r="H28" s="740"/>
    </row>
    <row r="29" spans="2:8" x14ac:dyDescent="0.25">
      <c r="C29" s="732" t="s">
        <v>432</v>
      </c>
      <c r="D29" s="750">
        <f>SUM(D27:D28)</f>
        <v>0.48957999999999996</v>
      </c>
      <c r="E29" s="740">
        <f>ROUND(D29*D$9,2)</f>
        <v>31.33</v>
      </c>
      <c r="F29" s="747"/>
      <c r="G29" s="750">
        <f>SUM(G27:G28)</f>
        <v>0.48957999999999996</v>
      </c>
      <c r="H29" s="740">
        <f>ROUND(G29*G$9,2)</f>
        <v>31.33</v>
      </c>
    </row>
    <row r="30" spans="2:8" x14ac:dyDescent="0.25">
      <c r="C30" s="732" t="s">
        <v>444</v>
      </c>
      <c r="D30" s="750">
        <f>D23+D25+D29</f>
        <v>1.0011699999999999</v>
      </c>
      <c r="E30" s="752">
        <f>SUM(E23,E25,E29)</f>
        <v>64.069999999999993</v>
      </c>
      <c r="F30" s="753"/>
      <c r="G30" s="750">
        <f>G23+G25+G29</f>
        <v>1.0081199999999999</v>
      </c>
      <c r="H30" s="752">
        <f>SUM(H23,H25,H29)</f>
        <v>64.509999999999991</v>
      </c>
    </row>
    <row r="31" spans="2:8" x14ac:dyDescent="0.25">
      <c r="E31" s="740"/>
      <c r="H31" s="740"/>
    </row>
    <row r="32" spans="2:8" x14ac:dyDescent="0.25">
      <c r="B32" s="732" t="s">
        <v>445</v>
      </c>
      <c r="D32" s="743"/>
      <c r="E32" s="740">
        <f>E13+E30</f>
        <v>75.589999999999989</v>
      </c>
      <c r="F32" s="754"/>
      <c r="G32" s="743"/>
      <c r="H32" s="740">
        <f>H13+H30</f>
        <v>76.029999999999987</v>
      </c>
    </row>
    <row r="33" spans="2:8" x14ac:dyDescent="0.25">
      <c r="B33" s="732" t="s">
        <v>446</v>
      </c>
      <c r="D33" s="743"/>
      <c r="E33" s="740"/>
      <c r="F33" s="754"/>
      <c r="G33" s="743"/>
      <c r="H33" s="740">
        <f>H32-$E32</f>
        <v>0.43999999999999773</v>
      </c>
    </row>
    <row r="34" spans="2:8" x14ac:dyDescent="0.25">
      <c r="B34" s="732" t="s">
        <v>447</v>
      </c>
      <c r="D34" s="755"/>
      <c r="E34" s="755"/>
      <c r="F34" s="756"/>
      <c r="G34" s="755"/>
      <c r="H34" s="757">
        <f>H33/$E32</f>
        <v>5.8208757772191793E-3</v>
      </c>
    </row>
    <row r="35" spans="2:8" x14ac:dyDescent="0.25">
      <c r="E35" s="740"/>
    </row>
    <row r="36" spans="2:8" x14ac:dyDescent="0.25">
      <c r="B36" s="732" t="s">
        <v>448</v>
      </c>
      <c r="D36" s="748">
        <f>D23+D25</f>
        <v>0.51158999999999999</v>
      </c>
      <c r="E36" s="740"/>
      <c r="F36" s="753"/>
      <c r="G36" s="748">
        <f>G23+G25</f>
        <v>0.51854</v>
      </c>
    </row>
    <row r="38" spans="2:8" ht="17.25" x14ac:dyDescent="0.25">
      <c r="B38" s="758" t="s">
        <v>449</v>
      </c>
    </row>
    <row r="39" spans="2:8" x14ac:dyDescent="0.25">
      <c r="C39" s="758"/>
      <c r="D39" s="758"/>
      <c r="E39" s="758"/>
      <c r="F39" s="759"/>
      <c r="G39" s="759"/>
      <c r="H39" s="759"/>
    </row>
    <row r="44" spans="2:8" ht="14.25" customHeight="1" x14ac:dyDescent="0.25"/>
  </sheetData>
  <printOptions horizontalCentered="1"/>
  <pageMargins left="0.5" right="0.5" top="1" bottom="1" header="0.5" footer="0.5"/>
  <pageSetup scale="83" orientation="landscape" blackAndWhite="1" r:id="rId1"/>
  <headerFooter alignWithMargins="0">
    <oddFooter>&amp;L&amp;F  
&amp;A&amp;C&amp;P&amp;R&amp;D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90" zoomScaleNormal="90" workbookViewId="0">
      <selection activeCell="G22" sqref="G22"/>
    </sheetView>
  </sheetViews>
  <sheetFormatPr defaultColWidth="8.7109375" defaultRowHeight="15" x14ac:dyDescent="0.25"/>
  <cols>
    <col min="1" max="1" width="38.7109375" style="760" customWidth="1"/>
    <col min="2" max="2" width="9.140625" style="760" bestFit="1" customWidth="1"/>
    <col min="3" max="3" width="18.5703125" style="760" bestFit="1" customWidth="1"/>
    <col min="4" max="5" width="13.7109375" style="760" customWidth="1"/>
    <col min="6" max="8" width="14.42578125" style="760" customWidth="1"/>
    <col min="9" max="9" width="7.85546875" style="760" bestFit="1" customWidth="1"/>
    <col min="10" max="10" width="8.7109375" style="760"/>
    <col min="11" max="11" width="10" style="760" bestFit="1" customWidth="1"/>
    <col min="12" max="16384" width="8.7109375" style="760"/>
  </cols>
  <sheetData>
    <row r="1" spans="1:12" s="732" customFormat="1" ht="15" customHeight="1" x14ac:dyDescent="0.25">
      <c r="A1" s="826" t="s">
        <v>0</v>
      </c>
      <c r="B1" s="826"/>
      <c r="C1" s="826"/>
      <c r="D1" s="826"/>
      <c r="E1" s="826"/>
      <c r="F1" s="826"/>
      <c r="G1" s="826"/>
      <c r="H1" s="826"/>
      <c r="I1" s="826"/>
      <c r="J1" s="682"/>
    </row>
    <row r="2" spans="1:12" s="732" customFormat="1" ht="15" customHeight="1" x14ac:dyDescent="0.25">
      <c r="A2" s="826" t="s">
        <v>450</v>
      </c>
      <c r="B2" s="826"/>
      <c r="C2" s="826"/>
      <c r="D2" s="826"/>
      <c r="E2" s="826"/>
      <c r="F2" s="826"/>
      <c r="G2" s="826"/>
      <c r="H2" s="826"/>
      <c r="I2" s="826"/>
      <c r="J2" s="682"/>
    </row>
    <row r="3" spans="1:12" s="732" customFormat="1" ht="15" customHeight="1" x14ac:dyDescent="0.25">
      <c r="A3" s="826" t="s">
        <v>451</v>
      </c>
      <c r="B3" s="826"/>
      <c r="C3" s="826"/>
      <c r="D3" s="826"/>
      <c r="E3" s="826"/>
      <c r="F3" s="826"/>
      <c r="G3" s="826"/>
      <c r="H3" s="826"/>
      <c r="I3" s="826"/>
      <c r="J3" s="682"/>
    </row>
    <row r="4" spans="1:12" s="732" customFormat="1" ht="15" customHeight="1" x14ac:dyDescent="0.25">
      <c r="A4" s="826" t="s">
        <v>352</v>
      </c>
      <c r="B4" s="826"/>
      <c r="C4" s="826"/>
      <c r="D4" s="826"/>
      <c r="E4" s="826"/>
      <c r="F4" s="826"/>
      <c r="G4" s="826"/>
      <c r="H4" s="826"/>
      <c r="I4" s="826"/>
      <c r="J4" s="682"/>
    </row>
    <row r="5" spans="1:12" x14ac:dyDescent="0.25">
      <c r="D5" s="761"/>
      <c r="E5" s="761"/>
    </row>
    <row r="6" spans="1:12" x14ac:dyDescent="0.25">
      <c r="A6" s="762"/>
      <c r="B6" s="762"/>
      <c r="C6" s="762" t="s">
        <v>353</v>
      </c>
      <c r="D6" s="762" t="s">
        <v>452</v>
      </c>
      <c r="E6" s="762" t="s">
        <v>453</v>
      </c>
      <c r="F6" s="763" t="s">
        <v>353</v>
      </c>
      <c r="G6" s="763" t="s">
        <v>353</v>
      </c>
      <c r="H6" s="762" t="s">
        <v>454</v>
      </c>
      <c r="I6" s="762"/>
    </row>
    <row r="7" spans="1:12" x14ac:dyDescent="0.25">
      <c r="A7" s="762"/>
      <c r="B7" s="762" t="s">
        <v>359</v>
      </c>
      <c r="C7" s="762" t="s">
        <v>455</v>
      </c>
      <c r="D7" s="762" t="s">
        <v>454</v>
      </c>
      <c r="E7" s="762" t="s">
        <v>454</v>
      </c>
      <c r="F7" s="763" t="s">
        <v>371</v>
      </c>
      <c r="G7" s="763" t="s">
        <v>371</v>
      </c>
      <c r="H7" s="762" t="s">
        <v>371</v>
      </c>
      <c r="I7" s="762" t="s">
        <v>144</v>
      </c>
    </row>
    <row r="8" spans="1:12" x14ac:dyDescent="0.25">
      <c r="A8" s="690" t="s">
        <v>372</v>
      </c>
      <c r="B8" s="690" t="s">
        <v>162</v>
      </c>
      <c r="C8" s="789" t="str">
        <f>"12ME "&amp;TEXT('Forecasted Volume'!M7,"Mmm. YY")</f>
        <v>12ME Oct. 23</v>
      </c>
      <c r="D8" s="790" t="s">
        <v>428</v>
      </c>
      <c r="E8" s="790" t="s">
        <v>428</v>
      </c>
      <c r="F8" s="737" t="s">
        <v>424</v>
      </c>
      <c r="G8" s="737" t="s">
        <v>456</v>
      </c>
      <c r="H8" s="690" t="s">
        <v>378</v>
      </c>
      <c r="I8" s="690" t="s">
        <v>378</v>
      </c>
    </row>
    <row r="9" spans="1:12" x14ac:dyDescent="0.25">
      <c r="A9" s="760" t="s">
        <v>127</v>
      </c>
      <c r="B9" s="761" t="s">
        <v>398</v>
      </c>
      <c r="C9" s="791">
        <f>SUM('Forecasted Volume'!N9:N10)</f>
        <v>592785009</v>
      </c>
      <c r="D9" s="792">
        <v>2.2579999999999999E-2</v>
      </c>
      <c r="E9" s="793">
        <f>'CRM Rates'!$E$22</f>
        <v>2.9530000000000001E-2</v>
      </c>
      <c r="F9" s="697">
        <f>C9*D9</f>
        <v>13385085.503219999</v>
      </c>
      <c r="G9" s="697">
        <f>C9*E9</f>
        <v>17504941.31577</v>
      </c>
      <c r="H9" s="764">
        <f>G9-F9</f>
        <v>4119855.8125500008</v>
      </c>
      <c r="I9" s="765">
        <f>H9/F9</f>
        <v>0.30779450841452621</v>
      </c>
      <c r="L9" s="773"/>
    </row>
    <row r="10" spans="1:12" x14ac:dyDescent="0.25">
      <c r="A10" s="760" t="s">
        <v>399</v>
      </c>
      <c r="B10" s="761">
        <v>16</v>
      </c>
      <c r="C10" s="791">
        <f>'Forecasted Volume'!N8</f>
        <v>7068</v>
      </c>
      <c r="D10" s="792">
        <v>2.2579999999999999E-2</v>
      </c>
      <c r="E10" s="793">
        <f>$E$9</f>
        <v>2.9530000000000001E-2</v>
      </c>
      <c r="F10" s="697">
        <f t="shared" ref="F10:F21" si="0">C10*D10</f>
        <v>159.59544</v>
      </c>
      <c r="G10" s="697">
        <f t="shared" ref="G10:G21" si="1">C10*E10</f>
        <v>208.71804</v>
      </c>
      <c r="H10" s="764">
        <f t="shared" ref="H10:H21" si="2">G10-F10</f>
        <v>49.122600000000006</v>
      </c>
      <c r="I10" s="765">
        <f t="shared" ref="I10:I22" si="3">H10/F10</f>
        <v>0.30779450841452616</v>
      </c>
      <c r="L10" s="773"/>
    </row>
    <row r="11" spans="1:12" x14ac:dyDescent="0.25">
      <c r="A11" s="760" t="s">
        <v>400</v>
      </c>
      <c r="B11" s="761">
        <v>31</v>
      </c>
      <c r="C11" s="791">
        <f>'Forecasted Volume'!N11</f>
        <v>239317160</v>
      </c>
      <c r="D11" s="792">
        <v>2.4719999999999999E-2</v>
      </c>
      <c r="E11" s="793">
        <f>'CRM Rates'!$F$22</f>
        <v>2.9569999999999999E-2</v>
      </c>
      <c r="F11" s="697">
        <f t="shared" si="0"/>
        <v>5915920.1952</v>
      </c>
      <c r="G11" s="697">
        <f t="shared" si="1"/>
        <v>7076608.4211999997</v>
      </c>
      <c r="H11" s="764">
        <f t="shared" si="2"/>
        <v>1160688.2259999998</v>
      </c>
      <c r="I11" s="765">
        <f t="shared" si="3"/>
        <v>0.19619741100323621</v>
      </c>
      <c r="L11" s="773"/>
    </row>
    <row r="12" spans="1:12" x14ac:dyDescent="0.25">
      <c r="A12" s="760" t="s">
        <v>401</v>
      </c>
      <c r="B12" s="761">
        <v>41</v>
      </c>
      <c r="C12" s="791">
        <f>'Forecasted Volume'!N12</f>
        <v>65277168</v>
      </c>
      <c r="D12" s="792">
        <v>1.125E-2</v>
      </c>
      <c r="E12" s="793">
        <f>'CRM Rates'!$G$22</f>
        <v>1.423E-2</v>
      </c>
      <c r="F12" s="697">
        <f t="shared" si="0"/>
        <v>734368.14</v>
      </c>
      <c r="G12" s="697">
        <f t="shared" si="1"/>
        <v>928894.10063999996</v>
      </c>
      <c r="H12" s="764">
        <f t="shared" si="2"/>
        <v>194525.96063999995</v>
      </c>
      <c r="I12" s="765">
        <f t="shared" si="3"/>
        <v>0.26488888888888878</v>
      </c>
      <c r="L12" s="773"/>
    </row>
    <row r="13" spans="1:12" x14ac:dyDescent="0.25">
      <c r="A13" s="760" t="s">
        <v>130</v>
      </c>
      <c r="B13" s="761">
        <v>85</v>
      </c>
      <c r="C13" s="791">
        <f>'Forecasted Volume'!N13</f>
        <v>12864575</v>
      </c>
      <c r="D13" s="792">
        <v>6.7099999999999998E-3</v>
      </c>
      <c r="E13" s="793">
        <f>'CRM Rates'!$H$22</f>
        <v>7.2899999999999996E-3</v>
      </c>
      <c r="F13" s="697">
        <f t="shared" si="0"/>
        <v>86321.298249999993</v>
      </c>
      <c r="G13" s="697">
        <f t="shared" si="1"/>
        <v>93782.751749999996</v>
      </c>
      <c r="H13" s="764">
        <f t="shared" si="2"/>
        <v>7461.4535000000033</v>
      </c>
      <c r="I13" s="765">
        <f t="shared" si="3"/>
        <v>8.643815201192255E-2</v>
      </c>
      <c r="L13" s="773"/>
    </row>
    <row r="14" spans="1:12" x14ac:dyDescent="0.25">
      <c r="A14" s="760" t="s">
        <v>402</v>
      </c>
      <c r="B14" s="761">
        <v>86</v>
      </c>
      <c r="C14" s="791">
        <f>'Forecasted Volume'!N14</f>
        <v>5457791</v>
      </c>
      <c r="D14" s="792">
        <v>8.4600000000000005E-3</v>
      </c>
      <c r="E14" s="793">
        <f>'CRM Rates'!$I$22</f>
        <v>1.0240000000000001E-2</v>
      </c>
      <c r="F14" s="697">
        <f t="shared" si="0"/>
        <v>46172.91186</v>
      </c>
      <c r="G14" s="697">
        <f t="shared" si="1"/>
        <v>55887.779840000003</v>
      </c>
      <c r="H14" s="764">
        <f t="shared" si="2"/>
        <v>9714.8679800000027</v>
      </c>
      <c r="I14" s="765">
        <f t="shared" si="3"/>
        <v>0.21040189125295514</v>
      </c>
      <c r="L14" s="773"/>
    </row>
    <row r="15" spans="1:12" x14ac:dyDescent="0.25">
      <c r="A15" s="760" t="s">
        <v>403</v>
      </c>
      <c r="B15" s="761">
        <v>87</v>
      </c>
      <c r="C15" s="791">
        <f>'Forecasted Volume'!N15</f>
        <v>15634790</v>
      </c>
      <c r="D15" s="792">
        <v>3.7399999999999998E-3</v>
      </c>
      <c r="E15" s="793">
        <f>'CRM Rates'!$J$22</f>
        <v>3.98E-3</v>
      </c>
      <c r="F15" s="697">
        <f t="shared" si="0"/>
        <v>58474.114600000001</v>
      </c>
      <c r="G15" s="697">
        <f t="shared" si="1"/>
        <v>62226.464200000002</v>
      </c>
      <c r="H15" s="764">
        <f t="shared" si="2"/>
        <v>3752.3496000000014</v>
      </c>
      <c r="I15" s="765">
        <f t="shared" si="3"/>
        <v>6.4171122994652427E-2</v>
      </c>
      <c r="L15" s="773"/>
    </row>
    <row r="16" spans="1:12" x14ac:dyDescent="0.25">
      <c r="A16" s="760" t="s">
        <v>404</v>
      </c>
      <c r="B16" s="761" t="s">
        <v>163</v>
      </c>
      <c r="C16" s="791">
        <f>'Forecasted Volume'!N16</f>
        <v>35371</v>
      </c>
      <c r="D16" s="792">
        <v>2.4719999999999999E-2</v>
      </c>
      <c r="E16" s="793">
        <f>E11</f>
        <v>2.9569999999999999E-2</v>
      </c>
      <c r="F16" s="697">
        <f t="shared" si="0"/>
        <v>874.37111999999991</v>
      </c>
      <c r="G16" s="697">
        <f t="shared" si="1"/>
        <v>1045.92047</v>
      </c>
      <c r="H16" s="764">
        <f t="shared" si="2"/>
        <v>171.54935000000012</v>
      </c>
      <c r="I16" s="765">
        <f t="shared" si="3"/>
        <v>0.1961974110032364</v>
      </c>
      <c r="L16" s="773"/>
    </row>
    <row r="17" spans="1:12" x14ac:dyDescent="0.25">
      <c r="A17" s="760" t="s">
        <v>405</v>
      </c>
      <c r="B17" s="761" t="s">
        <v>164</v>
      </c>
      <c r="C17" s="791">
        <f>'Forecasted Volume'!N17</f>
        <v>23550670</v>
      </c>
      <c r="D17" s="792">
        <v>1.125E-2</v>
      </c>
      <c r="E17" s="793">
        <f t="shared" ref="E17:E20" si="4">E12</f>
        <v>1.423E-2</v>
      </c>
      <c r="F17" s="697">
        <f t="shared" si="0"/>
        <v>264945.03749999998</v>
      </c>
      <c r="G17" s="697">
        <f t="shared" si="1"/>
        <v>335126.03409999999</v>
      </c>
      <c r="H17" s="764">
        <f t="shared" si="2"/>
        <v>70180.996600000013</v>
      </c>
      <c r="I17" s="765">
        <f t="shared" si="3"/>
        <v>0.26488888888888895</v>
      </c>
      <c r="L17" s="773"/>
    </row>
    <row r="18" spans="1:12" x14ac:dyDescent="0.25">
      <c r="A18" s="760" t="s">
        <v>406</v>
      </c>
      <c r="B18" s="761" t="s">
        <v>165</v>
      </c>
      <c r="C18" s="791">
        <f>'Forecasted Volume'!N18</f>
        <v>73347355</v>
      </c>
      <c r="D18" s="792">
        <v>6.7099999999999998E-3</v>
      </c>
      <c r="E18" s="793">
        <f t="shared" si="4"/>
        <v>7.2899999999999996E-3</v>
      </c>
      <c r="F18" s="697">
        <f t="shared" si="0"/>
        <v>492160.75205000001</v>
      </c>
      <c r="G18" s="697">
        <f t="shared" si="1"/>
        <v>534702.21794999996</v>
      </c>
      <c r="H18" s="764">
        <f t="shared" si="2"/>
        <v>42541.465899999952</v>
      </c>
      <c r="I18" s="765">
        <f t="shared" si="3"/>
        <v>8.6438152011922398E-2</v>
      </c>
      <c r="L18" s="773"/>
    </row>
    <row r="19" spans="1:12" x14ac:dyDescent="0.25">
      <c r="A19" s="760" t="s">
        <v>407</v>
      </c>
      <c r="B19" s="761" t="s">
        <v>166</v>
      </c>
      <c r="C19" s="791">
        <f>'Forecasted Volume'!N19</f>
        <v>1280916</v>
      </c>
      <c r="D19" s="792">
        <v>8.4600000000000005E-3</v>
      </c>
      <c r="E19" s="793">
        <f t="shared" si="4"/>
        <v>1.0240000000000001E-2</v>
      </c>
      <c r="F19" s="697">
        <f t="shared" si="0"/>
        <v>10836.549360000001</v>
      </c>
      <c r="G19" s="697">
        <f t="shared" si="1"/>
        <v>13116.57984</v>
      </c>
      <c r="H19" s="764">
        <f t="shared" si="2"/>
        <v>2280.0304799999994</v>
      </c>
      <c r="I19" s="765">
        <f t="shared" si="3"/>
        <v>0.21040189125295503</v>
      </c>
      <c r="L19" s="773"/>
    </row>
    <row r="20" spans="1:12" x14ac:dyDescent="0.25">
      <c r="A20" s="760" t="s">
        <v>408</v>
      </c>
      <c r="B20" s="761" t="s">
        <v>167</v>
      </c>
      <c r="C20" s="791">
        <f>'Forecasted Volume'!N20</f>
        <v>103795280</v>
      </c>
      <c r="D20" s="792">
        <v>3.7399999999999998E-3</v>
      </c>
      <c r="E20" s="793">
        <f t="shared" si="4"/>
        <v>3.98E-3</v>
      </c>
      <c r="F20" s="697">
        <f t="shared" si="0"/>
        <v>388194.34719999996</v>
      </c>
      <c r="G20" s="697">
        <f t="shared" si="1"/>
        <v>413105.2144</v>
      </c>
      <c r="H20" s="764">
        <f t="shared" si="2"/>
        <v>24910.867200000037</v>
      </c>
      <c r="I20" s="765">
        <f t="shared" si="3"/>
        <v>6.417112299465251E-2</v>
      </c>
      <c r="L20" s="773"/>
    </row>
    <row r="21" spans="1:12" x14ac:dyDescent="0.25">
      <c r="A21" s="760" t="s">
        <v>131</v>
      </c>
      <c r="B21" s="761"/>
      <c r="C21" s="791">
        <f>'Forecasted Volume'!N21</f>
        <v>36911044</v>
      </c>
      <c r="D21" s="794">
        <v>9.3000000000000005E-4</v>
      </c>
      <c r="E21" s="795">
        <f>'CRM Rates'!$K$22</f>
        <v>9.7000000000000005E-4</v>
      </c>
      <c r="F21" s="697">
        <f t="shared" si="0"/>
        <v>34327.270920000003</v>
      </c>
      <c r="G21" s="697">
        <f t="shared" si="1"/>
        <v>35803.712680000004</v>
      </c>
      <c r="H21" s="764">
        <f t="shared" si="2"/>
        <v>1476.4417600000015</v>
      </c>
      <c r="I21" s="765">
        <f t="shared" si="3"/>
        <v>4.3010752688172081E-2</v>
      </c>
      <c r="L21" s="773"/>
    </row>
    <row r="22" spans="1:12" x14ac:dyDescent="0.25">
      <c r="A22" s="760" t="s">
        <v>90</v>
      </c>
      <c r="C22" s="766">
        <f>SUM(C9:C21)</f>
        <v>1170264197</v>
      </c>
      <c r="D22" s="767"/>
      <c r="E22" s="767"/>
      <c r="F22" s="704">
        <f t="shared" ref="F22:H22" si="5">SUM(F9:F21)</f>
        <v>21417840.086720001</v>
      </c>
      <c r="G22" s="704">
        <f t="shared" si="5"/>
        <v>27055449.230880003</v>
      </c>
      <c r="H22" s="768">
        <f t="shared" si="5"/>
        <v>5637609.1441600015</v>
      </c>
      <c r="I22" s="769">
        <f t="shared" si="3"/>
        <v>0.26322024636160984</v>
      </c>
    </row>
    <row r="23" spans="1:12" s="732" customFormat="1" x14ac:dyDescent="0.25">
      <c r="A23" s="736"/>
      <c r="B23" s="770"/>
      <c r="C23" s="771"/>
      <c r="D23" s="772"/>
      <c r="E23" s="772"/>
      <c r="F23" s="772"/>
      <c r="G23" s="772"/>
      <c r="H23" s="755"/>
    </row>
    <row r="24" spans="1:12" x14ac:dyDescent="0.25">
      <c r="F24" s="764"/>
      <c r="G24" s="764"/>
    </row>
    <row r="25" spans="1:12" x14ac:dyDescent="0.25">
      <c r="C25" s="773"/>
      <c r="F25" s="764"/>
      <c r="G25" s="764"/>
      <c r="H25" s="774"/>
    </row>
    <row r="26" spans="1:12" x14ac:dyDescent="0.25">
      <c r="A26" s="775"/>
    </row>
  </sheetData>
  <mergeCells count="4">
    <mergeCell ref="A1:I1"/>
    <mergeCell ref="A2:I2"/>
    <mergeCell ref="A3:I3"/>
    <mergeCell ref="A4:I4"/>
  </mergeCells>
  <printOptions horizontalCentered="1"/>
  <pageMargins left="0.7" right="0.7" top="0.75" bottom="0.75" header="0.3" footer="0.3"/>
  <pageSetup scale="85" orientation="landscape" blackAndWhite="1" r:id="rId1"/>
  <headerFooter>
    <oddFooter>&amp;L&amp;F 
&amp;A&amp;C&amp;P&amp;R&amp;D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
  <sheetViews>
    <sheetView workbookViewId="0">
      <selection activeCell="I37" sqref="I37"/>
    </sheetView>
  </sheetViews>
  <sheetFormatPr defaultRowHeight="12.75" x14ac:dyDescent="0.2"/>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52"/>
  <sheetViews>
    <sheetView zoomScale="90" zoomScaleNormal="90" workbookViewId="0">
      <selection activeCell="C4" sqref="C4"/>
    </sheetView>
  </sheetViews>
  <sheetFormatPr defaultColWidth="8.7109375" defaultRowHeight="15" outlineLevelCol="1" x14ac:dyDescent="0.25"/>
  <cols>
    <col min="1" max="1" width="3.5703125" style="82" customWidth="1"/>
    <col min="2" max="2" width="2.5703125" style="82" customWidth="1"/>
    <col min="3" max="3" width="35.140625" style="82" customWidth="1"/>
    <col min="4" max="4" width="9.140625" style="82" bestFit="1" customWidth="1"/>
    <col min="5" max="5" width="13.85546875" style="82" customWidth="1"/>
    <col min="6" max="6" width="14.85546875" style="82" bestFit="1" customWidth="1"/>
    <col min="7" max="12" width="12.7109375" style="82" customWidth="1"/>
    <col min="13" max="13" width="8.7109375" style="82"/>
    <col min="14" max="14" width="9.140625" style="82" customWidth="1" outlineLevel="1"/>
    <col min="15" max="15" width="11.85546875" bestFit="1" customWidth="1"/>
    <col min="16" max="16384" width="8.7109375" style="82"/>
  </cols>
  <sheetData>
    <row r="1" spans="1:15" x14ac:dyDescent="0.25">
      <c r="B1" s="246" t="s">
        <v>0</v>
      </c>
      <c r="C1" s="247"/>
      <c r="D1" s="247"/>
      <c r="E1" s="247"/>
      <c r="F1" s="247"/>
      <c r="G1" s="247"/>
      <c r="H1" s="247"/>
      <c r="I1" s="247"/>
      <c r="J1" s="247"/>
      <c r="K1" s="247"/>
      <c r="L1" s="247"/>
    </row>
    <row r="2" spans="1:15" s="813" customFormat="1" x14ac:dyDescent="0.25">
      <c r="A2" s="812"/>
      <c r="B2" s="245" t="str">
        <f>'CRM Rates'!A2</f>
        <v>2022 Gas Schedule 149 Cost Recovery Mechanism For Pipeline Replacement (CRM) Filing (PRELIMINARY - August Filing)</v>
      </c>
      <c r="C2" s="245"/>
      <c r="D2" s="245"/>
      <c r="E2" s="245"/>
      <c r="F2" s="245"/>
      <c r="G2" s="245"/>
      <c r="H2" s="245"/>
      <c r="I2" s="245"/>
      <c r="J2" s="245"/>
      <c r="K2" s="245"/>
      <c r="L2" s="245"/>
      <c r="M2" s="812"/>
      <c r="N2" s="812"/>
    </row>
    <row r="3" spans="1:15" s="7" customFormat="1" x14ac:dyDescent="0.25">
      <c r="A3" s="814"/>
      <c r="B3" s="815" t="s">
        <v>345</v>
      </c>
      <c r="C3" s="815"/>
      <c r="D3" s="815"/>
      <c r="E3" s="815"/>
      <c r="F3" s="815"/>
      <c r="G3" s="815"/>
      <c r="H3" s="815"/>
      <c r="I3" s="815"/>
      <c r="J3" s="815"/>
      <c r="K3" s="815"/>
      <c r="L3" s="815"/>
      <c r="M3" s="814"/>
      <c r="N3" s="814"/>
    </row>
    <row r="4" spans="1:15" s="218" customFormat="1" x14ac:dyDescent="0.25">
      <c r="A4" s="86"/>
      <c r="B4" s="796"/>
      <c r="C4" s="86"/>
      <c r="D4" s="86"/>
      <c r="E4" s="86"/>
      <c r="F4" s="86"/>
      <c r="G4" s="86"/>
      <c r="H4" s="86"/>
      <c r="I4" s="86"/>
      <c r="J4" s="86"/>
      <c r="K4" s="86"/>
      <c r="L4" s="86"/>
      <c r="M4" s="86"/>
      <c r="N4" s="86"/>
    </row>
    <row r="5" spans="1:15" s="218" customFormat="1" x14ac:dyDescent="0.25">
      <c r="A5" s="86"/>
      <c r="B5" s="86"/>
      <c r="C5" s="86"/>
      <c r="D5" s="86"/>
      <c r="E5" s="86"/>
      <c r="F5" s="797"/>
      <c r="G5" s="797" t="s">
        <v>115</v>
      </c>
      <c r="H5" s="797" t="s">
        <v>116</v>
      </c>
      <c r="I5" s="797"/>
      <c r="J5" s="797" t="s">
        <v>117</v>
      </c>
      <c r="K5" s="797" t="s">
        <v>118</v>
      </c>
      <c r="L5" s="797"/>
      <c r="M5" s="86"/>
      <c r="N5" s="86"/>
    </row>
    <row r="6" spans="1:15" s="218" customFormat="1" x14ac:dyDescent="0.25">
      <c r="A6" s="86"/>
      <c r="B6" s="86"/>
      <c r="C6" s="86"/>
      <c r="D6" s="797" t="s">
        <v>119</v>
      </c>
      <c r="E6" s="86"/>
      <c r="F6" s="797" t="s">
        <v>134</v>
      </c>
      <c r="G6" s="797" t="s">
        <v>121</v>
      </c>
      <c r="H6" s="797" t="s">
        <v>122</v>
      </c>
      <c r="I6" s="797" t="s">
        <v>123</v>
      </c>
      <c r="J6" s="797" t="s">
        <v>124</v>
      </c>
      <c r="K6" s="797" t="s">
        <v>125</v>
      </c>
      <c r="L6" s="797"/>
      <c r="M6" s="86"/>
      <c r="N6" s="86"/>
    </row>
    <row r="7" spans="1:15" s="218" customFormat="1" x14ac:dyDescent="0.25">
      <c r="A7" s="86"/>
      <c r="B7" s="86"/>
      <c r="C7" s="86"/>
      <c r="D7" s="798" t="s">
        <v>126</v>
      </c>
      <c r="E7" s="798" t="s">
        <v>90</v>
      </c>
      <c r="F7" s="798" t="s">
        <v>127</v>
      </c>
      <c r="G7" s="798" t="s">
        <v>128</v>
      </c>
      <c r="H7" s="798" t="s">
        <v>129</v>
      </c>
      <c r="I7" s="798" t="s">
        <v>130</v>
      </c>
      <c r="J7" s="798" t="s">
        <v>130</v>
      </c>
      <c r="K7" s="798" t="s">
        <v>130</v>
      </c>
      <c r="L7" s="798" t="s">
        <v>131</v>
      </c>
      <c r="M7" s="86"/>
      <c r="N7" s="74" t="s">
        <v>104</v>
      </c>
      <c r="O7" s="74" t="s">
        <v>254</v>
      </c>
    </row>
    <row r="8" spans="1:15" s="218" customFormat="1" x14ac:dyDescent="0.25">
      <c r="A8" s="86"/>
      <c r="B8" s="86" t="s">
        <v>135</v>
      </c>
      <c r="C8" s="86"/>
      <c r="D8" s="86"/>
      <c r="E8" s="90"/>
      <c r="F8" s="90"/>
      <c r="G8" s="90"/>
      <c r="H8" s="90"/>
      <c r="I8" s="90"/>
      <c r="J8" s="90"/>
      <c r="K8" s="90"/>
      <c r="L8" s="90"/>
      <c r="M8" s="86"/>
      <c r="N8" s="799"/>
    </row>
    <row r="9" spans="1:15" s="218" customFormat="1" x14ac:dyDescent="0.25">
      <c r="A9" s="86"/>
      <c r="B9" s="86"/>
      <c r="C9" s="162" t="s">
        <v>227</v>
      </c>
      <c r="D9" s="165">
        <v>376</v>
      </c>
      <c r="E9" s="800">
        <f>('2022 CAP CRM'!$E$29+'2022 CAP CRM'!$E$35)*'2022 C&amp;OM'!$L$5</f>
        <v>3505706.4109207918</v>
      </c>
      <c r="F9" s="801">
        <f>$E$9*'Allocation Factors'!E12</f>
        <v>2306306.1999115292</v>
      </c>
      <c r="G9" s="801">
        <f>$E$9*'Allocation Factors'!F12</f>
        <v>839879.21998037444</v>
      </c>
      <c r="H9" s="801">
        <f>$E$9*'Allocation Factors'!G12</f>
        <v>184776.47190322186</v>
      </c>
      <c r="I9" s="801">
        <f>$E$9*'Allocation Factors'!H12</f>
        <v>90000.097074229532</v>
      </c>
      <c r="J9" s="801">
        <f>$E$9*'Allocation Factors'!I12</f>
        <v>9691.8867635873157</v>
      </c>
      <c r="K9" s="801">
        <f>$E$9*'Allocation Factors'!J12</f>
        <v>70404.576044301299</v>
      </c>
      <c r="L9" s="801">
        <f>$E$9*'Allocation Factors'!K12</f>
        <v>4647.9592435476334</v>
      </c>
      <c r="M9" s="86"/>
      <c r="N9" s="799">
        <f t="shared" ref="N9:N15" si="0">SUM(F9:L9)-E9</f>
        <v>0</v>
      </c>
    </row>
    <row r="10" spans="1:15" s="218" customFormat="1" x14ac:dyDescent="0.25">
      <c r="A10" s="86"/>
      <c r="B10" s="86"/>
      <c r="C10" s="162" t="s">
        <v>228</v>
      </c>
      <c r="D10" s="165">
        <v>380</v>
      </c>
      <c r="E10" s="800">
        <f>('2022 CAP CRM'!$E$29+'2022 CAP CRM'!$E$35)*'2022 C&amp;OM'!$L$4</f>
        <v>411865.44147742254</v>
      </c>
      <c r="F10" s="801">
        <f>$E$10*'Allocation Factors'!E17</f>
        <v>237020.7436093943</v>
      </c>
      <c r="G10" s="801">
        <f>$E$10*'Allocation Factors'!F17</f>
        <v>167501.52910682064</v>
      </c>
      <c r="H10" s="801">
        <f>$E$10*'Allocation Factors'!G17</f>
        <v>2975.7497506029936</v>
      </c>
      <c r="I10" s="801">
        <f>$E$10*'Allocation Factors'!H17</f>
        <v>2987.246071733111</v>
      </c>
      <c r="J10" s="801">
        <f>$E$10*'Allocation Factors'!I17</f>
        <v>470.84212437278268</v>
      </c>
      <c r="K10" s="801">
        <f>$E$10*'Allocation Factors'!J17</f>
        <v>384.44301631756292</v>
      </c>
      <c r="L10" s="801">
        <f>$E$10*'Allocation Factors'!K17</f>
        <v>524.88779818124624</v>
      </c>
      <c r="M10" s="86"/>
      <c r="N10" s="799">
        <f t="shared" si="0"/>
        <v>0</v>
      </c>
    </row>
    <row r="11" spans="1:15" s="218" customFormat="1" x14ac:dyDescent="0.25">
      <c r="A11" s="86"/>
      <c r="B11" s="86"/>
      <c r="C11" s="86" t="s">
        <v>90</v>
      </c>
      <c r="D11" s="165"/>
      <c r="E11" s="269">
        <f>SUM(E9:E10)</f>
        <v>3917571.8523982144</v>
      </c>
      <c r="F11" s="89">
        <f t="shared" ref="F11:L11" si="1">SUM(F9:F10)</f>
        <v>2543326.9435209236</v>
      </c>
      <c r="G11" s="89">
        <f t="shared" si="1"/>
        <v>1007380.7490871951</v>
      </c>
      <c r="H11" s="89">
        <f t="shared" si="1"/>
        <v>187752.22165382485</v>
      </c>
      <c r="I11" s="89">
        <f t="shared" si="1"/>
        <v>92987.343145962644</v>
      </c>
      <c r="J11" s="89">
        <f t="shared" si="1"/>
        <v>10162.728887960098</v>
      </c>
      <c r="K11" s="89">
        <f t="shared" si="1"/>
        <v>70789.019060618855</v>
      </c>
      <c r="L11" s="89">
        <f t="shared" si="1"/>
        <v>5172.84704172888</v>
      </c>
      <c r="M11" s="86"/>
      <c r="N11" s="799">
        <f t="shared" si="0"/>
        <v>0</v>
      </c>
      <c r="O11" s="799">
        <f>E11-('2022 CAP CRM'!$E$29+'2022 CAP CRM'!$E$35)</f>
        <v>0</v>
      </c>
    </row>
    <row r="12" spans="1:15" s="218" customFormat="1" x14ac:dyDescent="0.25">
      <c r="A12" s="86"/>
      <c r="B12" s="86"/>
      <c r="C12" s="86"/>
      <c r="D12" s="165"/>
      <c r="E12" s="270"/>
      <c r="F12" s="90"/>
      <c r="G12" s="90"/>
      <c r="H12" s="90"/>
      <c r="I12" s="90"/>
      <c r="J12" s="90"/>
      <c r="K12" s="90"/>
      <c r="L12" s="90"/>
      <c r="M12" s="86"/>
      <c r="N12" s="799"/>
    </row>
    <row r="13" spans="1:15" s="86" customFormat="1" x14ac:dyDescent="0.25">
      <c r="B13" s="86" t="s">
        <v>53</v>
      </c>
      <c r="D13" s="165"/>
      <c r="E13" s="802"/>
      <c r="F13" s="88"/>
      <c r="G13" s="88"/>
      <c r="H13" s="88"/>
      <c r="I13" s="88"/>
      <c r="J13" s="88"/>
      <c r="K13" s="88"/>
      <c r="L13" s="88"/>
      <c r="N13" s="799"/>
    </row>
    <row r="14" spans="1:15" s="86" customFormat="1" x14ac:dyDescent="0.25">
      <c r="C14" s="162" t="s">
        <v>227</v>
      </c>
      <c r="D14" s="165">
        <v>376</v>
      </c>
      <c r="E14" s="803">
        <f>'2022 CAP CRM'!$E$27*'2022 C&amp;OM'!$M$5</f>
        <v>1009673.2860863331</v>
      </c>
      <c r="F14" s="92">
        <f>$E$14*'Allocation Factors'!E12</f>
        <v>664235.81630565994</v>
      </c>
      <c r="G14" s="92">
        <f>$E$14*'Allocation Factors'!F12</f>
        <v>241892.36420698403</v>
      </c>
      <c r="H14" s="92">
        <f>$E$14*'Allocation Factors'!G12</f>
        <v>53217.196681613459</v>
      </c>
      <c r="I14" s="92">
        <f>$E$14*'Allocation Factors'!H12</f>
        <v>25920.794016849417</v>
      </c>
      <c r="J14" s="92">
        <f>$E$14*'Allocation Factors'!I12</f>
        <v>2791.3458829536135</v>
      </c>
      <c r="K14" s="92">
        <f>$E$14*'Allocation Factors'!J12</f>
        <v>20277.117167804652</v>
      </c>
      <c r="L14" s="92">
        <f>$E$14*'Allocation Factors'!K12</f>
        <v>1338.6518244679442</v>
      </c>
      <c r="N14" s="799">
        <f t="shared" si="0"/>
        <v>0</v>
      </c>
    </row>
    <row r="15" spans="1:15" s="86" customFormat="1" x14ac:dyDescent="0.25">
      <c r="C15" s="162" t="s">
        <v>228</v>
      </c>
      <c r="D15" s="165">
        <v>380</v>
      </c>
      <c r="E15" s="803">
        <f>'2022 CAP CRM'!$E$27*'2022 C&amp;OM'!$M$4</f>
        <v>155131.48990268438</v>
      </c>
      <c r="F15" s="92">
        <f>$E$15*'Allocation Factors'!E17</f>
        <v>89275.227759023095</v>
      </c>
      <c r="G15" s="92">
        <f>$E$15*'Allocation Factors'!F17</f>
        <v>63090.415350478877</v>
      </c>
      <c r="H15" s="92">
        <f>$E$15*'Allocation Factors'!G17</f>
        <v>1120.8332768407067</v>
      </c>
      <c r="I15" s="92">
        <f>$E$15*'Allocation Factors'!H17</f>
        <v>1125.1634323859678</v>
      </c>
      <c r="J15" s="92">
        <f>$E$15*'Allocation Factors'!I17</f>
        <v>177.34539708133974</v>
      </c>
      <c r="K15" s="92">
        <f>$E$15*'Allocation Factors'!J17</f>
        <v>144.80267557795284</v>
      </c>
      <c r="L15" s="92">
        <f>$E$15*'Allocation Factors'!K17</f>
        <v>197.70201129647305</v>
      </c>
      <c r="N15" s="799">
        <f t="shared" si="0"/>
        <v>0</v>
      </c>
    </row>
    <row r="16" spans="1:15" s="86" customFormat="1" x14ac:dyDescent="0.25">
      <c r="C16" s="86" t="s">
        <v>90</v>
      </c>
      <c r="D16" s="165"/>
      <c r="E16" s="269">
        <f>SUM(E14:E15)</f>
        <v>1164804.7759890174</v>
      </c>
      <c r="F16" s="89">
        <f t="shared" ref="F16:L16" si="2">SUM(F14:F15)</f>
        <v>753511.04406468302</v>
      </c>
      <c r="G16" s="89">
        <f t="shared" si="2"/>
        <v>304982.7795574629</v>
      </c>
      <c r="H16" s="89">
        <f t="shared" si="2"/>
        <v>54338.029958454164</v>
      </c>
      <c r="I16" s="89">
        <f t="shared" si="2"/>
        <v>27045.957449235386</v>
      </c>
      <c r="J16" s="89">
        <f t="shared" si="2"/>
        <v>2968.6912800349533</v>
      </c>
      <c r="K16" s="89">
        <f t="shared" si="2"/>
        <v>20421.919843382606</v>
      </c>
      <c r="L16" s="89">
        <f t="shared" si="2"/>
        <v>1536.3538357644172</v>
      </c>
      <c r="N16" s="799">
        <f>SUM(F16:L16)-E16</f>
        <v>0</v>
      </c>
      <c r="O16" s="804">
        <f>E11+E16-'2022 CAP CRM'!E37</f>
        <v>0</v>
      </c>
    </row>
    <row r="17" spans="1:15" s="86" customFormat="1" x14ac:dyDescent="0.25">
      <c r="D17" s="165"/>
      <c r="E17" s="270"/>
      <c r="F17" s="90"/>
      <c r="G17" s="90"/>
      <c r="H17" s="90"/>
      <c r="I17" s="90"/>
      <c r="J17" s="90"/>
      <c r="K17" s="90"/>
      <c r="L17" s="90"/>
      <c r="N17" s="74"/>
    </row>
    <row r="18" spans="1:15" s="86" customFormat="1" x14ac:dyDescent="0.25">
      <c r="B18" s="162" t="s">
        <v>215</v>
      </c>
      <c r="D18" s="165"/>
      <c r="E18" s="270"/>
      <c r="F18" s="90"/>
      <c r="G18" s="90"/>
      <c r="H18" s="90"/>
      <c r="I18" s="90"/>
      <c r="J18" s="90"/>
      <c r="K18" s="90"/>
      <c r="L18" s="90"/>
      <c r="N18" s="74"/>
    </row>
    <row r="19" spans="1:15" s="86" customFormat="1" x14ac:dyDescent="0.25">
      <c r="C19" s="162" t="s">
        <v>229</v>
      </c>
      <c r="D19" s="805">
        <f>'2022 C&amp;OM'!O14</f>
        <v>874</v>
      </c>
      <c r="E19" s="803">
        <f>'2022 C&amp;OM'!F19*'2022 C&amp;OM'!O19+'2022 C&amp;OM'!F17*'2022 C&amp;OM'!O17+'2022 C&amp;OM'!F15*'2022 C&amp;OM'!O15</f>
        <v>3334283.4991924372</v>
      </c>
      <c r="F19" s="92">
        <f>$E$19*'Allocation Factors'!E20</f>
        <v>2091340.3447848365</v>
      </c>
      <c r="G19" s="92">
        <f>$E$19*'Allocation Factors'!F20</f>
        <v>1006087.3246209398</v>
      </c>
      <c r="H19" s="92">
        <f>$E$19*'Allocation Factors'!G20</f>
        <v>119328.46930635542</v>
      </c>
      <c r="I19" s="92">
        <f>$E$19*'Allocation Factors'!H20</f>
        <v>62753.12110305667</v>
      </c>
      <c r="J19" s="92">
        <f>$E$19*'Allocation Factors'!I20</f>
        <v>7206.8986242317706</v>
      </c>
      <c r="K19" s="92">
        <f>$E$19*'Allocation Factors'!J20</f>
        <v>43210.424850477459</v>
      </c>
      <c r="L19" s="92">
        <f>$E$19*'Allocation Factors'!K20</f>
        <v>4356.915902538819</v>
      </c>
      <c r="N19" s="799">
        <f t="shared" ref="N19:N21" si="3">SUM(F19:L19)-E19</f>
        <v>0</v>
      </c>
    </row>
    <row r="20" spans="1:15" s="86" customFormat="1" x14ac:dyDescent="0.25">
      <c r="C20" s="162" t="str">
        <f>'Allocation Factors'!C22&amp;" (FERC "&amp;'Allocation Factors'!B22&amp;")"</f>
        <v>Oper Meter &amp; House Reg (FERC 878)</v>
      </c>
      <c r="D20" s="805">
        <f>'2022 C&amp;OM'!M14</f>
        <v>878</v>
      </c>
      <c r="E20" s="803">
        <f>'2022 C&amp;OM'!F15*'2022 C&amp;OM'!M15</f>
        <v>0</v>
      </c>
      <c r="F20" s="92">
        <f>$E$20*'Allocation Factors'!E23</f>
        <v>0</v>
      </c>
      <c r="G20" s="92">
        <f>$E$20*'Allocation Factors'!F23</f>
        <v>0</v>
      </c>
      <c r="H20" s="92">
        <f>$E$20*'Allocation Factors'!G23</f>
        <v>0</v>
      </c>
      <c r="I20" s="92">
        <f>$E$20*'Allocation Factors'!H23</f>
        <v>0</v>
      </c>
      <c r="J20" s="92">
        <f>$E$20*'Allocation Factors'!I23</f>
        <v>0</v>
      </c>
      <c r="K20" s="92">
        <f>$E$20*'Allocation Factors'!J23</f>
        <v>0</v>
      </c>
      <c r="L20" s="92">
        <f>$E$20*'Allocation Factors'!K23</f>
        <v>0</v>
      </c>
      <c r="N20" s="799">
        <f t="shared" ref="N20" si="4">SUM(F20:L20)-E20</f>
        <v>0</v>
      </c>
    </row>
    <row r="21" spans="1:15" s="86" customFormat="1" x14ac:dyDescent="0.25">
      <c r="C21" s="162" t="str">
        <f>'Allocation Factors'!C25&amp;" (FERC "&amp;'Allocation Factors'!B25&amp;")"</f>
        <v>Maint Mains (FERC 887)</v>
      </c>
      <c r="D21" s="805">
        <f>'2022 C&amp;OM'!N14</f>
        <v>887</v>
      </c>
      <c r="E21" s="803">
        <f>'2022 C&amp;OM'!F18*'2022 C&amp;OM'!N18</f>
        <v>94056.075781792257</v>
      </c>
      <c r="F21" s="92">
        <f>$E$21*'Allocation Factors'!E26</f>
        <v>61876.8616901723</v>
      </c>
      <c r="G21" s="92">
        <f>$E$21*'Allocation Factors'!F26</f>
        <v>22533.473800299802</v>
      </c>
      <c r="H21" s="92">
        <f>$E$21*'Allocation Factors'!G26</f>
        <v>4957.445891613288</v>
      </c>
      <c r="I21" s="92">
        <f>$E$21*'Allocation Factors'!H26</f>
        <v>2414.6505607008326</v>
      </c>
      <c r="J21" s="92">
        <f>$E$21*'Allocation Factors'!I26</f>
        <v>260.02771739949742</v>
      </c>
      <c r="K21" s="92">
        <f>$E$21*'Allocation Factors'!J26</f>
        <v>1888.9140628488806</v>
      </c>
      <c r="L21" s="92">
        <f>$E$21*'Allocation Factors'!K26</f>
        <v>124.70205875767374</v>
      </c>
      <c r="N21" s="799">
        <f t="shared" si="3"/>
        <v>0</v>
      </c>
    </row>
    <row r="22" spans="1:15" s="86" customFormat="1" x14ac:dyDescent="0.25">
      <c r="C22" s="162" t="str">
        <f>'Allocation Factors'!C28&amp;" (FERC "&amp;'Allocation Factors'!B28&amp;")"</f>
        <v>Maint Services (FERC 892)</v>
      </c>
      <c r="D22" s="805">
        <f>'2022 C&amp;OM'!K14</f>
        <v>892</v>
      </c>
      <c r="E22" s="803">
        <f>'2022 C&amp;OM'!F15*'2022 C&amp;OM'!K15+'2022 C&amp;OM'!F16*'2022 C&amp;OM'!K16+'2022 C&amp;OM'!F18*'2022 C&amp;OM'!K18</f>
        <v>719128.59999444417</v>
      </c>
      <c r="F22" s="92">
        <f>$E$22*'Allocation Factors'!E29</f>
        <v>413844.85891810217</v>
      </c>
      <c r="G22" s="92">
        <f>$E$22*'Allocation Factors'!F29</f>
        <v>292462.3626867698</v>
      </c>
      <c r="H22" s="92">
        <f>$E$22*'Allocation Factors'!G29</f>
        <v>5195.7424357057962</v>
      </c>
      <c r="I22" s="92">
        <f>$E$22*'Allocation Factors'!H29</f>
        <v>5215.8153344897573</v>
      </c>
      <c r="J22" s="92">
        <f>$E$22*'Allocation Factors'!I29</f>
        <v>822.10354067098899</v>
      </c>
      <c r="K22" s="92">
        <f>$E$22*'Allocation Factors'!J29</f>
        <v>671.24827737518535</v>
      </c>
      <c r="L22" s="92">
        <f>$E$22*'Allocation Factors'!K29</f>
        <v>916.46880133043987</v>
      </c>
      <c r="N22" s="799">
        <f>SUM(F22:L22)-E22</f>
        <v>0</v>
      </c>
    </row>
    <row r="23" spans="1:15" s="86" customFormat="1" x14ac:dyDescent="0.25">
      <c r="C23" s="162" t="str">
        <f>'Allocation Factors'!C31&amp;" (FERC "&amp;'Allocation Factors'!B31&amp;")"</f>
        <v>Maint Meters &amp; House Reg (FERC 893)</v>
      </c>
      <c r="D23" s="805">
        <f>'2022 C&amp;OM'!L14</f>
        <v>893</v>
      </c>
      <c r="E23" s="803">
        <f>'2022 C&amp;OM'!F15*'2022 C&amp;OM'!L15</f>
        <v>2042.4250313262837</v>
      </c>
      <c r="F23" s="92">
        <f>$E$23*'Allocation Factors'!E32</f>
        <v>1617.2661619882167</v>
      </c>
      <c r="G23" s="92">
        <f>$E$23*'Allocation Factors'!F32</f>
        <v>416.80658237399143</v>
      </c>
      <c r="H23" s="92">
        <f>$E$23*'Allocation Factors'!G32</f>
        <v>8.2624663625994881</v>
      </c>
      <c r="I23" s="92">
        <f>$E$23*'Allocation Factors'!H32</f>
        <v>4.6895171697688032E-2</v>
      </c>
      <c r="J23" s="92">
        <f>$E$23*'Allocation Factors'!I32</f>
        <v>2.7293705879128383E-2</v>
      </c>
      <c r="K23" s="92">
        <f>$E$23*'Allocation Factors'!J32</f>
        <v>0</v>
      </c>
      <c r="L23" s="92">
        <f>$E$23*'Allocation Factors'!K32</f>
        <v>1.5631723899229347E-2</v>
      </c>
      <c r="N23" s="799">
        <f>SUM(F23:L23)-E23</f>
        <v>0</v>
      </c>
    </row>
    <row r="24" spans="1:15" s="86" customFormat="1" x14ac:dyDescent="0.25">
      <c r="C24" s="162" t="s">
        <v>90</v>
      </c>
      <c r="E24" s="89">
        <f t="shared" ref="E24:L24" si="5">SUM(E19:E23)</f>
        <v>4149510.6</v>
      </c>
      <c r="F24" s="89">
        <f t="shared" si="5"/>
        <v>2568679.3315550988</v>
      </c>
      <c r="G24" s="89">
        <f t="shared" si="5"/>
        <v>1321499.9676903835</v>
      </c>
      <c r="H24" s="89">
        <f t="shared" si="5"/>
        <v>129489.9201000371</v>
      </c>
      <c r="I24" s="89">
        <f t="shared" si="5"/>
        <v>70383.633893418955</v>
      </c>
      <c r="J24" s="89">
        <f t="shared" si="5"/>
        <v>8289.0571760081366</v>
      </c>
      <c r="K24" s="89">
        <f t="shared" si="5"/>
        <v>45770.587190701524</v>
      </c>
      <c r="L24" s="89">
        <f t="shared" si="5"/>
        <v>5398.1023943508308</v>
      </c>
      <c r="N24" s="799">
        <f>SUM(F24:L24)-E24</f>
        <v>0</v>
      </c>
      <c r="O24" s="804">
        <f>E24-'2022 C&amp;OM'!F20</f>
        <v>0</v>
      </c>
    </row>
    <row r="25" spans="1:15" s="86" customFormat="1" x14ac:dyDescent="0.25">
      <c r="E25" s="88"/>
      <c r="F25" s="88"/>
      <c r="G25" s="88"/>
      <c r="H25" s="88"/>
      <c r="I25" s="88"/>
      <c r="J25" s="88"/>
      <c r="K25" s="88"/>
      <c r="L25" s="88"/>
      <c r="N25" s="74"/>
    </row>
    <row r="26" spans="1:15" s="86" customFormat="1" x14ac:dyDescent="0.25">
      <c r="B26" s="86" t="s">
        <v>136</v>
      </c>
      <c r="E26" s="88">
        <f t="shared" ref="E26:L26" si="6">E11+E16+E24</f>
        <v>9231887.228387231</v>
      </c>
      <c r="F26" s="88">
        <f t="shared" si="6"/>
        <v>5865517.3191407053</v>
      </c>
      <c r="G26" s="88">
        <f t="shared" si="6"/>
        <v>2633863.4963350417</v>
      </c>
      <c r="H26" s="88">
        <f t="shared" si="6"/>
        <v>371580.17171231611</v>
      </c>
      <c r="I26" s="88">
        <f t="shared" si="6"/>
        <v>190416.934488617</v>
      </c>
      <c r="J26" s="88">
        <f t="shared" si="6"/>
        <v>21420.477344003186</v>
      </c>
      <c r="K26" s="88">
        <f t="shared" si="6"/>
        <v>136981.526094703</v>
      </c>
      <c r="L26" s="88">
        <f t="shared" si="6"/>
        <v>12107.303271844128</v>
      </c>
      <c r="N26" s="799">
        <f t="shared" ref="N26" si="7">SUM(F26:L26)-E26</f>
        <v>0</v>
      </c>
    </row>
    <row r="27" spans="1:15" s="86" customFormat="1" x14ac:dyDescent="0.25">
      <c r="B27" s="86" t="s">
        <v>137</v>
      </c>
      <c r="E27" s="806">
        <f>'2019 GRC'!$J$40</f>
        <v>0.95255299999999998</v>
      </c>
      <c r="F27" s="88"/>
      <c r="G27" s="88"/>
      <c r="H27" s="88"/>
      <c r="I27" s="88"/>
      <c r="J27" s="88"/>
      <c r="K27" s="88"/>
      <c r="L27" s="88"/>
      <c r="N27" s="74"/>
    </row>
    <row r="28" spans="1:15" s="86" customFormat="1" x14ac:dyDescent="0.25">
      <c r="B28" s="87" t="s">
        <v>138</v>
      </c>
      <c r="C28" s="87"/>
      <c r="D28" s="87"/>
      <c r="E28" s="93">
        <f>E26/$E$27</f>
        <v>9691730.7786414307</v>
      </c>
      <c r="F28" s="93">
        <f t="shared" ref="F28:L28" si="8">F26/$E$27</f>
        <v>6157680.8000612101</v>
      </c>
      <c r="G28" s="93">
        <f t="shared" si="8"/>
        <v>2765057.1635751938</v>
      </c>
      <c r="H28" s="93">
        <f t="shared" si="8"/>
        <v>390088.71077233087</v>
      </c>
      <c r="I28" s="93">
        <f t="shared" si="8"/>
        <v>199901.66897654725</v>
      </c>
      <c r="J28" s="93">
        <f t="shared" si="8"/>
        <v>22487.438855374123</v>
      </c>
      <c r="K28" s="93">
        <f t="shared" si="8"/>
        <v>143804.62409409555</v>
      </c>
      <c r="L28" s="93">
        <f t="shared" si="8"/>
        <v>12710.372306679134</v>
      </c>
      <c r="N28" s="799">
        <f t="shared" ref="N28" si="9">SUM(F28:L28)-E28</f>
        <v>0</v>
      </c>
      <c r="O28" s="799">
        <f>E28-'Summary - Revenue Requirement'!B14</f>
        <v>0</v>
      </c>
    </row>
    <row r="29" spans="1:15" s="86" customFormat="1" x14ac:dyDescent="0.25">
      <c r="F29" s="88"/>
      <c r="G29" s="88"/>
      <c r="H29" s="88"/>
      <c r="I29" s="88"/>
      <c r="J29" s="88"/>
      <c r="K29" s="88"/>
      <c r="L29" s="88"/>
    </row>
    <row r="30" spans="1:15" s="218" customFormat="1" x14ac:dyDescent="0.25">
      <c r="A30" s="86"/>
      <c r="B30" s="86" t="s">
        <v>139</v>
      </c>
      <c r="C30" s="86"/>
      <c r="D30" s="86"/>
      <c r="E30" s="807">
        <f>SUM(F30:L30)</f>
        <v>1</v>
      </c>
      <c r="F30" s="807">
        <f>F28/$E28</f>
        <v>0.63535409110119567</v>
      </c>
      <c r="G30" s="807">
        <f t="shared" ref="G30:L30" si="10">G28/$E28</f>
        <v>0.285300657511949</v>
      </c>
      <c r="H30" s="807">
        <f t="shared" si="10"/>
        <v>4.0249643709873335E-2</v>
      </c>
      <c r="I30" s="807">
        <f t="shared" si="10"/>
        <v>2.0626003088848606E-2</v>
      </c>
      <c r="J30" s="807">
        <f t="shared" si="10"/>
        <v>2.3202706894140915E-3</v>
      </c>
      <c r="K30" s="807">
        <f t="shared" si="10"/>
        <v>1.4837868217616113E-2</v>
      </c>
      <c r="L30" s="807">
        <f t="shared" si="10"/>
        <v>1.311465681103128E-3</v>
      </c>
      <c r="M30" s="86"/>
      <c r="N30" s="86"/>
    </row>
    <row r="31" spans="1:15" s="218" customFormat="1" x14ac:dyDescent="0.25">
      <c r="A31" s="86"/>
      <c r="B31" s="86"/>
      <c r="C31" s="86"/>
      <c r="D31" s="86"/>
      <c r="E31" s="86"/>
      <c r="F31" s="88"/>
      <c r="G31" s="88"/>
      <c r="H31" s="88"/>
      <c r="I31" s="88"/>
      <c r="J31" s="88"/>
      <c r="K31" s="88"/>
      <c r="L31" s="88"/>
      <c r="M31" s="86"/>
      <c r="N31" s="86"/>
    </row>
    <row r="32" spans="1:15" customFormat="1" x14ac:dyDescent="0.25">
      <c r="A32" s="82"/>
      <c r="B32" s="82"/>
      <c r="C32" s="82"/>
      <c r="D32" s="82"/>
      <c r="E32" s="82"/>
      <c r="F32" s="82"/>
      <c r="G32" s="82"/>
      <c r="H32" s="82"/>
      <c r="I32" s="82"/>
      <c r="J32" s="82"/>
      <c r="K32" s="82"/>
      <c r="L32" s="82"/>
      <c r="M32" s="82"/>
      <c r="N32" s="82"/>
    </row>
    <row r="33" spans="1:14" customFormat="1" x14ac:dyDescent="0.25">
      <c r="A33" s="82"/>
      <c r="B33" s="82"/>
      <c r="C33" s="82"/>
      <c r="D33" s="82"/>
      <c r="E33" s="82"/>
      <c r="F33" s="82"/>
      <c r="G33" s="82"/>
      <c r="H33" s="82"/>
      <c r="I33" s="82"/>
      <c r="J33" s="82"/>
      <c r="K33" s="82"/>
      <c r="L33" s="82"/>
      <c r="M33" s="82"/>
      <c r="N33" s="82"/>
    </row>
    <row r="34" spans="1:14" customFormat="1" x14ac:dyDescent="0.25">
      <c r="A34" s="82"/>
      <c r="B34" s="82"/>
      <c r="C34" s="82"/>
      <c r="D34" s="82"/>
      <c r="E34" s="82"/>
      <c r="F34" s="82"/>
      <c r="G34" s="82"/>
      <c r="H34" s="82"/>
      <c r="I34" s="82"/>
      <c r="J34" s="82"/>
      <c r="K34" s="82"/>
      <c r="L34" s="82"/>
      <c r="M34" s="82"/>
      <c r="N34" s="82"/>
    </row>
    <row r="35" spans="1:14" customFormat="1" x14ac:dyDescent="0.25">
      <c r="A35" s="82"/>
      <c r="B35" s="82"/>
      <c r="C35" s="82"/>
      <c r="D35" s="82"/>
      <c r="E35" s="82"/>
      <c r="F35" s="82"/>
      <c r="G35" s="82"/>
      <c r="H35" s="82"/>
      <c r="I35" s="82"/>
      <c r="J35" s="82"/>
      <c r="K35" s="82"/>
      <c r="L35" s="82"/>
      <c r="M35" s="82"/>
      <c r="N35" s="82"/>
    </row>
    <row r="36" spans="1:14" customFormat="1" x14ac:dyDescent="0.25">
      <c r="A36" s="82"/>
      <c r="B36" s="82"/>
      <c r="C36" s="82"/>
      <c r="D36" s="82"/>
      <c r="E36" s="82"/>
      <c r="F36" s="82"/>
      <c r="G36" s="82"/>
      <c r="H36" s="82"/>
      <c r="I36" s="82"/>
      <c r="J36" s="82"/>
      <c r="K36" s="82"/>
      <c r="L36" s="82"/>
      <c r="M36" s="82"/>
      <c r="N36" s="82"/>
    </row>
    <row r="37" spans="1:14" customFormat="1" x14ac:dyDescent="0.25">
      <c r="A37" s="82"/>
      <c r="B37" s="82"/>
      <c r="C37" s="82"/>
      <c r="D37" s="82"/>
      <c r="E37" s="82"/>
      <c r="F37" s="82"/>
      <c r="G37" s="82"/>
      <c r="H37" s="82"/>
      <c r="I37" s="82"/>
      <c r="J37" s="82"/>
      <c r="K37" s="82"/>
      <c r="L37" s="82"/>
      <c r="M37" s="82"/>
      <c r="N37" s="82"/>
    </row>
    <row r="38" spans="1:14" customFormat="1" x14ac:dyDescent="0.25">
      <c r="A38" s="82"/>
      <c r="B38" s="82"/>
      <c r="C38" s="82"/>
      <c r="D38" s="82"/>
      <c r="E38" s="82"/>
      <c r="F38" s="82"/>
      <c r="G38" s="82"/>
      <c r="H38" s="82"/>
      <c r="I38" s="82"/>
      <c r="J38" s="82"/>
      <c r="K38" s="82"/>
      <c r="L38" s="82"/>
      <c r="M38" s="82"/>
      <c r="N38" s="82"/>
    </row>
    <row r="39" spans="1:14" customFormat="1" x14ac:dyDescent="0.25">
      <c r="A39" s="82"/>
      <c r="B39" s="82"/>
      <c r="C39" s="82"/>
      <c r="D39" s="82"/>
      <c r="E39" s="82"/>
      <c r="F39" s="82"/>
      <c r="G39" s="82"/>
      <c r="H39" s="82"/>
      <c r="I39" s="82"/>
      <c r="J39" s="82"/>
      <c r="K39" s="82"/>
      <c r="L39" s="82"/>
      <c r="M39" s="82"/>
      <c r="N39" s="82"/>
    </row>
    <row r="40" spans="1:14" customFormat="1" x14ac:dyDescent="0.25">
      <c r="A40" s="82"/>
      <c r="B40" s="82"/>
      <c r="C40" s="82"/>
      <c r="D40" s="82"/>
      <c r="E40" s="82"/>
      <c r="F40" s="82"/>
      <c r="G40" s="82"/>
      <c r="H40" s="82"/>
      <c r="I40" s="82"/>
      <c r="J40" s="82"/>
      <c r="K40" s="82"/>
      <c r="L40" s="82"/>
      <c r="M40" s="82"/>
      <c r="N40" s="82"/>
    </row>
    <row r="41" spans="1:14" customFormat="1" x14ac:dyDescent="0.25">
      <c r="A41" s="82"/>
      <c r="B41" s="82"/>
      <c r="C41" s="82"/>
      <c r="D41" s="82"/>
      <c r="E41" s="82"/>
      <c r="F41" s="82"/>
      <c r="G41" s="82"/>
      <c r="H41" s="82"/>
      <c r="I41" s="82"/>
      <c r="J41" s="82"/>
      <c r="K41" s="82"/>
      <c r="L41" s="82"/>
      <c r="M41" s="82"/>
      <c r="N41" s="82"/>
    </row>
    <row r="42" spans="1:14" customFormat="1" x14ac:dyDescent="0.25">
      <c r="A42" s="82"/>
      <c r="B42" s="82"/>
      <c r="C42" s="82"/>
      <c r="D42" s="82"/>
      <c r="E42" s="82"/>
      <c r="F42" s="82"/>
      <c r="G42" s="82"/>
      <c r="H42" s="82"/>
      <c r="I42" s="82"/>
      <c r="J42" s="82"/>
      <c r="K42" s="82"/>
      <c r="L42" s="82"/>
      <c r="M42" s="82"/>
      <c r="N42" s="82"/>
    </row>
    <row r="43" spans="1:14" customFormat="1" x14ac:dyDescent="0.25">
      <c r="A43" s="82"/>
      <c r="B43" s="82"/>
      <c r="C43" s="82"/>
      <c r="D43" s="82"/>
      <c r="E43" s="82"/>
      <c r="F43" s="82"/>
      <c r="G43" s="82"/>
      <c r="H43" s="82"/>
      <c r="I43" s="82"/>
      <c r="J43" s="82"/>
      <c r="K43" s="82"/>
      <c r="L43" s="82"/>
      <c r="M43" s="82"/>
      <c r="N43" s="82"/>
    </row>
    <row r="44" spans="1:14" customFormat="1" x14ac:dyDescent="0.25">
      <c r="A44" s="82"/>
      <c r="B44" s="82"/>
      <c r="C44" s="82"/>
      <c r="D44" s="82"/>
      <c r="E44" s="82"/>
      <c r="F44" s="82"/>
      <c r="G44" s="82"/>
      <c r="H44" s="82"/>
      <c r="I44" s="82"/>
      <c r="J44" s="82"/>
      <c r="K44" s="82"/>
      <c r="L44" s="82"/>
      <c r="M44" s="82"/>
      <c r="N44" s="82"/>
    </row>
    <row r="45" spans="1:14" customFormat="1" x14ac:dyDescent="0.25">
      <c r="A45" s="82"/>
      <c r="B45" s="82"/>
      <c r="C45" s="82"/>
      <c r="D45" s="82"/>
      <c r="E45" s="82"/>
      <c r="F45" s="82"/>
      <c r="G45" s="82"/>
      <c r="H45" s="82"/>
      <c r="I45" s="82"/>
      <c r="J45" s="82"/>
      <c r="K45" s="82"/>
      <c r="L45" s="82"/>
      <c r="M45" s="82"/>
      <c r="N45" s="82"/>
    </row>
    <row r="46" spans="1:14" customFormat="1" x14ac:dyDescent="0.25">
      <c r="A46" s="82"/>
      <c r="B46" s="82"/>
      <c r="C46" s="82"/>
      <c r="D46" s="82"/>
      <c r="E46" s="82"/>
      <c r="F46" s="82"/>
      <c r="G46" s="82"/>
      <c r="H46" s="82"/>
      <c r="I46" s="82"/>
      <c r="J46" s="82"/>
      <c r="K46" s="82"/>
      <c r="L46" s="82"/>
      <c r="M46" s="82"/>
      <c r="N46" s="82"/>
    </row>
    <row r="47" spans="1:14" customFormat="1" x14ac:dyDescent="0.25">
      <c r="A47" s="82"/>
      <c r="B47" s="82"/>
      <c r="C47" s="82"/>
      <c r="D47" s="82"/>
      <c r="E47" s="82"/>
      <c r="F47" s="82"/>
      <c r="G47" s="82"/>
      <c r="H47" s="82"/>
      <c r="I47" s="82"/>
      <c r="J47" s="82"/>
      <c r="K47" s="82"/>
      <c r="L47" s="82"/>
      <c r="M47" s="82"/>
      <c r="N47" s="82"/>
    </row>
    <row r="48" spans="1:14" customFormat="1" x14ac:dyDescent="0.25">
      <c r="A48" s="82"/>
      <c r="B48" s="82"/>
      <c r="C48" s="82"/>
      <c r="D48" s="82"/>
      <c r="E48" s="82"/>
      <c r="F48" s="82"/>
      <c r="G48" s="82"/>
      <c r="H48" s="82"/>
      <c r="I48" s="82"/>
      <c r="J48" s="82"/>
      <c r="K48" s="82"/>
      <c r="L48" s="82"/>
      <c r="M48" s="82"/>
      <c r="N48" s="82"/>
    </row>
    <row r="49" spans="1:14" customFormat="1" x14ac:dyDescent="0.25">
      <c r="A49" s="82"/>
      <c r="B49" s="82"/>
      <c r="C49" s="82"/>
      <c r="D49" s="82"/>
      <c r="E49" s="82"/>
      <c r="F49" s="82"/>
      <c r="G49" s="82"/>
      <c r="H49" s="82"/>
      <c r="I49" s="82"/>
      <c r="J49" s="82"/>
      <c r="K49" s="82"/>
      <c r="L49" s="82"/>
      <c r="M49" s="82"/>
      <c r="N49" s="82"/>
    </row>
    <row r="50" spans="1:14" customFormat="1" x14ac:dyDescent="0.25">
      <c r="A50" s="82"/>
      <c r="B50" s="82"/>
      <c r="C50" s="82"/>
      <c r="D50" s="82"/>
      <c r="E50" s="82"/>
      <c r="F50" s="82"/>
      <c r="G50" s="82"/>
      <c r="H50" s="82"/>
      <c r="I50" s="82"/>
      <c r="J50" s="82"/>
      <c r="K50" s="82"/>
      <c r="L50" s="82"/>
      <c r="M50" s="82"/>
      <c r="N50" s="82"/>
    </row>
    <row r="51" spans="1:14" customFormat="1" x14ac:dyDescent="0.25">
      <c r="A51" s="82"/>
      <c r="B51" s="82"/>
      <c r="C51" s="82"/>
      <c r="D51" s="82"/>
      <c r="E51" s="82"/>
      <c r="F51" s="82"/>
      <c r="G51" s="82"/>
      <c r="H51" s="82"/>
      <c r="I51" s="82"/>
      <c r="J51" s="82"/>
      <c r="K51" s="82"/>
      <c r="L51" s="82"/>
      <c r="M51" s="82"/>
      <c r="N51" s="82"/>
    </row>
    <row r="52" spans="1:14" customFormat="1" x14ac:dyDescent="0.25">
      <c r="A52" s="82"/>
      <c r="B52" s="82"/>
      <c r="C52" s="82"/>
      <c r="D52" s="82"/>
      <c r="E52" s="82"/>
      <c r="F52" s="82"/>
      <c r="G52" s="82"/>
      <c r="H52" s="82"/>
      <c r="I52" s="82"/>
      <c r="J52" s="82"/>
      <c r="K52" s="82"/>
      <c r="L52" s="82"/>
      <c r="M52" s="82"/>
      <c r="N52" s="82"/>
    </row>
    <row r="53" spans="1:14" customFormat="1" x14ac:dyDescent="0.25">
      <c r="A53" s="82"/>
      <c r="B53" s="82"/>
      <c r="C53" s="82"/>
      <c r="D53" s="82"/>
      <c r="E53" s="82"/>
      <c r="F53" s="82"/>
      <c r="G53" s="82"/>
      <c r="H53" s="82"/>
      <c r="I53" s="82"/>
      <c r="J53" s="82"/>
      <c r="K53" s="82"/>
      <c r="L53" s="82"/>
      <c r="M53" s="82"/>
      <c r="N53" s="82"/>
    </row>
    <row r="54" spans="1:14" customFormat="1" x14ac:dyDescent="0.25">
      <c r="A54" s="82"/>
      <c r="B54" s="82"/>
      <c r="C54" s="82"/>
      <c r="D54" s="82"/>
      <c r="E54" s="82"/>
      <c r="F54" s="82"/>
      <c r="G54" s="82"/>
      <c r="H54" s="82"/>
      <c r="I54" s="82"/>
      <c r="J54" s="82"/>
      <c r="K54" s="82"/>
      <c r="L54" s="82"/>
      <c r="M54" s="82"/>
      <c r="N54" s="82"/>
    </row>
    <row r="55" spans="1:14" customFormat="1" x14ac:dyDescent="0.25">
      <c r="A55" s="82"/>
      <c r="B55" s="82"/>
      <c r="C55" s="82"/>
      <c r="D55" s="82"/>
      <c r="E55" s="82"/>
      <c r="F55" s="82"/>
      <c r="G55" s="82"/>
      <c r="H55" s="82"/>
      <c r="I55" s="82"/>
      <c r="J55" s="82"/>
      <c r="K55" s="82"/>
      <c r="L55" s="82"/>
      <c r="M55" s="82"/>
      <c r="N55" s="82"/>
    </row>
    <row r="56" spans="1:14" customFormat="1" x14ac:dyDescent="0.25">
      <c r="A56" s="82"/>
      <c r="B56" s="82"/>
      <c r="C56" s="82"/>
      <c r="D56" s="82"/>
      <c r="E56" s="82"/>
      <c r="F56" s="82"/>
      <c r="G56" s="82"/>
      <c r="H56" s="82"/>
      <c r="I56" s="82"/>
      <c r="J56" s="82"/>
      <c r="K56" s="82"/>
      <c r="L56" s="82"/>
      <c r="M56" s="82"/>
      <c r="N56" s="82"/>
    </row>
    <row r="57" spans="1:14" customFormat="1" x14ac:dyDescent="0.25">
      <c r="A57" s="82"/>
      <c r="B57" s="82"/>
      <c r="C57" s="82"/>
      <c r="D57" s="82"/>
      <c r="E57" s="82"/>
      <c r="F57" s="82"/>
      <c r="G57" s="82"/>
      <c r="H57" s="82"/>
      <c r="I57" s="82"/>
      <c r="J57" s="82"/>
      <c r="K57" s="82"/>
      <c r="L57" s="82"/>
      <c r="M57" s="82"/>
      <c r="N57" s="82"/>
    </row>
    <row r="58" spans="1:14" customFormat="1" x14ac:dyDescent="0.25">
      <c r="A58" s="82"/>
      <c r="B58" s="82"/>
      <c r="C58" s="82"/>
      <c r="D58" s="82"/>
      <c r="E58" s="82"/>
      <c r="F58" s="82"/>
      <c r="G58" s="82"/>
      <c r="H58" s="82"/>
      <c r="I58" s="82"/>
      <c r="J58" s="82"/>
      <c r="K58" s="82"/>
      <c r="L58" s="82"/>
      <c r="M58" s="82"/>
      <c r="N58" s="82"/>
    </row>
    <row r="59" spans="1:14" customFormat="1" x14ac:dyDescent="0.25">
      <c r="A59" s="82"/>
      <c r="B59" s="82"/>
      <c r="C59" s="82"/>
      <c r="D59" s="82"/>
      <c r="E59" s="82"/>
      <c r="F59" s="82"/>
      <c r="G59" s="82"/>
      <c r="H59" s="82"/>
      <c r="I59" s="82"/>
      <c r="J59" s="82"/>
      <c r="K59" s="82"/>
      <c r="L59" s="82"/>
      <c r="M59" s="82"/>
      <c r="N59" s="82"/>
    </row>
    <row r="60" spans="1:14" customFormat="1" x14ac:dyDescent="0.25">
      <c r="A60" s="82"/>
      <c r="B60" s="82"/>
      <c r="C60" s="82"/>
      <c r="D60" s="82"/>
      <c r="E60" s="82"/>
      <c r="F60" s="82"/>
      <c r="G60" s="82"/>
      <c r="H60" s="82"/>
      <c r="I60" s="82"/>
      <c r="J60" s="82"/>
      <c r="K60" s="82"/>
      <c r="L60" s="82"/>
      <c r="M60" s="82"/>
      <c r="N60" s="82"/>
    </row>
    <row r="61" spans="1:14" customFormat="1" x14ac:dyDescent="0.25">
      <c r="A61" s="82"/>
      <c r="B61" s="82"/>
      <c r="C61" s="82"/>
      <c r="D61" s="82"/>
      <c r="E61" s="82"/>
      <c r="F61" s="82"/>
      <c r="G61" s="82"/>
      <c r="H61" s="82"/>
      <c r="I61" s="82"/>
      <c r="J61" s="82"/>
      <c r="K61" s="82"/>
      <c r="L61" s="82"/>
      <c r="M61" s="82"/>
      <c r="N61" s="82"/>
    </row>
    <row r="62" spans="1:14" customFormat="1" x14ac:dyDescent="0.25">
      <c r="A62" s="82"/>
      <c r="B62" s="82"/>
      <c r="C62" s="82"/>
      <c r="D62" s="82"/>
      <c r="E62" s="82"/>
      <c r="F62" s="82"/>
      <c r="G62" s="82"/>
      <c r="H62" s="82"/>
      <c r="I62" s="82"/>
      <c r="J62" s="82"/>
      <c r="K62" s="82"/>
      <c r="L62" s="82"/>
      <c r="M62" s="82"/>
      <c r="N62" s="82"/>
    </row>
    <row r="63" spans="1:14" customFormat="1" x14ac:dyDescent="0.25">
      <c r="A63" s="82"/>
      <c r="B63" s="82"/>
      <c r="C63" s="82"/>
      <c r="D63" s="82"/>
      <c r="E63" s="82"/>
      <c r="F63" s="82"/>
      <c r="G63" s="82"/>
      <c r="H63" s="82"/>
      <c r="I63" s="82"/>
      <c r="J63" s="82"/>
      <c r="K63" s="82"/>
      <c r="L63" s="82"/>
      <c r="M63" s="82"/>
      <c r="N63" s="82"/>
    </row>
    <row r="64" spans="1:14" customFormat="1" x14ac:dyDescent="0.25">
      <c r="A64" s="82"/>
      <c r="B64" s="82"/>
      <c r="C64" s="82"/>
      <c r="D64" s="82"/>
      <c r="E64" s="82"/>
      <c r="F64" s="82"/>
      <c r="G64" s="82"/>
      <c r="H64" s="82"/>
      <c r="I64" s="82"/>
      <c r="J64" s="82"/>
      <c r="K64" s="82"/>
      <c r="L64" s="82"/>
      <c r="M64" s="82"/>
      <c r="N64" s="82"/>
    </row>
    <row r="65" spans="1:14" customFormat="1" x14ac:dyDescent="0.25">
      <c r="A65" s="82"/>
      <c r="B65" s="82"/>
      <c r="C65" s="82"/>
      <c r="D65" s="82"/>
      <c r="E65" s="82"/>
      <c r="F65" s="82"/>
      <c r="G65" s="82"/>
      <c r="H65" s="82"/>
      <c r="I65" s="82"/>
      <c r="J65" s="82"/>
      <c r="K65" s="82"/>
      <c r="L65" s="82"/>
      <c r="M65" s="82"/>
      <c r="N65" s="82"/>
    </row>
    <row r="66" spans="1:14" customFormat="1" x14ac:dyDescent="0.25">
      <c r="A66" s="82"/>
      <c r="B66" s="82"/>
      <c r="C66" s="82"/>
      <c r="D66" s="82"/>
      <c r="E66" s="82"/>
      <c r="F66" s="82"/>
      <c r="G66" s="82"/>
      <c r="H66" s="82"/>
      <c r="I66" s="82"/>
      <c r="J66" s="82"/>
      <c r="K66" s="82"/>
      <c r="L66" s="82"/>
      <c r="M66" s="82"/>
      <c r="N66" s="82"/>
    </row>
    <row r="67" spans="1:14" customFormat="1" x14ac:dyDescent="0.25">
      <c r="A67" s="82"/>
      <c r="B67" s="82"/>
      <c r="C67" s="82"/>
      <c r="D67" s="82"/>
      <c r="E67" s="82"/>
      <c r="F67" s="82"/>
      <c r="G67" s="82"/>
      <c r="H67" s="82"/>
      <c r="I67" s="82"/>
      <c r="J67" s="82"/>
      <c r="K67" s="82"/>
      <c r="L67" s="82"/>
      <c r="M67" s="82"/>
      <c r="N67" s="82"/>
    </row>
    <row r="68" spans="1:14" customFormat="1" x14ac:dyDescent="0.25">
      <c r="A68" s="82"/>
      <c r="B68" s="82"/>
      <c r="C68" s="82"/>
      <c r="D68" s="82"/>
      <c r="E68" s="82"/>
      <c r="F68" s="82"/>
      <c r="G68" s="82"/>
      <c r="H68" s="82"/>
      <c r="I68" s="82"/>
      <c r="J68" s="82"/>
      <c r="K68" s="82"/>
      <c r="L68" s="82"/>
      <c r="M68" s="82"/>
      <c r="N68" s="82"/>
    </row>
    <row r="69" spans="1:14" customFormat="1" x14ac:dyDescent="0.25">
      <c r="A69" s="82"/>
      <c r="B69" s="82"/>
      <c r="C69" s="82"/>
      <c r="D69" s="82"/>
      <c r="E69" s="82"/>
      <c r="F69" s="82"/>
      <c r="G69" s="82"/>
      <c r="H69" s="82"/>
      <c r="I69" s="82"/>
      <c r="J69" s="82"/>
      <c r="K69" s="82"/>
      <c r="L69" s="82"/>
      <c r="M69" s="82"/>
      <c r="N69" s="82"/>
    </row>
    <row r="70" spans="1:14" customFormat="1" x14ac:dyDescent="0.25">
      <c r="A70" s="82"/>
      <c r="B70" s="82"/>
      <c r="C70" s="82"/>
      <c r="D70" s="82"/>
      <c r="E70" s="82"/>
      <c r="F70" s="82"/>
      <c r="G70" s="82"/>
      <c r="H70" s="82"/>
      <c r="I70" s="82"/>
      <c r="J70" s="82"/>
      <c r="K70" s="82"/>
      <c r="L70" s="82"/>
      <c r="M70" s="82"/>
      <c r="N70" s="82"/>
    </row>
    <row r="71" spans="1:14" customFormat="1" x14ac:dyDescent="0.25">
      <c r="A71" s="82"/>
      <c r="B71" s="82"/>
      <c r="C71" s="82"/>
      <c r="D71" s="82"/>
      <c r="E71" s="82"/>
      <c r="F71" s="82"/>
      <c r="G71" s="82"/>
      <c r="H71" s="82"/>
      <c r="I71" s="82"/>
      <c r="J71" s="82"/>
      <c r="K71" s="82"/>
      <c r="L71" s="82"/>
      <c r="M71" s="82"/>
      <c r="N71" s="82"/>
    </row>
    <row r="72" spans="1:14" customFormat="1" x14ac:dyDescent="0.25">
      <c r="A72" s="82"/>
      <c r="B72" s="82"/>
      <c r="C72" s="82"/>
      <c r="D72" s="82"/>
      <c r="E72" s="82"/>
      <c r="F72" s="82"/>
      <c r="G72" s="82"/>
      <c r="H72" s="82"/>
      <c r="I72" s="82"/>
      <c r="J72" s="82"/>
      <c r="K72" s="82"/>
      <c r="L72" s="82"/>
      <c r="M72" s="82"/>
      <c r="N72" s="82"/>
    </row>
    <row r="73" spans="1:14" customFormat="1" x14ac:dyDescent="0.25">
      <c r="A73" s="82"/>
      <c r="B73" s="82"/>
      <c r="C73" s="82"/>
      <c r="D73" s="82"/>
      <c r="E73" s="82"/>
      <c r="F73" s="82"/>
      <c r="G73" s="82"/>
      <c r="H73" s="82"/>
      <c r="I73" s="82"/>
      <c r="J73" s="82"/>
      <c r="K73" s="82"/>
      <c r="L73" s="82"/>
      <c r="M73" s="82"/>
      <c r="N73" s="82"/>
    </row>
    <row r="74" spans="1:14" customFormat="1" x14ac:dyDescent="0.25">
      <c r="A74" s="82"/>
      <c r="B74" s="82"/>
      <c r="C74" s="82"/>
      <c r="D74" s="82"/>
      <c r="E74" s="82"/>
      <c r="F74" s="82"/>
      <c r="G74" s="82"/>
      <c r="H74" s="82"/>
      <c r="I74" s="82"/>
      <c r="J74" s="82"/>
      <c r="K74" s="82"/>
      <c r="L74" s="82"/>
      <c r="M74" s="82"/>
      <c r="N74" s="82"/>
    </row>
    <row r="75" spans="1:14" customFormat="1" x14ac:dyDescent="0.25">
      <c r="A75" s="82"/>
      <c r="B75" s="82"/>
      <c r="C75" s="82"/>
      <c r="D75" s="82"/>
      <c r="E75" s="82"/>
      <c r="F75" s="82"/>
      <c r="G75" s="82"/>
      <c r="H75" s="82"/>
      <c r="I75" s="82"/>
      <c r="J75" s="82"/>
      <c r="K75" s="82"/>
      <c r="L75" s="82"/>
      <c r="M75" s="82"/>
      <c r="N75" s="82"/>
    </row>
    <row r="76" spans="1:14" customFormat="1" x14ac:dyDescent="0.25">
      <c r="A76" s="82"/>
      <c r="B76" s="82"/>
      <c r="C76" s="82"/>
      <c r="D76" s="82"/>
      <c r="E76" s="82"/>
      <c r="F76" s="82"/>
      <c r="G76" s="82"/>
      <c r="H76" s="82"/>
      <c r="I76" s="82"/>
      <c r="J76" s="82"/>
      <c r="K76" s="82"/>
      <c r="L76" s="82"/>
      <c r="M76" s="82"/>
      <c r="N76" s="82"/>
    </row>
    <row r="77" spans="1:14" customFormat="1" x14ac:dyDescent="0.25">
      <c r="A77" s="82"/>
      <c r="B77" s="82"/>
      <c r="C77" s="82"/>
      <c r="D77" s="82"/>
      <c r="E77" s="82"/>
      <c r="F77" s="82"/>
      <c r="G77" s="82"/>
      <c r="H77" s="82"/>
      <c r="I77" s="82"/>
      <c r="J77" s="82"/>
      <c r="K77" s="82"/>
      <c r="L77" s="82"/>
      <c r="M77" s="82"/>
      <c r="N77" s="82"/>
    </row>
    <row r="78" spans="1:14" customFormat="1" x14ac:dyDescent="0.25">
      <c r="A78" s="82"/>
      <c r="B78" s="82"/>
      <c r="C78" s="82"/>
      <c r="D78" s="82"/>
      <c r="E78" s="82"/>
      <c r="F78" s="82"/>
      <c r="G78" s="82"/>
      <c r="H78" s="82"/>
      <c r="I78" s="82"/>
      <c r="J78" s="82"/>
      <c r="K78" s="82"/>
      <c r="L78" s="82"/>
      <c r="M78" s="82"/>
      <c r="N78" s="82"/>
    </row>
    <row r="79" spans="1:14" customFormat="1" x14ac:dyDescent="0.25">
      <c r="A79" s="82"/>
      <c r="B79" s="82"/>
      <c r="C79" s="82"/>
      <c r="D79" s="82"/>
      <c r="E79" s="82"/>
      <c r="F79" s="82"/>
      <c r="G79" s="82"/>
      <c r="H79" s="82"/>
      <c r="I79" s="82"/>
      <c r="J79" s="82"/>
      <c r="K79" s="82"/>
      <c r="L79" s="82"/>
      <c r="M79" s="82"/>
      <c r="N79" s="82"/>
    </row>
    <row r="80" spans="1:14" customFormat="1" x14ac:dyDescent="0.25">
      <c r="A80" s="82"/>
      <c r="B80" s="82"/>
      <c r="C80" s="82"/>
      <c r="D80" s="82"/>
      <c r="E80" s="82"/>
      <c r="F80" s="82"/>
      <c r="G80" s="82"/>
      <c r="H80" s="82"/>
      <c r="I80" s="82"/>
      <c r="J80" s="82"/>
      <c r="K80" s="82"/>
      <c r="L80" s="82"/>
      <c r="M80" s="82"/>
      <c r="N80" s="82"/>
    </row>
    <row r="81" spans="1:14" customFormat="1" x14ac:dyDescent="0.25">
      <c r="A81" s="82"/>
      <c r="B81" s="82"/>
      <c r="C81" s="82"/>
      <c r="D81" s="82"/>
      <c r="E81" s="82"/>
      <c r="F81" s="82"/>
      <c r="G81" s="82"/>
      <c r="H81" s="82"/>
      <c r="I81" s="82"/>
      <c r="J81" s="82"/>
      <c r="K81" s="82"/>
      <c r="L81" s="82"/>
      <c r="M81" s="82"/>
      <c r="N81" s="82"/>
    </row>
    <row r="82" spans="1:14" customFormat="1" x14ac:dyDescent="0.25">
      <c r="A82" s="82"/>
      <c r="B82" s="82"/>
      <c r="C82" s="82"/>
      <c r="D82" s="82"/>
      <c r="E82" s="82"/>
      <c r="F82" s="82"/>
      <c r="G82" s="82"/>
      <c r="H82" s="82"/>
      <c r="I82" s="82"/>
      <c r="J82" s="82"/>
      <c r="K82" s="82"/>
      <c r="L82" s="82"/>
      <c r="M82" s="82"/>
      <c r="N82" s="82"/>
    </row>
    <row r="83" spans="1:14" customFormat="1" x14ac:dyDescent="0.25">
      <c r="A83" s="82"/>
      <c r="B83" s="82"/>
      <c r="C83" s="82"/>
      <c r="D83" s="82"/>
      <c r="E83" s="82"/>
      <c r="F83" s="82"/>
      <c r="G83" s="82"/>
      <c r="H83" s="82"/>
      <c r="I83" s="82"/>
      <c r="J83" s="82"/>
      <c r="K83" s="82"/>
      <c r="L83" s="82"/>
      <c r="M83" s="82"/>
      <c r="N83" s="82"/>
    </row>
    <row r="84" spans="1:14" customFormat="1" x14ac:dyDescent="0.25">
      <c r="A84" s="82"/>
      <c r="B84" s="82"/>
      <c r="C84" s="82"/>
      <c r="D84" s="82"/>
      <c r="E84" s="82"/>
      <c r="F84" s="82"/>
      <c r="G84" s="82"/>
      <c r="H84" s="82"/>
      <c r="I84" s="82"/>
      <c r="J84" s="82"/>
      <c r="K84" s="82"/>
      <c r="L84" s="82"/>
      <c r="M84" s="82"/>
      <c r="N84" s="82"/>
    </row>
    <row r="85" spans="1:14" customFormat="1" x14ac:dyDescent="0.25">
      <c r="A85" s="82"/>
      <c r="B85" s="82"/>
      <c r="C85" s="82"/>
      <c r="D85" s="82"/>
      <c r="E85" s="82"/>
      <c r="F85" s="82"/>
      <c r="G85" s="82"/>
      <c r="H85" s="82"/>
      <c r="I85" s="82"/>
      <c r="J85" s="82"/>
      <c r="K85" s="82"/>
      <c r="L85" s="82"/>
      <c r="M85" s="82"/>
      <c r="N85" s="82"/>
    </row>
    <row r="86" spans="1:14" customFormat="1" x14ac:dyDescent="0.25">
      <c r="A86" s="82"/>
      <c r="B86" s="82"/>
      <c r="C86" s="82"/>
      <c r="D86" s="82"/>
      <c r="E86" s="82"/>
      <c r="F86" s="82"/>
      <c r="G86" s="82"/>
      <c r="H86" s="82"/>
      <c r="I86" s="82"/>
      <c r="J86" s="82"/>
      <c r="K86" s="82"/>
      <c r="L86" s="82"/>
      <c r="M86" s="82"/>
      <c r="N86" s="82"/>
    </row>
    <row r="87" spans="1:14" customFormat="1" x14ac:dyDescent="0.25">
      <c r="A87" s="82"/>
      <c r="B87" s="82"/>
      <c r="C87" s="82"/>
      <c r="D87" s="82"/>
      <c r="E87" s="82"/>
      <c r="F87" s="82"/>
      <c r="G87" s="82"/>
      <c r="H87" s="82"/>
      <c r="I87" s="82"/>
      <c r="J87" s="82"/>
      <c r="K87" s="82"/>
      <c r="L87" s="82"/>
      <c r="M87" s="82"/>
      <c r="N87" s="82"/>
    </row>
    <row r="88" spans="1:14" customFormat="1" x14ac:dyDescent="0.25">
      <c r="A88" s="82"/>
      <c r="B88" s="82"/>
      <c r="C88" s="82"/>
      <c r="D88" s="82"/>
      <c r="E88" s="82"/>
      <c r="F88" s="82"/>
      <c r="G88" s="82"/>
      <c r="H88" s="82"/>
      <c r="I88" s="82"/>
      <c r="J88" s="82"/>
      <c r="K88" s="82"/>
      <c r="L88" s="82"/>
      <c r="M88" s="82"/>
      <c r="N88" s="82"/>
    </row>
    <row r="89" spans="1:14" customFormat="1" x14ac:dyDescent="0.25">
      <c r="A89" s="82"/>
      <c r="B89" s="82"/>
      <c r="C89" s="82"/>
      <c r="D89" s="82"/>
      <c r="E89" s="82"/>
      <c r="F89" s="82"/>
      <c r="G89" s="82"/>
      <c r="H89" s="82"/>
      <c r="I89" s="82"/>
      <c r="J89" s="82"/>
      <c r="K89" s="82"/>
      <c r="L89" s="82"/>
      <c r="M89" s="82"/>
      <c r="N89" s="82"/>
    </row>
    <row r="90" spans="1:14" customFormat="1" x14ac:dyDescent="0.25">
      <c r="A90" s="82"/>
      <c r="B90" s="82"/>
      <c r="C90" s="82"/>
      <c r="D90" s="82"/>
      <c r="E90" s="82"/>
      <c r="F90" s="82"/>
      <c r="G90" s="82"/>
      <c r="H90" s="82"/>
      <c r="I90" s="82"/>
      <c r="J90" s="82"/>
      <c r="K90" s="82"/>
      <c r="L90" s="82"/>
      <c r="M90" s="82"/>
      <c r="N90" s="82"/>
    </row>
    <row r="91" spans="1:14" customFormat="1" x14ac:dyDescent="0.25">
      <c r="A91" s="82"/>
      <c r="B91" s="82"/>
      <c r="C91" s="82"/>
      <c r="D91" s="82"/>
      <c r="E91" s="82"/>
      <c r="F91" s="82"/>
      <c r="G91" s="82"/>
      <c r="H91" s="82"/>
      <c r="I91" s="82"/>
      <c r="J91" s="82"/>
      <c r="K91" s="82"/>
      <c r="L91" s="82"/>
      <c r="M91" s="82"/>
      <c r="N91" s="82"/>
    </row>
    <row r="92" spans="1:14" customFormat="1" x14ac:dyDescent="0.25">
      <c r="A92" s="82"/>
      <c r="B92" s="82"/>
      <c r="C92" s="82"/>
      <c r="D92" s="82"/>
      <c r="E92" s="82"/>
      <c r="F92" s="82"/>
      <c r="G92" s="82"/>
      <c r="H92" s="82"/>
      <c r="I92" s="82"/>
      <c r="J92" s="82"/>
      <c r="K92" s="82"/>
      <c r="L92" s="82"/>
      <c r="M92" s="82"/>
      <c r="N92" s="82"/>
    </row>
    <row r="93" spans="1:14" customFormat="1" x14ac:dyDescent="0.25">
      <c r="A93" s="82"/>
      <c r="B93" s="82"/>
      <c r="C93" s="82"/>
      <c r="D93" s="82"/>
      <c r="E93" s="82"/>
      <c r="F93" s="82"/>
      <c r="G93" s="82"/>
      <c r="H93" s="82"/>
      <c r="I93" s="82"/>
      <c r="J93" s="82"/>
      <c r="K93" s="82"/>
      <c r="L93" s="82"/>
      <c r="M93" s="82"/>
      <c r="N93" s="82"/>
    </row>
    <row r="94" spans="1:14" customFormat="1" x14ac:dyDescent="0.25">
      <c r="A94" s="82"/>
      <c r="B94" s="82"/>
      <c r="C94" s="82"/>
      <c r="D94" s="82"/>
      <c r="E94" s="82"/>
      <c r="F94" s="82"/>
      <c r="G94" s="82"/>
      <c r="H94" s="82"/>
      <c r="I94" s="82"/>
      <c r="J94" s="82"/>
      <c r="K94" s="82"/>
      <c r="L94" s="82"/>
      <c r="M94" s="82"/>
      <c r="N94" s="82"/>
    </row>
    <row r="95" spans="1:14" customFormat="1" x14ac:dyDescent="0.25">
      <c r="A95" s="82"/>
      <c r="B95" s="82"/>
      <c r="C95" s="82"/>
      <c r="D95" s="82"/>
      <c r="E95" s="82"/>
      <c r="F95" s="82"/>
      <c r="G95" s="82"/>
      <c r="H95" s="82"/>
      <c r="I95" s="82"/>
      <c r="J95" s="82"/>
      <c r="K95" s="82"/>
      <c r="L95" s="82"/>
      <c r="M95" s="82"/>
      <c r="N95" s="82"/>
    </row>
    <row r="96" spans="1:14" customFormat="1" x14ac:dyDescent="0.25">
      <c r="A96" s="82"/>
      <c r="B96" s="82"/>
      <c r="C96" s="82"/>
      <c r="D96" s="82"/>
      <c r="E96" s="82"/>
      <c r="F96" s="82"/>
      <c r="G96" s="82"/>
      <c r="H96" s="82"/>
      <c r="I96" s="82"/>
      <c r="J96" s="82"/>
      <c r="K96" s="82"/>
      <c r="L96" s="82"/>
      <c r="M96" s="82"/>
      <c r="N96" s="82"/>
    </row>
    <row r="97" spans="1:14" customFormat="1" x14ac:dyDescent="0.25">
      <c r="A97" s="82"/>
      <c r="B97" s="82"/>
      <c r="C97" s="82"/>
      <c r="D97" s="82"/>
      <c r="E97" s="82"/>
      <c r="F97" s="82"/>
      <c r="G97" s="82"/>
      <c r="H97" s="82"/>
      <c r="I97" s="82"/>
      <c r="J97" s="82"/>
      <c r="K97" s="82"/>
      <c r="L97" s="82"/>
      <c r="M97" s="82"/>
      <c r="N97" s="82"/>
    </row>
    <row r="98" spans="1:14" customFormat="1" x14ac:dyDescent="0.25">
      <c r="A98" s="82"/>
      <c r="B98" s="82"/>
      <c r="C98" s="82"/>
      <c r="D98" s="82"/>
      <c r="E98" s="82"/>
      <c r="F98" s="82"/>
      <c r="G98" s="82"/>
      <c r="H98" s="82"/>
      <c r="I98" s="82"/>
      <c r="J98" s="82"/>
      <c r="K98" s="82"/>
      <c r="L98" s="82"/>
      <c r="M98" s="82"/>
      <c r="N98" s="82"/>
    </row>
    <row r="99" spans="1:14" customFormat="1" x14ac:dyDescent="0.25">
      <c r="A99" s="82"/>
      <c r="B99" s="82"/>
      <c r="C99" s="82"/>
      <c r="D99" s="82"/>
      <c r="E99" s="82"/>
      <c r="F99" s="82"/>
      <c r="G99" s="82"/>
      <c r="H99" s="82"/>
      <c r="I99" s="82"/>
      <c r="J99" s="82"/>
      <c r="K99" s="82"/>
      <c r="L99" s="82"/>
      <c r="M99" s="82"/>
      <c r="N99" s="82"/>
    </row>
    <row r="100" spans="1:14" customFormat="1" x14ac:dyDescent="0.25">
      <c r="A100" s="82"/>
      <c r="B100" s="82"/>
      <c r="C100" s="82"/>
      <c r="D100" s="82"/>
      <c r="E100" s="82"/>
      <c r="F100" s="82"/>
      <c r="G100" s="82"/>
      <c r="H100" s="82"/>
      <c r="I100" s="82"/>
      <c r="J100" s="82"/>
      <c r="K100" s="82"/>
      <c r="L100" s="82"/>
      <c r="M100" s="82"/>
      <c r="N100" s="82"/>
    </row>
    <row r="101" spans="1:14" customFormat="1" x14ac:dyDescent="0.25">
      <c r="A101" s="82"/>
      <c r="B101" s="82"/>
      <c r="C101" s="82"/>
      <c r="D101" s="82"/>
      <c r="E101" s="82"/>
      <c r="F101" s="82"/>
      <c r="G101" s="82"/>
      <c r="H101" s="82"/>
      <c r="I101" s="82"/>
      <c r="J101" s="82"/>
      <c r="K101" s="82"/>
      <c r="L101" s="82"/>
      <c r="M101" s="82"/>
      <c r="N101" s="82"/>
    </row>
    <row r="102" spans="1:14" customFormat="1" x14ac:dyDescent="0.25">
      <c r="A102" s="82"/>
      <c r="B102" s="82"/>
      <c r="C102" s="82"/>
      <c r="D102" s="82"/>
      <c r="E102" s="82"/>
      <c r="F102" s="82"/>
      <c r="G102" s="82"/>
      <c r="H102" s="82"/>
      <c r="I102" s="82"/>
      <c r="J102" s="82"/>
      <c r="K102" s="82"/>
      <c r="L102" s="82"/>
      <c r="M102" s="82"/>
      <c r="N102" s="82"/>
    </row>
    <row r="103" spans="1:14" customFormat="1" x14ac:dyDescent="0.25">
      <c r="A103" s="82"/>
      <c r="B103" s="82"/>
      <c r="C103" s="82"/>
      <c r="D103" s="82"/>
      <c r="E103" s="82"/>
      <c r="F103" s="82"/>
      <c r="G103" s="82"/>
      <c r="H103" s="82"/>
      <c r="I103" s="82"/>
      <c r="J103" s="82"/>
      <c r="K103" s="82"/>
      <c r="L103" s="82"/>
      <c r="M103" s="82"/>
      <c r="N103" s="82"/>
    </row>
    <row r="104" spans="1:14" customFormat="1" x14ac:dyDescent="0.25">
      <c r="A104" s="82"/>
      <c r="B104" s="82"/>
      <c r="C104" s="82"/>
      <c r="D104" s="82"/>
      <c r="E104" s="82"/>
      <c r="F104" s="82"/>
      <c r="G104" s="82"/>
      <c r="H104" s="82"/>
      <c r="I104" s="82"/>
      <c r="J104" s="82"/>
      <c r="K104" s="82"/>
      <c r="L104" s="82"/>
      <c r="M104" s="82"/>
      <c r="N104" s="82"/>
    </row>
    <row r="105" spans="1:14" customFormat="1" x14ac:dyDescent="0.25">
      <c r="A105" s="82"/>
      <c r="B105" s="82"/>
      <c r="C105" s="82"/>
      <c r="D105" s="82"/>
      <c r="E105" s="82"/>
      <c r="F105" s="82"/>
      <c r="G105" s="82"/>
      <c r="H105" s="82"/>
      <c r="I105" s="82"/>
      <c r="J105" s="82"/>
      <c r="K105" s="82"/>
      <c r="L105" s="82"/>
      <c r="M105" s="82"/>
      <c r="N105" s="82"/>
    </row>
    <row r="106" spans="1:14" customFormat="1" x14ac:dyDescent="0.25">
      <c r="A106" s="82"/>
      <c r="B106" s="82"/>
      <c r="C106" s="82"/>
      <c r="D106" s="82"/>
      <c r="E106" s="82"/>
      <c r="F106" s="82"/>
      <c r="G106" s="82"/>
      <c r="H106" s="82"/>
      <c r="I106" s="82"/>
      <c r="J106" s="82"/>
      <c r="K106" s="82"/>
      <c r="L106" s="82"/>
      <c r="M106" s="82"/>
      <c r="N106" s="82"/>
    </row>
    <row r="107" spans="1:14" customFormat="1" x14ac:dyDescent="0.25">
      <c r="A107" s="82"/>
      <c r="B107" s="82"/>
      <c r="C107" s="82"/>
      <c r="D107" s="82"/>
      <c r="E107" s="82"/>
      <c r="F107" s="82"/>
      <c r="G107" s="82"/>
      <c r="H107" s="82"/>
      <c r="I107" s="82"/>
      <c r="J107" s="82"/>
      <c r="K107" s="82"/>
      <c r="L107" s="82"/>
      <c r="M107" s="82"/>
      <c r="N107" s="82"/>
    </row>
    <row r="108" spans="1:14" customFormat="1" x14ac:dyDescent="0.25">
      <c r="A108" s="82"/>
      <c r="B108" s="82"/>
      <c r="C108" s="82"/>
      <c r="D108" s="82"/>
      <c r="E108" s="82"/>
      <c r="F108" s="82"/>
      <c r="G108" s="82"/>
      <c r="H108" s="82"/>
      <c r="I108" s="82"/>
      <c r="J108" s="82"/>
      <c r="K108" s="82"/>
      <c r="L108" s="82"/>
      <c r="M108" s="82"/>
      <c r="N108" s="82"/>
    </row>
    <row r="109" spans="1:14" customFormat="1" x14ac:dyDescent="0.25">
      <c r="A109" s="82"/>
      <c r="B109" s="82"/>
      <c r="C109" s="82"/>
      <c r="D109" s="82"/>
      <c r="E109" s="82"/>
      <c r="F109" s="82"/>
      <c r="G109" s="82"/>
      <c r="H109" s="82"/>
      <c r="I109" s="82"/>
      <c r="J109" s="82"/>
      <c r="K109" s="82"/>
      <c r="L109" s="82"/>
      <c r="M109" s="82"/>
      <c r="N109" s="82"/>
    </row>
    <row r="110" spans="1:14" customFormat="1" x14ac:dyDescent="0.25">
      <c r="A110" s="82"/>
      <c r="B110" s="82"/>
      <c r="C110" s="82"/>
      <c r="D110" s="82"/>
      <c r="E110" s="82"/>
      <c r="F110" s="82"/>
      <c r="G110" s="82"/>
      <c r="H110" s="82"/>
      <c r="I110" s="82"/>
      <c r="J110" s="82"/>
      <c r="K110" s="82"/>
      <c r="L110" s="82"/>
      <c r="M110" s="82"/>
      <c r="N110" s="82"/>
    </row>
    <row r="111" spans="1:14" customFormat="1" x14ac:dyDescent="0.25">
      <c r="A111" s="82"/>
      <c r="B111" s="82"/>
      <c r="C111" s="82"/>
      <c r="D111" s="82"/>
      <c r="E111" s="82"/>
      <c r="F111" s="82"/>
      <c r="G111" s="82"/>
      <c r="H111" s="82"/>
      <c r="I111" s="82"/>
      <c r="J111" s="82"/>
      <c r="K111" s="82"/>
      <c r="L111" s="82"/>
      <c r="M111" s="82"/>
      <c r="N111" s="82"/>
    </row>
    <row r="112" spans="1:14" customFormat="1" x14ac:dyDescent="0.25">
      <c r="A112" s="82"/>
      <c r="B112" s="82"/>
      <c r="C112" s="82"/>
      <c r="D112" s="82"/>
      <c r="E112" s="82"/>
      <c r="F112" s="82"/>
      <c r="G112" s="82"/>
      <c r="H112" s="82"/>
      <c r="I112" s="82"/>
      <c r="J112" s="82"/>
      <c r="K112" s="82"/>
      <c r="L112" s="82"/>
      <c r="M112" s="82"/>
      <c r="N112" s="82"/>
    </row>
    <row r="113" spans="1:14" customFormat="1" x14ac:dyDescent="0.25">
      <c r="A113" s="82"/>
      <c r="B113" s="82"/>
      <c r="C113" s="82"/>
      <c r="D113" s="82"/>
      <c r="E113" s="82"/>
      <c r="F113" s="82"/>
      <c r="G113" s="82"/>
      <c r="H113" s="82"/>
      <c r="I113" s="82"/>
      <c r="J113" s="82"/>
      <c r="K113" s="82"/>
      <c r="L113" s="82"/>
      <c r="M113" s="82"/>
      <c r="N113" s="82"/>
    </row>
    <row r="114" spans="1:14" customFormat="1" x14ac:dyDescent="0.25">
      <c r="A114" s="82"/>
      <c r="B114" s="82"/>
      <c r="C114" s="82"/>
      <c r="D114" s="82"/>
      <c r="E114" s="82"/>
      <c r="F114" s="82"/>
      <c r="G114" s="82"/>
      <c r="H114" s="82"/>
      <c r="I114" s="82"/>
      <c r="J114" s="82"/>
      <c r="K114" s="82"/>
      <c r="L114" s="82"/>
      <c r="M114" s="82"/>
      <c r="N114" s="82"/>
    </row>
    <row r="115" spans="1:14" customFormat="1" x14ac:dyDescent="0.25">
      <c r="A115" s="82"/>
      <c r="B115" s="82"/>
      <c r="C115" s="82"/>
      <c r="D115" s="82"/>
      <c r="E115" s="82"/>
      <c r="F115" s="82"/>
      <c r="G115" s="82"/>
      <c r="H115" s="82"/>
      <c r="I115" s="82"/>
      <c r="J115" s="82"/>
      <c r="K115" s="82"/>
      <c r="L115" s="82"/>
      <c r="M115" s="82"/>
      <c r="N115" s="82"/>
    </row>
    <row r="116" spans="1:14" customFormat="1" x14ac:dyDescent="0.25">
      <c r="A116" s="82"/>
      <c r="B116" s="82"/>
      <c r="C116" s="82"/>
      <c r="D116" s="82"/>
      <c r="E116" s="82"/>
      <c r="F116" s="82"/>
      <c r="G116" s="82"/>
      <c r="H116" s="82"/>
      <c r="I116" s="82"/>
      <c r="J116" s="82"/>
      <c r="K116" s="82"/>
      <c r="L116" s="82"/>
      <c r="M116" s="82"/>
      <c r="N116" s="82"/>
    </row>
    <row r="117" spans="1:14" customFormat="1" x14ac:dyDescent="0.25">
      <c r="A117" s="82"/>
      <c r="B117" s="82"/>
      <c r="C117" s="82"/>
      <c r="D117" s="82"/>
      <c r="E117" s="82"/>
      <c r="F117" s="82"/>
      <c r="G117" s="82"/>
      <c r="H117" s="82"/>
      <c r="I117" s="82"/>
      <c r="J117" s="82"/>
      <c r="K117" s="82"/>
      <c r="L117" s="82"/>
      <c r="M117" s="82"/>
      <c r="N117" s="82"/>
    </row>
    <row r="118" spans="1:14" customFormat="1" x14ac:dyDescent="0.25">
      <c r="A118" s="82"/>
      <c r="B118" s="82"/>
      <c r="C118" s="82"/>
      <c r="D118" s="82"/>
      <c r="E118" s="82"/>
      <c r="F118" s="82"/>
      <c r="G118" s="82"/>
      <c r="H118" s="82"/>
      <c r="I118" s="82"/>
      <c r="J118" s="82"/>
      <c r="K118" s="82"/>
      <c r="L118" s="82"/>
      <c r="M118" s="82"/>
      <c r="N118" s="82"/>
    </row>
    <row r="119" spans="1:14" customFormat="1" x14ac:dyDescent="0.25">
      <c r="A119" s="82"/>
      <c r="B119" s="82"/>
      <c r="C119" s="82"/>
      <c r="D119" s="82"/>
      <c r="E119" s="82"/>
      <c r="F119" s="82"/>
      <c r="G119" s="82"/>
      <c r="H119" s="82"/>
      <c r="I119" s="82"/>
      <c r="J119" s="82"/>
      <c r="K119" s="82"/>
      <c r="L119" s="82"/>
      <c r="M119" s="82"/>
      <c r="N119" s="82"/>
    </row>
    <row r="120" spans="1:14" customFormat="1" x14ac:dyDescent="0.25">
      <c r="A120" s="82"/>
      <c r="B120" s="82"/>
      <c r="C120" s="82"/>
      <c r="D120" s="82"/>
      <c r="E120" s="82"/>
      <c r="F120" s="82"/>
      <c r="G120" s="82"/>
      <c r="H120" s="82"/>
      <c r="I120" s="82"/>
      <c r="J120" s="82"/>
      <c r="K120" s="82"/>
      <c r="L120" s="82"/>
      <c r="M120" s="82"/>
      <c r="N120" s="82"/>
    </row>
    <row r="121" spans="1:14" customFormat="1" x14ac:dyDescent="0.25">
      <c r="A121" s="82"/>
      <c r="B121" s="82"/>
      <c r="C121" s="82"/>
      <c r="D121" s="82"/>
      <c r="E121" s="82"/>
      <c r="F121" s="82"/>
      <c r="G121" s="82"/>
      <c r="H121" s="82"/>
      <c r="I121" s="82"/>
      <c r="J121" s="82"/>
      <c r="K121" s="82"/>
      <c r="L121" s="82"/>
      <c r="M121" s="82"/>
      <c r="N121" s="82"/>
    </row>
    <row r="122" spans="1:14" customFormat="1" x14ac:dyDescent="0.25">
      <c r="A122" s="82"/>
      <c r="B122" s="82"/>
      <c r="C122" s="82"/>
      <c r="D122" s="82"/>
      <c r="E122" s="82"/>
      <c r="F122" s="82"/>
      <c r="G122" s="82"/>
      <c r="H122" s="82"/>
      <c r="I122" s="82"/>
      <c r="J122" s="82"/>
      <c r="K122" s="82"/>
      <c r="L122" s="82"/>
      <c r="M122" s="82"/>
      <c r="N122" s="82"/>
    </row>
    <row r="123" spans="1:14" customFormat="1" x14ac:dyDescent="0.25">
      <c r="A123" s="82"/>
      <c r="B123" s="82"/>
      <c r="C123" s="82"/>
      <c r="D123" s="82"/>
      <c r="E123" s="82"/>
      <c r="F123" s="82"/>
      <c r="G123" s="82"/>
      <c r="H123" s="82"/>
      <c r="I123" s="82"/>
      <c r="J123" s="82"/>
      <c r="K123" s="82"/>
      <c r="L123" s="82"/>
      <c r="M123" s="82"/>
      <c r="N123" s="82"/>
    </row>
    <row r="124" spans="1:14" customFormat="1" x14ac:dyDescent="0.25">
      <c r="A124" s="82"/>
      <c r="B124" s="82"/>
      <c r="C124" s="82"/>
      <c r="D124" s="82"/>
      <c r="E124" s="82"/>
      <c r="F124" s="82"/>
      <c r="G124" s="82"/>
      <c r="H124" s="82"/>
      <c r="I124" s="82"/>
      <c r="J124" s="82"/>
      <c r="K124" s="82"/>
      <c r="L124" s="82"/>
      <c r="M124" s="82"/>
      <c r="N124" s="82"/>
    </row>
    <row r="125" spans="1:14" customFormat="1" x14ac:dyDescent="0.25">
      <c r="A125" s="82"/>
      <c r="B125" s="82"/>
      <c r="C125" s="82"/>
      <c r="D125" s="82"/>
      <c r="E125" s="82"/>
      <c r="F125" s="82"/>
      <c r="G125" s="82"/>
      <c r="H125" s="82"/>
      <c r="I125" s="82"/>
      <c r="J125" s="82"/>
      <c r="K125" s="82"/>
      <c r="L125" s="82"/>
      <c r="M125" s="82"/>
      <c r="N125" s="82"/>
    </row>
    <row r="126" spans="1:14" customFormat="1" x14ac:dyDescent="0.25">
      <c r="A126" s="82"/>
      <c r="B126" s="82"/>
      <c r="C126" s="82"/>
      <c r="D126" s="82"/>
      <c r="E126" s="82"/>
      <c r="F126" s="82"/>
      <c r="G126" s="82"/>
      <c r="H126" s="82"/>
      <c r="I126" s="82"/>
      <c r="J126" s="82"/>
      <c r="K126" s="82"/>
      <c r="L126" s="82"/>
      <c r="M126" s="82"/>
      <c r="N126" s="82"/>
    </row>
    <row r="127" spans="1:14" customFormat="1" x14ac:dyDescent="0.25">
      <c r="A127" s="82"/>
      <c r="B127" s="82"/>
      <c r="C127" s="82"/>
      <c r="D127" s="82"/>
      <c r="E127" s="82"/>
      <c r="F127" s="82"/>
      <c r="G127" s="82"/>
      <c r="H127" s="82"/>
      <c r="I127" s="82"/>
      <c r="J127" s="82"/>
      <c r="K127" s="82"/>
      <c r="L127" s="82"/>
      <c r="M127" s="82"/>
      <c r="N127" s="82"/>
    </row>
    <row r="128" spans="1:14" customFormat="1" x14ac:dyDescent="0.25">
      <c r="A128" s="82"/>
      <c r="B128" s="82"/>
      <c r="C128" s="82"/>
      <c r="D128" s="82"/>
      <c r="E128" s="82"/>
      <c r="F128" s="82"/>
      <c r="G128" s="82"/>
      <c r="H128" s="82"/>
      <c r="I128" s="82"/>
      <c r="J128" s="82"/>
      <c r="K128" s="82"/>
      <c r="L128" s="82"/>
      <c r="M128" s="82"/>
      <c r="N128" s="82"/>
    </row>
    <row r="129" spans="1:14" customFormat="1" x14ac:dyDescent="0.25">
      <c r="A129" s="82"/>
      <c r="B129" s="82"/>
      <c r="C129" s="82"/>
      <c r="D129" s="82"/>
      <c r="E129" s="82"/>
      <c r="F129" s="82"/>
      <c r="G129" s="82"/>
      <c r="H129" s="82"/>
      <c r="I129" s="82"/>
      <c r="J129" s="82"/>
      <c r="K129" s="82"/>
      <c r="L129" s="82"/>
      <c r="M129" s="82"/>
      <c r="N129" s="82"/>
    </row>
    <row r="130" spans="1:14" customFormat="1" x14ac:dyDescent="0.25">
      <c r="A130" s="82"/>
      <c r="B130" s="82"/>
      <c r="C130" s="82"/>
      <c r="D130" s="82"/>
      <c r="E130" s="82"/>
      <c r="F130" s="82"/>
      <c r="G130" s="82"/>
      <c r="H130" s="82"/>
      <c r="I130" s="82"/>
      <c r="J130" s="82"/>
      <c r="K130" s="82"/>
      <c r="L130" s="82"/>
      <c r="M130" s="82"/>
      <c r="N130" s="82"/>
    </row>
    <row r="131" spans="1:14" customFormat="1" x14ac:dyDescent="0.25">
      <c r="A131" s="82"/>
      <c r="B131" s="82"/>
      <c r="C131" s="82"/>
      <c r="D131" s="82"/>
      <c r="E131" s="82"/>
      <c r="F131" s="82"/>
      <c r="G131" s="82"/>
      <c r="H131" s="82"/>
      <c r="I131" s="82"/>
      <c r="J131" s="82"/>
      <c r="K131" s="82"/>
      <c r="L131" s="82"/>
      <c r="M131" s="82"/>
      <c r="N131" s="82"/>
    </row>
    <row r="132" spans="1:14" customFormat="1" x14ac:dyDescent="0.25">
      <c r="A132" s="82"/>
      <c r="B132" s="82"/>
      <c r="C132" s="82"/>
      <c r="D132" s="82"/>
      <c r="E132" s="82"/>
      <c r="F132" s="82"/>
      <c r="G132" s="82"/>
      <c r="H132" s="82"/>
      <c r="I132" s="82"/>
      <c r="J132" s="82"/>
      <c r="K132" s="82"/>
      <c r="L132" s="82"/>
      <c r="M132" s="82"/>
      <c r="N132" s="82"/>
    </row>
    <row r="133" spans="1:14" customFormat="1" x14ac:dyDescent="0.25">
      <c r="A133" s="82"/>
      <c r="B133" s="82"/>
      <c r="C133" s="82"/>
      <c r="D133" s="82"/>
      <c r="E133" s="82"/>
      <c r="F133" s="82"/>
      <c r="G133" s="82"/>
      <c r="H133" s="82"/>
      <c r="I133" s="82"/>
      <c r="J133" s="82"/>
      <c r="K133" s="82"/>
      <c r="L133" s="82"/>
      <c r="M133" s="82"/>
      <c r="N133" s="82"/>
    </row>
    <row r="134" spans="1:14" customFormat="1" x14ac:dyDescent="0.25">
      <c r="A134" s="82"/>
      <c r="B134" s="82"/>
      <c r="C134" s="82"/>
      <c r="D134" s="82"/>
      <c r="E134" s="82"/>
      <c r="F134" s="82"/>
      <c r="G134" s="82"/>
      <c r="H134" s="82"/>
      <c r="I134" s="82"/>
      <c r="J134" s="82"/>
      <c r="K134" s="82"/>
      <c r="L134" s="82"/>
      <c r="M134" s="82"/>
      <c r="N134" s="82"/>
    </row>
    <row r="135" spans="1:14" customFormat="1" x14ac:dyDescent="0.25">
      <c r="A135" s="82"/>
      <c r="B135" s="82"/>
      <c r="C135" s="82"/>
      <c r="D135" s="82"/>
      <c r="E135" s="82"/>
      <c r="F135" s="82"/>
      <c r="G135" s="82"/>
      <c r="H135" s="82"/>
      <c r="I135" s="82"/>
      <c r="J135" s="82"/>
      <c r="K135" s="82"/>
      <c r="L135" s="82"/>
      <c r="M135" s="82"/>
      <c r="N135" s="82"/>
    </row>
    <row r="136" spans="1:14" customFormat="1" x14ac:dyDescent="0.25">
      <c r="A136" s="82"/>
      <c r="B136" s="82"/>
      <c r="C136" s="82"/>
      <c r="D136" s="82"/>
      <c r="E136" s="82"/>
      <c r="F136" s="82"/>
      <c r="G136" s="82"/>
      <c r="H136" s="82"/>
      <c r="I136" s="82"/>
      <c r="J136" s="82"/>
      <c r="K136" s="82"/>
      <c r="L136" s="82"/>
      <c r="M136" s="82"/>
      <c r="N136" s="82"/>
    </row>
    <row r="137" spans="1:14" customFormat="1" x14ac:dyDescent="0.25">
      <c r="A137" s="82"/>
      <c r="B137" s="82"/>
      <c r="C137" s="82"/>
      <c r="D137" s="82"/>
      <c r="E137" s="82"/>
      <c r="F137" s="82"/>
      <c r="G137" s="82"/>
      <c r="H137" s="82"/>
      <c r="I137" s="82"/>
      <c r="J137" s="82"/>
      <c r="K137" s="82"/>
      <c r="L137" s="82"/>
      <c r="M137" s="82"/>
      <c r="N137" s="82"/>
    </row>
    <row r="138" spans="1:14" customFormat="1" x14ac:dyDescent="0.25">
      <c r="A138" s="82"/>
      <c r="B138" s="82"/>
      <c r="C138" s="82"/>
      <c r="D138" s="82"/>
      <c r="E138" s="82"/>
      <c r="F138" s="82"/>
      <c r="G138" s="82"/>
      <c r="H138" s="82"/>
      <c r="I138" s="82"/>
      <c r="J138" s="82"/>
      <c r="K138" s="82"/>
      <c r="L138" s="82"/>
      <c r="M138" s="82"/>
      <c r="N138" s="82"/>
    </row>
    <row r="139" spans="1:14" customFormat="1" x14ac:dyDescent="0.25">
      <c r="A139" s="82"/>
      <c r="B139" s="82"/>
      <c r="C139" s="82"/>
      <c r="D139" s="82"/>
      <c r="E139" s="82"/>
      <c r="F139" s="82"/>
      <c r="G139" s="82"/>
      <c r="H139" s="82"/>
      <c r="I139" s="82"/>
      <c r="J139" s="82"/>
      <c r="K139" s="82"/>
      <c r="L139" s="82"/>
      <c r="M139" s="82"/>
      <c r="N139" s="82"/>
    </row>
    <row r="140" spans="1:14" customFormat="1" x14ac:dyDescent="0.25">
      <c r="A140" s="82"/>
      <c r="B140" s="82"/>
      <c r="C140" s="82"/>
      <c r="D140" s="82"/>
      <c r="E140" s="82"/>
      <c r="F140" s="82"/>
      <c r="G140" s="82"/>
      <c r="H140" s="82"/>
      <c r="I140" s="82"/>
      <c r="J140" s="82"/>
      <c r="K140" s="82"/>
      <c r="L140" s="82"/>
      <c r="M140" s="82"/>
      <c r="N140" s="82"/>
    </row>
    <row r="141" spans="1:14" customFormat="1" x14ac:dyDescent="0.25">
      <c r="A141" s="82"/>
      <c r="B141" s="82"/>
      <c r="C141" s="82"/>
      <c r="D141" s="82"/>
      <c r="E141" s="82"/>
      <c r="F141" s="82"/>
      <c r="G141" s="82"/>
      <c r="H141" s="82"/>
      <c r="I141" s="82"/>
      <c r="J141" s="82"/>
      <c r="K141" s="82"/>
      <c r="L141" s="82"/>
      <c r="M141" s="82"/>
      <c r="N141" s="82"/>
    </row>
    <row r="142" spans="1:14" customFormat="1" x14ac:dyDescent="0.25">
      <c r="A142" s="82"/>
      <c r="B142" s="82"/>
      <c r="C142" s="82"/>
      <c r="D142" s="82"/>
      <c r="E142" s="82"/>
      <c r="F142" s="82"/>
      <c r="G142" s="82"/>
      <c r="H142" s="82"/>
      <c r="I142" s="82"/>
      <c r="J142" s="82"/>
      <c r="K142" s="82"/>
      <c r="L142" s="82"/>
      <c r="M142" s="82"/>
      <c r="N142" s="82"/>
    </row>
    <row r="143" spans="1:14" customFormat="1" x14ac:dyDescent="0.25">
      <c r="A143" s="82"/>
      <c r="B143" s="82"/>
      <c r="C143" s="82"/>
      <c r="D143" s="82"/>
      <c r="E143" s="82"/>
      <c r="F143" s="82"/>
      <c r="G143" s="82"/>
      <c r="H143" s="82"/>
      <c r="I143" s="82"/>
      <c r="J143" s="82"/>
      <c r="K143" s="82"/>
      <c r="L143" s="82"/>
      <c r="M143" s="82"/>
      <c r="N143" s="82"/>
    </row>
    <row r="144" spans="1:14" customFormat="1" x14ac:dyDescent="0.25">
      <c r="A144" s="82"/>
      <c r="B144" s="82"/>
      <c r="C144" s="82"/>
      <c r="D144" s="82"/>
      <c r="E144" s="82"/>
      <c r="F144" s="82"/>
      <c r="G144" s="82"/>
      <c r="H144" s="82"/>
      <c r="I144" s="82"/>
      <c r="J144" s="82"/>
      <c r="K144" s="82"/>
      <c r="L144" s="82"/>
      <c r="M144" s="82"/>
      <c r="N144" s="82"/>
    </row>
    <row r="145" spans="1:14" customFormat="1" x14ac:dyDescent="0.25">
      <c r="A145" s="82"/>
      <c r="B145" s="82"/>
      <c r="C145" s="82"/>
      <c r="D145" s="82"/>
      <c r="E145" s="82"/>
      <c r="F145" s="82"/>
      <c r="G145" s="82"/>
      <c r="H145" s="82"/>
      <c r="I145" s="82"/>
      <c r="J145" s="82"/>
      <c r="K145" s="82"/>
      <c r="L145" s="82"/>
      <c r="M145" s="82"/>
      <c r="N145" s="82"/>
    </row>
    <row r="146" spans="1:14" customFormat="1" x14ac:dyDescent="0.25">
      <c r="A146" s="82"/>
      <c r="B146" s="82"/>
      <c r="C146" s="82"/>
      <c r="D146" s="82"/>
      <c r="E146" s="82"/>
      <c r="F146" s="82"/>
      <c r="G146" s="82"/>
      <c r="H146" s="82"/>
      <c r="I146" s="82"/>
      <c r="J146" s="82"/>
      <c r="K146" s="82"/>
      <c r="L146" s="82"/>
      <c r="M146" s="82"/>
      <c r="N146" s="82"/>
    </row>
    <row r="147" spans="1:14" customFormat="1" x14ac:dyDescent="0.25">
      <c r="A147" s="82"/>
      <c r="B147" s="82"/>
      <c r="C147" s="82"/>
      <c r="D147" s="82"/>
      <c r="E147" s="82"/>
      <c r="F147" s="82"/>
      <c r="G147" s="82"/>
      <c r="H147" s="82"/>
      <c r="I147" s="82"/>
      <c r="J147" s="82"/>
      <c r="K147" s="82"/>
      <c r="L147" s="82"/>
      <c r="M147" s="82"/>
      <c r="N147" s="82"/>
    </row>
    <row r="148" spans="1:14" customFormat="1" x14ac:dyDescent="0.25">
      <c r="A148" s="82"/>
      <c r="B148" s="82"/>
      <c r="C148" s="82"/>
      <c r="D148" s="82"/>
      <c r="E148" s="82"/>
      <c r="F148" s="82"/>
      <c r="G148" s="82"/>
      <c r="H148" s="82"/>
      <c r="I148" s="82"/>
      <c r="J148" s="82"/>
      <c r="K148" s="82"/>
      <c r="L148" s="82"/>
      <c r="M148" s="82"/>
      <c r="N148" s="82"/>
    </row>
    <row r="149" spans="1:14" customFormat="1" x14ac:dyDescent="0.25">
      <c r="A149" s="82"/>
      <c r="B149" s="82"/>
      <c r="C149" s="82"/>
      <c r="D149" s="82"/>
      <c r="E149" s="82"/>
      <c r="F149" s="82"/>
      <c r="G149" s="82"/>
      <c r="H149" s="82"/>
      <c r="I149" s="82"/>
      <c r="J149" s="82"/>
      <c r="K149" s="82"/>
      <c r="L149" s="82"/>
      <c r="M149" s="82"/>
      <c r="N149" s="82"/>
    </row>
    <row r="150" spans="1:14" customFormat="1" x14ac:dyDescent="0.25">
      <c r="A150" s="82"/>
      <c r="B150" s="82"/>
      <c r="C150" s="82"/>
      <c r="D150" s="82"/>
      <c r="E150" s="82"/>
      <c r="F150" s="82"/>
      <c r="G150" s="82"/>
      <c r="H150" s="82"/>
      <c r="I150" s="82"/>
      <c r="J150" s="82"/>
      <c r="K150" s="82"/>
      <c r="L150" s="82"/>
      <c r="M150" s="82"/>
      <c r="N150" s="82"/>
    </row>
    <row r="151" spans="1:14" customFormat="1" x14ac:dyDescent="0.25">
      <c r="A151" s="82"/>
      <c r="B151" s="82"/>
      <c r="C151" s="82"/>
      <c r="D151" s="82"/>
      <c r="E151" s="82"/>
      <c r="F151" s="82"/>
      <c r="G151" s="82"/>
      <c r="H151" s="82"/>
      <c r="I151" s="82"/>
      <c r="J151" s="82"/>
      <c r="K151" s="82"/>
      <c r="L151" s="82"/>
      <c r="M151" s="82"/>
      <c r="N151" s="82"/>
    </row>
    <row r="152" spans="1:14" customFormat="1" x14ac:dyDescent="0.25">
      <c r="A152" s="82"/>
      <c r="B152" s="82"/>
      <c r="C152" s="82"/>
      <c r="D152" s="82"/>
      <c r="E152" s="82"/>
      <c r="F152" s="82"/>
      <c r="G152" s="82"/>
      <c r="H152" s="82"/>
      <c r="I152" s="82"/>
      <c r="J152" s="82"/>
      <c r="K152" s="82"/>
      <c r="L152" s="82"/>
      <c r="M152" s="82"/>
      <c r="N152" s="82"/>
    </row>
  </sheetData>
  <printOptions horizontalCentered="1"/>
  <pageMargins left="0.7" right="0.7" top="0.75" bottom="0.75" header="0.3" footer="0.3"/>
  <pageSetup scale="83" orientation="landscape" blackAndWhite="1" horizontalDpi="300" verticalDpi="300" r:id="rId1"/>
  <headerFooter>
    <oddFooter>&amp;L&amp;F
&amp;A&amp;C&amp;P&amp;R&amp;D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fitToPage="1"/>
  </sheetPr>
  <dimension ref="A1:O152"/>
  <sheetViews>
    <sheetView zoomScale="90" zoomScaleNormal="90" workbookViewId="0">
      <selection activeCell="C4" sqref="C4"/>
    </sheetView>
  </sheetViews>
  <sheetFormatPr defaultColWidth="8.7109375" defaultRowHeight="15" outlineLevelCol="1" x14ac:dyDescent="0.25"/>
  <cols>
    <col min="1" max="1" width="3.5703125" style="82" customWidth="1"/>
    <col min="2" max="2" width="2.5703125" style="82" customWidth="1"/>
    <col min="3" max="3" width="32.5703125" style="82" bestFit="1" customWidth="1"/>
    <col min="4" max="4" width="9.140625" style="82" bestFit="1" customWidth="1"/>
    <col min="5" max="5" width="13.85546875" style="82" customWidth="1"/>
    <col min="6" max="6" width="11.85546875" style="82" bestFit="1" customWidth="1"/>
    <col min="7" max="12" width="12.7109375" style="82" customWidth="1"/>
    <col min="13" max="13" width="9.140625" style="82"/>
    <col min="14" max="14" width="9.140625" style="82" customWidth="1" outlineLevel="1"/>
    <col min="15" max="15" width="9.140625" customWidth="1"/>
    <col min="16" max="16384" width="8.7109375" style="82"/>
  </cols>
  <sheetData>
    <row r="1" spans="1:15" x14ac:dyDescent="0.25">
      <c r="B1" s="246" t="s">
        <v>0</v>
      </c>
      <c r="C1" s="247"/>
      <c r="D1" s="247"/>
      <c r="E1" s="247"/>
      <c r="F1" s="247"/>
      <c r="G1" s="247"/>
      <c r="H1" s="247"/>
      <c r="I1" s="247"/>
      <c r="J1" s="247"/>
      <c r="K1" s="247"/>
      <c r="L1" s="247"/>
    </row>
    <row r="2" spans="1:15" s="813" customFormat="1" x14ac:dyDescent="0.25">
      <c r="A2" s="812"/>
      <c r="B2" s="245" t="str">
        <f>'CRM Rates'!A2</f>
        <v>2022 Gas Schedule 149 Cost Recovery Mechanism For Pipeline Replacement (CRM) Filing (PRELIMINARY - August Filing)</v>
      </c>
      <c r="C2" s="245"/>
      <c r="D2" s="245"/>
      <c r="E2" s="245"/>
      <c r="F2" s="245"/>
      <c r="G2" s="245"/>
      <c r="H2" s="245"/>
      <c r="I2" s="245"/>
      <c r="J2" s="245"/>
      <c r="K2" s="245"/>
      <c r="L2" s="245"/>
      <c r="M2" s="812"/>
      <c r="N2" s="812"/>
    </row>
    <row r="3" spans="1:15" s="7" customFormat="1" x14ac:dyDescent="0.25">
      <c r="A3" s="814"/>
      <c r="B3" s="815" t="s">
        <v>346</v>
      </c>
      <c r="C3" s="815"/>
      <c r="D3" s="815"/>
      <c r="E3" s="815"/>
      <c r="F3" s="815"/>
      <c r="G3" s="815"/>
      <c r="H3" s="815"/>
      <c r="I3" s="815"/>
      <c r="J3" s="815"/>
      <c r="K3" s="815"/>
      <c r="L3" s="815"/>
      <c r="M3" s="814"/>
      <c r="N3" s="814"/>
    </row>
    <row r="4" spans="1:15" s="218" customFormat="1" x14ac:dyDescent="0.25">
      <c r="A4" s="86"/>
      <c r="B4" s="796"/>
      <c r="C4" s="86"/>
      <c r="D4" s="86"/>
      <c r="E4" s="86"/>
      <c r="F4" s="86"/>
      <c r="G4" s="86"/>
      <c r="H4" s="86"/>
      <c r="I4" s="86"/>
      <c r="J4" s="86"/>
      <c r="K4" s="86"/>
      <c r="L4" s="86"/>
      <c r="M4" s="86"/>
      <c r="N4" s="86"/>
    </row>
    <row r="5" spans="1:15" s="218" customFormat="1" x14ac:dyDescent="0.25">
      <c r="A5" s="86"/>
      <c r="B5" s="86"/>
      <c r="C5" s="86"/>
      <c r="D5" s="86"/>
      <c r="E5" s="86"/>
      <c r="F5" s="797"/>
      <c r="G5" s="797" t="s">
        <v>115</v>
      </c>
      <c r="H5" s="797" t="s">
        <v>116</v>
      </c>
      <c r="I5" s="797"/>
      <c r="J5" s="797" t="s">
        <v>117</v>
      </c>
      <c r="K5" s="797" t="s">
        <v>118</v>
      </c>
      <c r="L5" s="797"/>
      <c r="M5" s="86"/>
      <c r="N5" s="86"/>
    </row>
    <row r="6" spans="1:15" s="218" customFormat="1" x14ac:dyDescent="0.25">
      <c r="A6" s="86"/>
      <c r="B6" s="86"/>
      <c r="C6" s="86"/>
      <c r="D6" s="797" t="s">
        <v>119</v>
      </c>
      <c r="E6" s="86"/>
      <c r="F6" s="797" t="s">
        <v>134</v>
      </c>
      <c r="G6" s="797" t="s">
        <v>121</v>
      </c>
      <c r="H6" s="797" t="s">
        <v>122</v>
      </c>
      <c r="I6" s="797" t="s">
        <v>123</v>
      </c>
      <c r="J6" s="797" t="s">
        <v>124</v>
      </c>
      <c r="K6" s="797" t="s">
        <v>125</v>
      </c>
      <c r="L6" s="797"/>
      <c r="M6" s="86"/>
      <c r="N6" s="86"/>
    </row>
    <row r="7" spans="1:15" s="218" customFormat="1" x14ac:dyDescent="0.25">
      <c r="A7" s="86"/>
      <c r="B7" s="86"/>
      <c r="C7" s="86"/>
      <c r="D7" s="798" t="s">
        <v>126</v>
      </c>
      <c r="E7" s="798" t="s">
        <v>90</v>
      </c>
      <c r="F7" s="798" t="s">
        <v>127</v>
      </c>
      <c r="G7" s="798" t="s">
        <v>128</v>
      </c>
      <c r="H7" s="798" t="s">
        <v>129</v>
      </c>
      <c r="I7" s="798" t="s">
        <v>130</v>
      </c>
      <c r="J7" s="798" t="s">
        <v>130</v>
      </c>
      <c r="K7" s="798" t="s">
        <v>130</v>
      </c>
      <c r="L7" s="798" t="s">
        <v>131</v>
      </c>
      <c r="M7" s="86"/>
      <c r="N7" s="74" t="s">
        <v>104</v>
      </c>
      <c r="O7" s="74" t="s">
        <v>254</v>
      </c>
    </row>
    <row r="8" spans="1:15" s="218" customFormat="1" x14ac:dyDescent="0.25">
      <c r="A8" s="86"/>
      <c r="B8" s="86" t="s">
        <v>135</v>
      </c>
      <c r="C8" s="86"/>
      <c r="D8" s="86"/>
      <c r="E8" s="90"/>
      <c r="F8" s="90"/>
      <c r="G8" s="90"/>
      <c r="H8" s="90"/>
      <c r="I8" s="90"/>
      <c r="J8" s="90"/>
      <c r="K8" s="90"/>
      <c r="L8" s="90"/>
      <c r="M8" s="86"/>
      <c r="N8" s="799"/>
    </row>
    <row r="9" spans="1:15" s="218" customFormat="1" x14ac:dyDescent="0.25">
      <c r="A9" s="86"/>
      <c r="B9" s="86"/>
      <c r="C9" s="162" t="s">
        <v>227</v>
      </c>
      <c r="D9" s="165">
        <v>376</v>
      </c>
      <c r="E9" s="800">
        <f>('2021TrueUp'!$F$14+'2021TrueUp'!$F$20)*'Summary 2021'!O15</f>
        <v>2533.4103340998613</v>
      </c>
      <c r="F9" s="801">
        <f>$E$9*'Allocation Factors'!E12</f>
        <v>1666.6598042132691</v>
      </c>
      <c r="G9" s="801">
        <f>$E$9*'Allocation Factors'!F12</f>
        <v>606.94149648861912</v>
      </c>
      <c r="H9" s="801">
        <f>$E$9*'Allocation Factors'!G12</f>
        <v>133.52932862828698</v>
      </c>
      <c r="I9" s="801">
        <f>$E$9*'Allocation Factors'!H12</f>
        <v>65.038867854868812</v>
      </c>
      <c r="J9" s="801">
        <f>$E$9*'Allocation Factors'!I12</f>
        <v>7.0038740287292498</v>
      </c>
      <c r="K9" s="801">
        <f>$E$9*'Allocation Factors'!J12</f>
        <v>50.878099764122659</v>
      </c>
      <c r="L9" s="801">
        <f>$E$9*'Allocation Factors'!K12</f>
        <v>3.3588631219651206</v>
      </c>
      <c r="M9" s="86"/>
      <c r="N9" s="799">
        <f t="shared" ref="N9:N16" si="0">SUM(F9:L9)-E9</f>
        <v>0</v>
      </c>
    </row>
    <row r="10" spans="1:15" s="218" customFormat="1" x14ac:dyDescent="0.25">
      <c r="A10" s="86"/>
      <c r="B10" s="86"/>
      <c r="C10" s="162" t="s">
        <v>228</v>
      </c>
      <c r="D10" s="165">
        <v>380</v>
      </c>
      <c r="E10" s="800">
        <f>('2021TrueUp'!$F$14+'2021TrueUp'!$F$20)*'Summary 2021'!O16</f>
        <v>213.51439951457121</v>
      </c>
      <c r="F10" s="801">
        <f>$E$10*'Allocation Factors'!E17</f>
        <v>122.87348402604722</v>
      </c>
      <c r="G10" s="801">
        <f>$E$10*'Allocation Factors'!F17</f>
        <v>86.834156992450104</v>
      </c>
      <c r="H10" s="809">
        <f>$E$10*'Allocation Factors'!G17</f>
        <v>1.5426529082568399</v>
      </c>
      <c r="I10" s="809">
        <f>$E$10*'Allocation Factors'!H17</f>
        <v>1.54861269476847</v>
      </c>
      <c r="J10" s="809">
        <f>$E$10*'Allocation Factors'!I17</f>
        <v>0.24408839229384735</v>
      </c>
      <c r="K10" s="809">
        <f>$E$10*'Allocation Factors'!J17</f>
        <v>0.19929839095547083</v>
      </c>
      <c r="L10" s="809">
        <f>$E$10*'Allocation Factors'!K17</f>
        <v>0.27210610979930372</v>
      </c>
      <c r="M10" s="86"/>
      <c r="N10" s="799">
        <f t="shared" si="0"/>
        <v>0</v>
      </c>
    </row>
    <row r="11" spans="1:15" s="218" customFormat="1" x14ac:dyDescent="0.25">
      <c r="A11" s="86"/>
      <c r="B11" s="86"/>
      <c r="C11" s="86" t="s">
        <v>90</v>
      </c>
      <c r="D11" s="165"/>
      <c r="E11" s="89">
        <f>SUM(E9:E10)</f>
        <v>2746.9247336144326</v>
      </c>
      <c r="F11" s="89">
        <f t="shared" ref="F11:L11" si="1">SUM(F9:F10)</f>
        <v>1789.5332882393163</v>
      </c>
      <c r="G11" s="89">
        <f t="shared" si="1"/>
        <v>693.77565348106918</v>
      </c>
      <c r="H11" s="89">
        <f t="shared" si="1"/>
        <v>135.0719815365438</v>
      </c>
      <c r="I11" s="89">
        <f t="shared" si="1"/>
        <v>66.587480549637277</v>
      </c>
      <c r="J11" s="89">
        <f t="shared" si="1"/>
        <v>7.2479624210230975</v>
      </c>
      <c r="K11" s="89">
        <f t="shared" si="1"/>
        <v>51.077398155078129</v>
      </c>
      <c r="L11" s="89">
        <f t="shared" si="1"/>
        <v>3.6309692317644244</v>
      </c>
      <c r="M11" s="86"/>
      <c r="N11" s="799">
        <f t="shared" si="0"/>
        <v>0</v>
      </c>
      <c r="O11" s="799">
        <f>E11-'2021TrueUp'!F14-'2021TrueUp'!F20</f>
        <v>0</v>
      </c>
    </row>
    <row r="12" spans="1:15" s="218" customFormat="1" x14ac:dyDescent="0.25">
      <c r="A12" s="86"/>
      <c r="B12" s="86"/>
      <c r="C12" s="86"/>
      <c r="D12" s="165"/>
      <c r="E12" s="90"/>
      <c r="F12" s="90"/>
      <c r="G12" s="90"/>
      <c r="H12" s="90"/>
      <c r="I12" s="90"/>
      <c r="J12" s="90"/>
      <c r="K12" s="90"/>
      <c r="L12" s="90"/>
      <c r="M12" s="86"/>
      <c r="N12" s="799"/>
    </row>
    <row r="13" spans="1:15" s="86" customFormat="1" x14ac:dyDescent="0.25">
      <c r="B13" s="86" t="s">
        <v>53</v>
      </c>
      <c r="D13" s="165"/>
      <c r="E13" s="88"/>
      <c r="F13" s="88"/>
      <c r="G13" s="88"/>
      <c r="H13" s="88"/>
      <c r="I13" s="88"/>
      <c r="J13" s="88"/>
      <c r="K13" s="88"/>
      <c r="L13" s="88"/>
      <c r="N13" s="799"/>
    </row>
    <row r="14" spans="1:15" s="86" customFormat="1" x14ac:dyDescent="0.25">
      <c r="C14" s="162" t="s">
        <v>227</v>
      </c>
      <c r="D14" s="165">
        <v>376</v>
      </c>
      <c r="E14" s="810">
        <f>'2021TrueUp'!F12*'Summary 2021'!I26</f>
        <v>2074.6270797723578</v>
      </c>
      <c r="F14" s="92">
        <f>$E$14*'Allocation Factors'!E12</f>
        <v>1364.8391324721933</v>
      </c>
      <c r="G14" s="92">
        <f>$E$14*'Allocation Factors'!F12</f>
        <v>497.02854981849725</v>
      </c>
      <c r="H14" s="92">
        <f>$E$14*'Allocation Factors'!G12</f>
        <v>109.34808206444573</v>
      </c>
      <c r="I14" s="92">
        <f>$E$14*'Allocation Factors'!H12</f>
        <v>53.260774487757367</v>
      </c>
      <c r="J14" s="92">
        <f>$E$14*'Allocation Factors'!I12</f>
        <v>5.7355204278342002</v>
      </c>
      <c r="K14" s="92">
        <f>$E$14*'Allocation Factors'!J12</f>
        <v>41.664424478442115</v>
      </c>
      <c r="L14" s="92">
        <f>$E$14*'Allocation Factors'!K12</f>
        <v>2.7505960231876454</v>
      </c>
      <c r="N14" s="799">
        <f t="shared" si="0"/>
        <v>0</v>
      </c>
    </row>
    <row r="15" spans="1:15" s="86" customFormat="1" x14ac:dyDescent="0.25">
      <c r="C15" s="162" t="s">
        <v>228</v>
      </c>
      <c r="D15" s="165">
        <v>380</v>
      </c>
      <c r="E15" s="810">
        <f>'2021TrueUp'!F12*'Summary 2021'!I27</f>
        <v>228.66566654032579</v>
      </c>
      <c r="F15" s="92">
        <f>$E$15*'Allocation Factors'!E17</f>
        <v>131.59275060055467</v>
      </c>
      <c r="G15" s="92">
        <f>$E$15*'Allocation Factors'!F17</f>
        <v>92.996024775325878</v>
      </c>
      <c r="H15" s="202">
        <f>$E$15*'Allocation Factors'!G17</f>
        <v>1.6521216194734862</v>
      </c>
      <c r="I15" s="202">
        <f>$E$15*'Allocation Factors'!H17</f>
        <v>1.658504320397725</v>
      </c>
      <c r="J15" s="202">
        <f>$E$15*'Allocation Factors'!I17</f>
        <v>0.26140923069134769</v>
      </c>
      <c r="K15" s="202">
        <f>$E$15*'Allocation Factors'!J17</f>
        <v>0.21344087102255171</v>
      </c>
      <c r="L15" s="202">
        <f>$E$15*'Allocation Factors'!K17</f>
        <v>0.2914151228601638</v>
      </c>
      <c r="N15" s="799">
        <f t="shared" si="0"/>
        <v>0</v>
      </c>
    </row>
    <row r="16" spans="1:15" s="86" customFormat="1" x14ac:dyDescent="0.25">
      <c r="C16" s="86" t="s">
        <v>90</v>
      </c>
      <c r="E16" s="89">
        <f>SUM(E14:E15)</f>
        <v>2303.2927463126834</v>
      </c>
      <c r="F16" s="89">
        <f t="shared" ref="F16:L16" si="2">SUM(F14:F15)</f>
        <v>1496.431883072748</v>
      </c>
      <c r="G16" s="89">
        <f t="shared" si="2"/>
        <v>590.0245745938231</v>
      </c>
      <c r="H16" s="89">
        <f t="shared" si="2"/>
        <v>111.00020368391922</v>
      </c>
      <c r="I16" s="89">
        <f t="shared" si="2"/>
        <v>54.919278808155092</v>
      </c>
      <c r="J16" s="89">
        <f t="shared" si="2"/>
        <v>5.9969296585255476</v>
      </c>
      <c r="K16" s="89">
        <f t="shared" si="2"/>
        <v>41.877865349464663</v>
      </c>
      <c r="L16" s="89">
        <f t="shared" si="2"/>
        <v>3.042011146047809</v>
      </c>
      <c r="N16" s="799">
        <f t="shared" si="0"/>
        <v>0</v>
      </c>
      <c r="O16" s="799">
        <f>E16-'2021TrueUp'!F12</f>
        <v>0</v>
      </c>
    </row>
    <row r="17" spans="1:15" s="86" customFormat="1" x14ac:dyDescent="0.25">
      <c r="E17" s="90"/>
      <c r="F17" s="90"/>
      <c r="G17" s="90"/>
      <c r="H17" s="90"/>
      <c r="I17" s="90"/>
      <c r="J17" s="90"/>
      <c r="K17" s="90"/>
      <c r="L17" s="90"/>
      <c r="N17" s="74"/>
      <c r="O17" s="811">
        <f>(E11+E16)-'2021TrueUp'!F22</f>
        <v>5.8207660913467407E-10</v>
      </c>
    </row>
    <row r="18" spans="1:15" s="86" customFormat="1" x14ac:dyDescent="0.25">
      <c r="B18" s="162" t="s">
        <v>215</v>
      </c>
      <c r="E18" s="88"/>
      <c r="F18" s="88"/>
      <c r="G18" s="88"/>
      <c r="H18" s="88"/>
      <c r="I18" s="88"/>
      <c r="J18" s="88"/>
      <c r="K18" s="88"/>
      <c r="L18" s="88"/>
      <c r="N18" s="74"/>
    </row>
    <row r="19" spans="1:15" s="86" customFormat="1" x14ac:dyDescent="0.25">
      <c r="C19" s="162" t="s">
        <v>229</v>
      </c>
      <c r="D19" s="805">
        <f>'Summary 2021'!Q5</f>
        <v>874</v>
      </c>
      <c r="E19" s="810">
        <f>'Summary 2021'!J6*'Summary 2021'!Q6</f>
        <v>89113.738877661061</v>
      </c>
      <c r="F19" s="92">
        <f>$E$19*'Allocation Factors'!E20</f>
        <v>55894.214584516179</v>
      </c>
      <c r="G19" s="267">
        <f>$E$19*'Allocation Factors'!F20</f>
        <v>26889.196181461404</v>
      </c>
      <c r="H19" s="92">
        <f>$E$19*'Allocation Factors'!G20</f>
        <v>3189.2327263152806</v>
      </c>
      <c r="I19" s="92">
        <f>$E$19*'Allocation Factors'!H20</f>
        <v>1677.171496991919</v>
      </c>
      <c r="J19" s="92">
        <f>$E$19*'Allocation Factors'!I20</f>
        <v>192.61519971925412</v>
      </c>
      <c r="K19" s="92">
        <f>$E$19*'Allocation Factors'!J20</f>
        <v>1154.863561497056</v>
      </c>
      <c r="L19" s="92">
        <f>$E$19*'Allocation Factors'!K20</f>
        <v>116.44512715994607</v>
      </c>
      <c r="N19" s="799">
        <f t="shared" ref="N19:N24" si="3">SUM(F19:L19)-E19</f>
        <v>0</v>
      </c>
    </row>
    <row r="20" spans="1:15" s="86" customFormat="1" x14ac:dyDescent="0.25">
      <c r="C20" s="162" t="str">
        <f>'Allocation Factors'!C22&amp;" (FERC "&amp;'Allocation Factors'!B22&amp;")"</f>
        <v>Oper Meter &amp; House Reg (FERC 878)</v>
      </c>
      <c r="D20" s="805">
        <f>'Summary 2021'!O5</f>
        <v>878</v>
      </c>
      <c r="E20" s="803">
        <f>'Summary 2021'!J8*'Summary 2021'!O8</f>
        <v>242.63489886466343</v>
      </c>
      <c r="F20" s="92">
        <f>$E$20*'Allocation Factors'!E23</f>
        <v>192.12710656823387</v>
      </c>
      <c r="G20" s="92">
        <f>$E$20*'Allocation Factors'!F23</f>
        <v>49.515561848930005</v>
      </c>
      <c r="H20" s="92">
        <f>$E$20*'Allocation Factors'!G23</f>
        <v>0.98155998850062232</v>
      </c>
      <c r="I20" s="92">
        <f>$E$20*'Allocation Factors'!H23</f>
        <v>5.5710271209909734E-3</v>
      </c>
      <c r="J20" s="92">
        <f>$E$20*'Allocation Factors'!I23</f>
        <v>3.2424228375833278E-3</v>
      </c>
      <c r="K20" s="92">
        <f>$E$20*'Allocation Factors'!J23</f>
        <v>0</v>
      </c>
      <c r="L20" s="92">
        <f>$E$20*'Allocation Factors'!K23</f>
        <v>1.8570090403303243E-3</v>
      </c>
      <c r="N20" s="799">
        <f t="shared" si="3"/>
        <v>0</v>
      </c>
    </row>
    <row r="21" spans="1:15" s="86" customFormat="1" x14ac:dyDescent="0.25">
      <c r="C21" s="162" t="str">
        <f>'Allocation Factors'!C25&amp;" (FERC "&amp;'Allocation Factors'!B25&amp;")"</f>
        <v>Maint Mains (FERC 887)</v>
      </c>
      <c r="D21" s="805">
        <f>'Summary 2021'!P5</f>
        <v>887</v>
      </c>
      <c r="E21" s="803">
        <f>'Summary 2021'!J7*'Summary 2021'!P7</f>
        <v>764.32548799999904</v>
      </c>
      <c r="F21" s="92">
        <f>$E$21*'Allocation Factors'!E26</f>
        <v>502.82836184841932</v>
      </c>
      <c r="G21" s="92">
        <f>$E$21*'Allocation Factors'!F26</f>
        <v>183.1131930137725</v>
      </c>
      <c r="H21" s="92">
        <f>$E$21*'Allocation Factors'!G26</f>
        <v>40.285566018420113</v>
      </c>
      <c r="I21" s="92">
        <f>$E$21*'Allocation Factors'!H26</f>
        <v>19.622113221466229</v>
      </c>
      <c r="J21" s="92">
        <f>$E$21*'Allocation Factors'!I26</f>
        <v>2.1130566031266502</v>
      </c>
      <c r="K21" s="92">
        <f>$E$21*'Allocation Factors'!J26</f>
        <v>15.349834137525407</v>
      </c>
      <c r="L21" s="92">
        <f>$E$21*'Allocation Factors'!K26</f>
        <v>1.0133631572689383</v>
      </c>
      <c r="N21" s="799">
        <f t="shared" si="3"/>
        <v>0</v>
      </c>
    </row>
    <row r="22" spans="1:15" s="86" customFormat="1" x14ac:dyDescent="0.25">
      <c r="C22" s="162" t="str">
        <f>'Allocation Factors'!C28&amp;" (FERC "&amp;'Allocation Factors'!B28&amp;")"</f>
        <v>Maint Services (FERC 892)</v>
      </c>
      <c r="D22" s="805">
        <f>'Summary 2021'!M5</f>
        <v>892</v>
      </c>
      <c r="E22" s="803">
        <f>'Summary 2021'!J7*'Summary 2021'!M7+'Summary 2021'!J8*'Summary 2021'!M8</f>
        <v>22354.626049499391</v>
      </c>
      <c r="F22" s="92">
        <f>$E$22*'Allocation Factors'!E29</f>
        <v>12864.662959717471</v>
      </c>
      <c r="G22" s="92">
        <f>$E$22*'Allocation Factors'!F29</f>
        <v>9091.4013869929713</v>
      </c>
      <c r="H22" s="92">
        <f>$E$22*'Allocation Factors'!G29</f>
        <v>161.51336381367054</v>
      </c>
      <c r="I22" s="92">
        <f>$E$22*'Allocation Factors'!H29</f>
        <v>162.13734420611826</v>
      </c>
      <c r="J22" s="92">
        <f>$E$22*'Allocation Factors'!I29</f>
        <v>25.555675613251033</v>
      </c>
      <c r="K22" s="92">
        <f>$E$22*'Allocation Factors'!J29</f>
        <v>20.866232030277814</v>
      </c>
      <c r="L22" s="92">
        <f>$E$22*'Allocation Factors'!K29</f>
        <v>28.489087125631237</v>
      </c>
      <c r="N22" s="799">
        <f>SUM(F22:L22)-E22</f>
        <v>0</v>
      </c>
    </row>
    <row r="23" spans="1:15" s="86" customFormat="1" x14ac:dyDescent="0.25">
      <c r="C23" s="162" t="str">
        <f>'Allocation Factors'!C31&amp;" (FERC "&amp;'Allocation Factors'!B31&amp;")"</f>
        <v>Maint Meters &amp; House Reg (FERC 893)</v>
      </c>
      <c r="D23" s="805">
        <f>'Summary 2021'!N5</f>
        <v>893</v>
      </c>
      <c r="E23" s="803">
        <f>'Summary 2021'!J8*'Summary 2021'!N8</f>
        <v>16.28750521546279</v>
      </c>
      <c r="F23" s="92">
        <f>$E$23*'Allocation Factors'!E32</f>
        <v>12.897036926280443</v>
      </c>
      <c r="G23" s="92">
        <f>$E$23*'Allocation Factors'!F32</f>
        <v>3.3238622128750652</v>
      </c>
      <c r="H23" s="92">
        <f>$E$23*'Allocation Factors'!G32</f>
        <v>6.5889793705689384E-2</v>
      </c>
      <c r="I23" s="92">
        <f>$E$23*'Allocation Factors'!H32</f>
        <v>3.7396983580353341E-4</v>
      </c>
      <c r="J23" s="92">
        <f>$E$23*'Allocation Factors'!I32</f>
        <v>2.1765615385497755E-4</v>
      </c>
      <c r="K23" s="92">
        <f>$E$23*'Allocation Factors'!J32</f>
        <v>0</v>
      </c>
      <c r="L23" s="92">
        <f>$E$23*'Allocation Factors'!K32</f>
        <v>1.2465661193451115E-4</v>
      </c>
      <c r="N23" s="799">
        <f>SUM(F23:L23)-E23</f>
        <v>0</v>
      </c>
    </row>
    <row r="24" spans="1:15" s="86" customFormat="1" x14ac:dyDescent="0.25">
      <c r="C24" s="162" t="s">
        <v>90</v>
      </c>
      <c r="E24" s="269">
        <f t="shared" ref="E24:L24" si="4">SUM(E19:E23)</f>
        <v>112491.61281924057</v>
      </c>
      <c r="F24" s="89">
        <f t="shared" si="4"/>
        <v>69466.730049576581</v>
      </c>
      <c r="G24" s="89">
        <f t="shared" si="4"/>
        <v>36216.550185529952</v>
      </c>
      <c r="H24" s="89">
        <f t="shared" si="4"/>
        <v>3392.0791059295771</v>
      </c>
      <c r="I24" s="89">
        <f t="shared" si="4"/>
        <v>1858.9368994164604</v>
      </c>
      <c r="J24" s="89">
        <f t="shared" si="4"/>
        <v>220.28739201462324</v>
      </c>
      <c r="K24" s="89">
        <f t="shared" si="4"/>
        <v>1191.0796276648593</v>
      </c>
      <c r="L24" s="89">
        <f t="shared" si="4"/>
        <v>145.94955910849853</v>
      </c>
      <c r="N24" s="799">
        <f t="shared" si="3"/>
        <v>0</v>
      </c>
      <c r="O24" s="799">
        <f>E24-'Summary 2021'!J9</f>
        <v>1.4551915228366852E-10</v>
      </c>
    </row>
    <row r="25" spans="1:15" s="86" customFormat="1" x14ac:dyDescent="0.25">
      <c r="E25" s="88"/>
      <c r="F25" s="88"/>
      <c r="G25" s="88"/>
      <c r="H25" s="88"/>
      <c r="I25" s="88"/>
      <c r="J25" s="88"/>
      <c r="K25" s="88"/>
      <c r="L25" s="88"/>
      <c r="N25" s="74"/>
    </row>
    <row r="26" spans="1:15" s="86" customFormat="1" x14ac:dyDescent="0.25">
      <c r="B26" s="86" t="s">
        <v>136</v>
      </c>
      <c r="E26" s="88">
        <f t="shared" ref="E26:L26" si="5">E11+E16+E24</f>
        <v>117541.83029916769</v>
      </c>
      <c r="F26" s="88">
        <f t="shared" si="5"/>
        <v>72752.695220888651</v>
      </c>
      <c r="G26" s="88">
        <f t="shared" si="5"/>
        <v>37500.350413604843</v>
      </c>
      <c r="H26" s="88">
        <f t="shared" si="5"/>
        <v>3638.1512911500399</v>
      </c>
      <c r="I26" s="88">
        <f t="shared" si="5"/>
        <v>1980.4436587742528</v>
      </c>
      <c r="J26" s="88">
        <f t="shared" si="5"/>
        <v>233.53228409417187</v>
      </c>
      <c r="K26" s="88">
        <f t="shared" si="5"/>
        <v>1284.034891169402</v>
      </c>
      <c r="L26" s="88">
        <f t="shared" si="5"/>
        <v>152.62253948631076</v>
      </c>
      <c r="M26" s="88"/>
      <c r="N26" s="799">
        <f t="shared" ref="N26" si="6">SUM(F26:L26)-E26</f>
        <v>0</v>
      </c>
      <c r="O26" s="799"/>
    </row>
    <row r="27" spans="1:15" s="86" customFormat="1" x14ac:dyDescent="0.25">
      <c r="B27" s="86" t="s">
        <v>137</v>
      </c>
      <c r="E27" s="806">
        <f>'2019 GRC'!$J$18</f>
        <v>0.95455299999999998</v>
      </c>
      <c r="F27" s="88"/>
      <c r="G27" s="88"/>
      <c r="H27" s="88"/>
      <c r="I27" s="88"/>
      <c r="J27" s="88"/>
      <c r="K27" s="88"/>
      <c r="L27" s="88"/>
      <c r="N27" s="74"/>
    </row>
    <row r="28" spans="1:15" s="86" customFormat="1" x14ac:dyDescent="0.25">
      <c r="B28" s="87" t="s">
        <v>138</v>
      </c>
      <c r="C28" s="87"/>
      <c r="D28" s="87"/>
      <c r="E28" s="93">
        <f>E26/$E$27</f>
        <v>123138.08693615513</v>
      </c>
      <c r="F28" s="93">
        <f t="shared" ref="F28:L28" si="7">F26/$E$27</f>
        <v>76216.506805686702</v>
      </c>
      <c r="G28" s="93">
        <f t="shared" si="7"/>
        <v>39285.770841016521</v>
      </c>
      <c r="H28" s="93">
        <f t="shared" si="7"/>
        <v>3811.3664627841931</v>
      </c>
      <c r="I28" s="93">
        <f t="shared" si="7"/>
        <v>2074.7340993891935</v>
      </c>
      <c r="J28" s="93">
        <f t="shared" si="7"/>
        <v>244.65093514364511</v>
      </c>
      <c r="K28" s="93">
        <f t="shared" si="7"/>
        <v>1345.168776557616</v>
      </c>
      <c r="L28" s="93">
        <f t="shared" si="7"/>
        <v>159.88901557725003</v>
      </c>
      <c r="N28" s="799">
        <f t="shared" ref="N28" si="8">SUM(F28:L28)-E28</f>
        <v>0</v>
      </c>
      <c r="O28" s="799">
        <f>E28-'2021TrueUp'!F7</f>
        <v>1.6007106751203537E-10</v>
      </c>
    </row>
    <row r="29" spans="1:15" s="86" customFormat="1" x14ac:dyDescent="0.25">
      <c r="F29" s="88"/>
      <c r="G29" s="88"/>
      <c r="H29" s="88"/>
      <c r="I29" s="88"/>
      <c r="J29" s="88"/>
      <c r="K29" s="88"/>
      <c r="L29" s="88"/>
    </row>
    <row r="30" spans="1:15" s="218" customFormat="1" x14ac:dyDescent="0.25">
      <c r="A30" s="86"/>
      <c r="B30" s="86" t="s">
        <v>139</v>
      </c>
      <c r="C30" s="86"/>
      <c r="D30" s="86"/>
      <c r="E30" s="807">
        <f>SUM(F30:L30)</f>
        <v>1</v>
      </c>
      <c r="F30" s="807">
        <f>F28/$E28</f>
        <v>0.61895152590119074</v>
      </c>
      <c r="G30" s="807">
        <f t="shared" ref="G30:L30" si="9">G28/$E28</f>
        <v>0.31903833995232916</v>
      </c>
      <c r="H30" s="807">
        <f t="shared" si="9"/>
        <v>3.095197073152775E-2</v>
      </c>
      <c r="I30" s="807">
        <f t="shared" si="9"/>
        <v>1.6848841418698551E-2</v>
      </c>
      <c r="J30" s="807">
        <f t="shared" si="9"/>
        <v>1.9868014944108415E-3</v>
      </c>
      <c r="K30" s="807">
        <f t="shared" si="9"/>
        <v>1.0924067524737993E-2</v>
      </c>
      <c r="L30" s="807">
        <f t="shared" si="9"/>
        <v>1.2984529771048791E-3</v>
      </c>
      <c r="M30" s="86"/>
      <c r="N30" s="86"/>
    </row>
    <row r="31" spans="1:15" customFormat="1" x14ac:dyDescent="0.25">
      <c r="A31" s="82"/>
      <c r="B31" s="82"/>
      <c r="C31" s="82"/>
      <c r="D31" s="82"/>
      <c r="E31" s="82"/>
      <c r="F31" s="85"/>
      <c r="G31" s="85"/>
      <c r="H31" s="85"/>
      <c r="I31" s="85"/>
      <c r="J31" s="85"/>
      <c r="K31" s="85"/>
      <c r="L31" s="85"/>
      <c r="M31" s="82"/>
      <c r="N31" s="82"/>
    </row>
    <row r="32" spans="1:15" customFormat="1" x14ac:dyDescent="0.25">
      <c r="A32" s="82"/>
      <c r="B32" s="82"/>
      <c r="C32" s="82"/>
      <c r="D32" s="82"/>
      <c r="E32" s="82"/>
      <c r="F32" s="82"/>
      <c r="G32" s="82"/>
      <c r="H32" s="82"/>
      <c r="I32" s="82"/>
      <c r="J32" s="82"/>
      <c r="K32" s="82"/>
      <c r="L32" s="82"/>
      <c r="M32" s="82"/>
      <c r="N32" s="82"/>
    </row>
    <row r="33" spans="1:14" customFormat="1" x14ac:dyDescent="0.25">
      <c r="A33" s="82"/>
      <c r="B33" s="82"/>
      <c r="C33" s="82"/>
      <c r="D33" s="82"/>
      <c r="E33" s="82"/>
      <c r="F33" s="82"/>
      <c r="G33" s="82"/>
      <c r="H33" s="82"/>
      <c r="I33" s="82"/>
      <c r="J33" s="82"/>
      <c r="K33" s="82"/>
      <c r="L33" s="82"/>
      <c r="M33" s="82"/>
      <c r="N33" s="82"/>
    </row>
    <row r="34" spans="1:14" customFormat="1" x14ac:dyDescent="0.25">
      <c r="A34" s="82"/>
      <c r="B34" s="82"/>
      <c r="C34" s="82"/>
      <c r="D34" s="82"/>
      <c r="E34" s="82"/>
      <c r="F34" s="82"/>
      <c r="G34" s="82"/>
      <c r="H34" s="82"/>
      <c r="I34" s="82"/>
      <c r="J34" s="82"/>
      <c r="K34" s="82"/>
      <c r="L34" s="82"/>
      <c r="M34" s="82"/>
      <c r="N34" s="82"/>
    </row>
    <row r="35" spans="1:14" customFormat="1" x14ac:dyDescent="0.25">
      <c r="A35" s="82"/>
      <c r="B35" s="82"/>
      <c r="C35" s="82"/>
      <c r="D35" s="82"/>
      <c r="E35" s="82"/>
      <c r="F35" s="82"/>
      <c r="G35" s="82"/>
      <c r="H35" s="82"/>
      <c r="I35" s="82"/>
      <c r="J35" s="82"/>
      <c r="K35" s="82"/>
      <c r="L35" s="82"/>
      <c r="M35" s="82"/>
      <c r="N35" s="82"/>
    </row>
    <row r="36" spans="1:14" customFormat="1" x14ac:dyDescent="0.25">
      <c r="A36" s="82"/>
      <c r="B36" s="82"/>
      <c r="C36" s="82"/>
      <c r="D36" s="82"/>
      <c r="E36" s="82"/>
      <c r="F36" s="82"/>
      <c r="G36" s="82"/>
      <c r="H36" s="82"/>
      <c r="I36" s="82"/>
      <c r="J36" s="82"/>
      <c r="K36" s="82"/>
      <c r="L36" s="82"/>
      <c r="M36" s="82"/>
      <c r="N36" s="82"/>
    </row>
    <row r="37" spans="1:14" customFormat="1" x14ac:dyDescent="0.25">
      <c r="A37" s="82"/>
      <c r="B37" s="82"/>
      <c r="C37" s="82"/>
      <c r="D37" s="82"/>
      <c r="E37" s="82"/>
      <c r="F37" s="82"/>
      <c r="G37" s="82"/>
      <c r="H37" s="82"/>
      <c r="I37" s="82"/>
      <c r="J37" s="82"/>
      <c r="K37" s="82"/>
      <c r="L37" s="82"/>
      <c r="M37" s="82"/>
      <c r="N37" s="82"/>
    </row>
    <row r="38" spans="1:14" customFormat="1" x14ac:dyDescent="0.25">
      <c r="A38" s="82"/>
      <c r="B38" s="82"/>
      <c r="C38" s="82"/>
      <c r="D38" s="82"/>
      <c r="E38" s="82"/>
      <c r="F38" s="82"/>
      <c r="G38" s="82"/>
      <c r="H38" s="82"/>
      <c r="I38" s="82"/>
      <c r="J38" s="82"/>
      <c r="K38" s="82"/>
      <c r="L38" s="82"/>
      <c r="M38" s="82"/>
      <c r="N38" s="82"/>
    </row>
    <row r="39" spans="1:14" customFormat="1" x14ac:dyDescent="0.25">
      <c r="A39" s="82"/>
      <c r="B39" s="82"/>
      <c r="C39" s="82"/>
      <c r="D39" s="82"/>
      <c r="E39" s="82"/>
      <c r="F39" s="82"/>
      <c r="G39" s="82"/>
      <c r="H39" s="82"/>
      <c r="I39" s="82"/>
      <c r="J39" s="82"/>
      <c r="K39" s="82"/>
      <c r="L39" s="82"/>
      <c r="M39" s="82"/>
      <c r="N39" s="82"/>
    </row>
    <row r="40" spans="1:14" customFormat="1" x14ac:dyDescent="0.25">
      <c r="A40" s="82"/>
      <c r="B40" s="82"/>
      <c r="C40" s="82"/>
      <c r="D40" s="82"/>
      <c r="E40" s="82"/>
      <c r="F40" s="82"/>
      <c r="G40" s="82"/>
      <c r="H40" s="82"/>
      <c r="I40" s="82"/>
      <c r="J40" s="82"/>
      <c r="K40" s="82"/>
      <c r="L40" s="82"/>
      <c r="M40" s="82"/>
      <c r="N40" s="82"/>
    </row>
    <row r="41" spans="1:14" customFormat="1" x14ac:dyDescent="0.25">
      <c r="A41" s="82"/>
      <c r="B41" s="82"/>
      <c r="C41" s="82"/>
      <c r="D41" s="82"/>
      <c r="E41" s="82"/>
      <c r="F41" s="82"/>
      <c r="G41" s="82"/>
      <c r="H41" s="82"/>
      <c r="I41" s="82"/>
      <c r="J41" s="82"/>
      <c r="K41" s="82"/>
      <c r="L41" s="82"/>
      <c r="M41" s="82"/>
      <c r="N41" s="82"/>
    </row>
    <row r="42" spans="1:14" customFormat="1" x14ac:dyDescent="0.25">
      <c r="A42" s="82"/>
      <c r="B42" s="82"/>
      <c r="C42" s="82"/>
      <c r="D42" s="82"/>
      <c r="E42" s="82"/>
      <c r="F42" s="82"/>
      <c r="G42" s="82"/>
      <c r="H42" s="82"/>
      <c r="I42" s="82"/>
      <c r="J42" s="82"/>
      <c r="K42" s="82"/>
      <c r="L42" s="82"/>
      <c r="M42" s="82"/>
      <c r="N42" s="82"/>
    </row>
    <row r="43" spans="1:14" customFormat="1" x14ac:dyDescent="0.25">
      <c r="A43" s="82"/>
      <c r="B43" s="82"/>
      <c r="C43" s="82"/>
      <c r="D43" s="82"/>
      <c r="E43" s="82"/>
      <c r="F43" s="82"/>
      <c r="G43" s="82"/>
      <c r="H43" s="82"/>
      <c r="I43" s="82"/>
      <c r="J43" s="82"/>
      <c r="K43" s="82"/>
      <c r="L43" s="82"/>
      <c r="M43" s="82"/>
      <c r="N43" s="82"/>
    </row>
    <row r="44" spans="1:14" customFormat="1" x14ac:dyDescent="0.25">
      <c r="A44" s="82"/>
      <c r="B44" s="82"/>
      <c r="C44" s="82"/>
      <c r="D44" s="82"/>
      <c r="E44" s="82"/>
      <c r="F44" s="82"/>
      <c r="G44" s="82"/>
      <c r="H44" s="82"/>
      <c r="I44" s="82"/>
      <c r="J44" s="82"/>
      <c r="K44" s="82"/>
      <c r="L44" s="82"/>
      <c r="M44" s="82"/>
      <c r="N44" s="82"/>
    </row>
    <row r="45" spans="1:14" customFormat="1" x14ac:dyDescent="0.25">
      <c r="A45" s="82"/>
      <c r="B45" s="82"/>
      <c r="C45" s="82"/>
      <c r="D45" s="82"/>
      <c r="E45" s="82"/>
      <c r="F45" s="82"/>
      <c r="G45" s="82"/>
      <c r="H45" s="82"/>
      <c r="I45" s="82"/>
      <c r="J45" s="82"/>
      <c r="K45" s="82"/>
      <c r="L45" s="82"/>
      <c r="M45" s="82"/>
      <c r="N45" s="82"/>
    </row>
    <row r="46" spans="1:14" customFormat="1" x14ac:dyDescent="0.25">
      <c r="A46" s="82"/>
      <c r="B46" s="82"/>
      <c r="C46" s="82"/>
      <c r="D46" s="82"/>
      <c r="E46" s="82"/>
      <c r="F46" s="82"/>
      <c r="G46" s="82"/>
      <c r="H46" s="82"/>
      <c r="I46" s="82"/>
      <c r="J46" s="82"/>
      <c r="K46" s="82"/>
      <c r="L46" s="82"/>
      <c r="M46" s="82"/>
      <c r="N46" s="82"/>
    </row>
    <row r="47" spans="1:14" customFormat="1" x14ac:dyDescent="0.25">
      <c r="A47" s="82"/>
      <c r="B47" s="82"/>
      <c r="C47" s="82"/>
      <c r="D47" s="82"/>
      <c r="E47" s="82"/>
      <c r="F47" s="82"/>
      <c r="G47" s="82"/>
      <c r="H47" s="82"/>
      <c r="I47" s="82"/>
      <c r="J47" s="82"/>
      <c r="K47" s="82"/>
      <c r="L47" s="82"/>
      <c r="M47" s="82"/>
      <c r="N47" s="82"/>
    </row>
    <row r="48" spans="1:14" customFormat="1" x14ac:dyDescent="0.25">
      <c r="A48" s="82"/>
      <c r="B48" s="82"/>
      <c r="C48" s="82"/>
      <c r="D48" s="82"/>
      <c r="E48" s="82"/>
      <c r="F48" s="82"/>
      <c r="G48" s="82"/>
      <c r="H48" s="82"/>
      <c r="I48" s="82"/>
      <c r="J48" s="82"/>
      <c r="K48" s="82"/>
      <c r="L48" s="82"/>
      <c r="M48" s="82"/>
      <c r="N48" s="82"/>
    </row>
    <row r="49" spans="1:14" customFormat="1" x14ac:dyDescent="0.25">
      <c r="A49" s="82"/>
      <c r="B49" s="82"/>
      <c r="C49" s="82"/>
      <c r="D49" s="82"/>
      <c r="E49" s="82"/>
      <c r="F49" s="82"/>
      <c r="G49" s="82"/>
      <c r="H49" s="82"/>
      <c r="I49" s="82"/>
      <c r="J49" s="82"/>
      <c r="K49" s="82"/>
      <c r="L49" s="82"/>
      <c r="M49" s="82"/>
      <c r="N49" s="82"/>
    </row>
    <row r="50" spans="1:14" customFormat="1" x14ac:dyDescent="0.25">
      <c r="A50" s="82"/>
      <c r="B50" s="82"/>
      <c r="C50" s="82"/>
      <c r="D50" s="82"/>
      <c r="E50" s="82"/>
      <c r="F50" s="82"/>
      <c r="G50" s="82"/>
      <c r="H50" s="82"/>
      <c r="I50" s="82"/>
      <c r="J50" s="82"/>
      <c r="K50" s="82"/>
      <c r="L50" s="82"/>
      <c r="M50" s="82"/>
      <c r="N50" s="82"/>
    </row>
    <row r="51" spans="1:14" customFormat="1" x14ac:dyDescent="0.25">
      <c r="A51" s="82"/>
      <c r="B51" s="82"/>
      <c r="C51" s="82"/>
      <c r="D51" s="82"/>
      <c r="E51" s="82"/>
      <c r="F51" s="82"/>
      <c r="G51" s="82"/>
      <c r="H51" s="82"/>
      <c r="I51" s="82"/>
      <c r="J51" s="82"/>
      <c r="K51" s="82"/>
      <c r="L51" s="82"/>
      <c r="M51" s="82"/>
      <c r="N51" s="82"/>
    </row>
    <row r="52" spans="1:14" customFormat="1" x14ac:dyDescent="0.25">
      <c r="A52" s="82"/>
      <c r="B52" s="82"/>
      <c r="C52" s="82"/>
      <c r="D52" s="82"/>
      <c r="E52" s="82"/>
      <c r="F52" s="82"/>
      <c r="G52" s="82"/>
      <c r="H52" s="82"/>
      <c r="I52" s="82"/>
      <c r="J52" s="82"/>
      <c r="K52" s="82"/>
      <c r="L52" s="82"/>
      <c r="M52" s="82"/>
      <c r="N52" s="82"/>
    </row>
    <row r="53" spans="1:14" customFormat="1" x14ac:dyDescent="0.25">
      <c r="A53" s="82"/>
      <c r="B53" s="82"/>
      <c r="C53" s="82"/>
      <c r="D53" s="82"/>
      <c r="E53" s="82"/>
      <c r="F53" s="82"/>
      <c r="G53" s="82"/>
      <c r="H53" s="82"/>
      <c r="I53" s="82"/>
      <c r="J53" s="82"/>
      <c r="K53" s="82"/>
      <c r="L53" s="82"/>
      <c r="M53" s="82"/>
      <c r="N53" s="82"/>
    </row>
    <row r="54" spans="1:14" customFormat="1" x14ac:dyDescent="0.25">
      <c r="A54" s="82"/>
      <c r="B54" s="82"/>
      <c r="C54" s="82"/>
      <c r="D54" s="82"/>
      <c r="E54" s="82"/>
      <c r="F54" s="82"/>
      <c r="G54" s="82"/>
      <c r="H54" s="82"/>
      <c r="I54" s="82"/>
      <c r="J54" s="82"/>
      <c r="K54" s="82"/>
      <c r="L54" s="82"/>
      <c r="M54" s="82"/>
      <c r="N54" s="82"/>
    </row>
    <row r="55" spans="1:14" customFormat="1" x14ac:dyDescent="0.25">
      <c r="A55" s="82"/>
      <c r="B55" s="82"/>
      <c r="C55" s="82"/>
      <c r="D55" s="82"/>
      <c r="E55" s="82"/>
      <c r="F55" s="82"/>
      <c r="G55" s="82"/>
      <c r="H55" s="82"/>
      <c r="I55" s="82"/>
      <c r="J55" s="82"/>
      <c r="K55" s="82"/>
      <c r="L55" s="82"/>
      <c r="M55" s="82"/>
      <c r="N55" s="82"/>
    </row>
    <row r="56" spans="1:14" customFormat="1" x14ac:dyDescent="0.25">
      <c r="A56" s="82"/>
      <c r="B56" s="82"/>
      <c r="C56" s="82"/>
      <c r="D56" s="82"/>
      <c r="E56" s="82"/>
      <c r="F56" s="82"/>
      <c r="G56" s="82"/>
      <c r="H56" s="82"/>
      <c r="I56" s="82"/>
      <c r="J56" s="82"/>
      <c r="K56" s="82"/>
      <c r="L56" s="82"/>
      <c r="M56" s="82"/>
      <c r="N56" s="82"/>
    </row>
    <row r="57" spans="1:14" customFormat="1" x14ac:dyDescent="0.25">
      <c r="A57" s="82"/>
      <c r="B57" s="82"/>
      <c r="C57" s="82"/>
      <c r="D57" s="82"/>
      <c r="E57" s="82"/>
      <c r="F57" s="82"/>
      <c r="G57" s="82"/>
      <c r="H57" s="82"/>
      <c r="I57" s="82"/>
      <c r="J57" s="82"/>
      <c r="K57" s="82"/>
      <c r="L57" s="82"/>
      <c r="M57" s="82"/>
      <c r="N57" s="82"/>
    </row>
    <row r="58" spans="1:14" customFormat="1" x14ac:dyDescent="0.25">
      <c r="A58" s="82"/>
      <c r="B58" s="82"/>
      <c r="C58" s="82"/>
      <c r="D58" s="82"/>
      <c r="E58" s="82"/>
      <c r="F58" s="82"/>
      <c r="G58" s="82"/>
      <c r="H58" s="82"/>
      <c r="I58" s="82"/>
      <c r="J58" s="82"/>
      <c r="K58" s="82"/>
      <c r="L58" s="82"/>
      <c r="M58" s="82"/>
      <c r="N58" s="82"/>
    </row>
    <row r="59" spans="1:14" customFormat="1" x14ac:dyDescent="0.25">
      <c r="A59" s="82"/>
      <c r="B59" s="82"/>
      <c r="C59" s="82"/>
      <c r="D59" s="82"/>
      <c r="E59" s="82"/>
      <c r="F59" s="82"/>
      <c r="G59" s="82"/>
      <c r="H59" s="82"/>
      <c r="I59" s="82"/>
      <c r="J59" s="82"/>
      <c r="K59" s="82"/>
      <c r="L59" s="82"/>
      <c r="M59" s="82"/>
      <c r="N59" s="82"/>
    </row>
    <row r="60" spans="1:14" customFormat="1" x14ac:dyDescent="0.25">
      <c r="A60" s="82"/>
      <c r="B60" s="82"/>
      <c r="C60" s="82"/>
      <c r="D60" s="82"/>
      <c r="E60" s="82"/>
      <c r="F60" s="82"/>
      <c r="G60" s="82"/>
      <c r="H60" s="82"/>
      <c r="I60" s="82"/>
      <c r="J60" s="82"/>
      <c r="K60" s="82"/>
      <c r="L60" s="82"/>
      <c r="M60" s="82"/>
      <c r="N60" s="82"/>
    </row>
    <row r="61" spans="1:14" customFormat="1" x14ac:dyDescent="0.25">
      <c r="A61" s="82"/>
      <c r="B61" s="82"/>
      <c r="C61" s="82"/>
      <c r="D61" s="82"/>
      <c r="E61" s="82"/>
      <c r="F61" s="82"/>
      <c r="G61" s="82"/>
      <c r="H61" s="82"/>
      <c r="I61" s="82"/>
      <c r="J61" s="82"/>
      <c r="K61" s="82"/>
      <c r="L61" s="82"/>
      <c r="M61" s="82"/>
      <c r="N61" s="82"/>
    </row>
    <row r="62" spans="1:14" customFormat="1" x14ac:dyDescent="0.25">
      <c r="A62" s="82"/>
      <c r="B62" s="82"/>
      <c r="C62" s="82"/>
      <c r="D62" s="82"/>
      <c r="E62" s="82"/>
      <c r="F62" s="82"/>
      <c r="G62" s="82"/>
      <c r="H62" s="82"/>
      <c r="I62" s="82"/>
      <c r="J62" s="82"/>
      <c r="K62" s="82"/>
      <c r="L62" s="82"/>
      <c r="M62" s="82"/>
      <c r="N62" s="82"/>
    </row>
    <row r="63" spans="1:14" customFormat="1" x14ac:dyDescent="0.25">
      <c r="A63" s="82"/>
      <c r="B63" s="82"/>
      <c r="C63" s="82"/>
      <c r="D63" s="82"/>
      <c r="E63" s="82"/>
      <c r="F63" s="82"/>
      <c r="G63" s="82"/>
      <c r="H63" s="82"/>
      <c r="I63" s="82"/>
      <c r="J63" s="82"/>
      <c r="K63" s="82"/>
      <c r="L63" s="82"/>
      <c r="M63" s="82"/>
      <c r="N63" s="82"/>
    </row>
    <row r="64" spans="1:14" customFormat="1" x14ac:dyDescent="0.25">
      <c r="A64" s="82"/>
      <c r="B64" s="82"/>
      <c r="C64" s="82"/>
      <c r="D64" s="82"/>
      <c r="E64" s="82"/>
      <c r="F64" s="82"/>
      <c r="G64" s="82"/>
      <c r="H64" s="82"/>
      <c r="I64" s="82"/>
      <c r="J64" s="82"/>
      <c r="K64" s="82"/>
      <c r="L64" s="82"/>
      <c r="M64" s="82"/>
      <c r="N64" s="82"/>
    </row>
    <row r="65" spans="1:14" customFormat="1" x14ac:dyDescent="0.25">
      <c r="A65" s="82"/>
      <c r="B65" s="82"/>
      <c r="C65" s="82"/>
      <c r="D65" s="82"/>
      <c r="E65" s="82"/>
      <c r="F65" s="82"/>
      <c r="G65" s="82"/>
      <c r="H65" s="82"/>
      <c r="I65" s="82"/>
      <c r="J65" s="82"/>
      <c r="K65" s="82"/>
      <c r="L65" s="82"/>
      <c r="M65" s="82"/>
      <c r="N65" s="82"/>
    </row>
    <row r="66" spans="1:14" customFormat="1" x14ac:dyDescent="0.25">
      <c r="A66" s="82"/>
      <c r="B66" s="82"/>
      <c r="C66" s="82"/>
      <c r="D66" s="82"/>
      <c r="E66" s="82"/>
      <c r="F66" s="82"/>
      <c r="G66" s="82"/>
      <c r="H66" s="82"/>
      <c r="I66" s="82"/>
      <c r="J66" s="82"/>
      <c r="K66" s="82"/>
      <c r="L66" s="82"/>
      <c r="M66" s="82"/>
      <c r="N66" s="82"/>
    </row>
    <row r="67" spans="1:14" customFormat="1" x14ac:dyDescent="0.25">
      <c r="A67" s="82"/>
      <c r="B67" s="82"/>
      <c r="C67" s="82"/>
      <c r="D67" s="82"/>
      <c r="E67" s="82"/>
      <c r="F67" s="82"/>
      <c r="G67" s="82"/>
      <c r="H67" s="82"/>
      <c r="I67" s="82"/>
      <c r="J67" s="82"/>
      <c r="K67" s="82"/>
      <c r="L67" s="82"/>
      <c r="M67" s="82"/>
      <c r="N67" s="82"/>
    </row>
    <row r="68" spans="1:14" customFormat="1" x14ac:dyDescent="0.25">
      <c r="A68" s="82"/>
      <c r="B68" s="82"/>
      <c r="C68" s="82"/>
      <c r="D68" s="82"/>
      <c r="E68" s="82"/>
      <c r="F68" s="82"/>
      <c r="G68" s="82"/>
      <c r="H68" s="82"/>
      <c r="I68" s="82"/>
      <c r="J68" s="82"/>
      <c r="K68" s="82"/>
      <c r="L68" s="82"/>
      <c r="M68" s="82"/>
      <c r="N68" s="82"/>
    </row>
    <row r="69" spans="1:14" customFormat="1" x14ac:dyDescent="0.25">
      <c r="A69" s="82"/>
      <c r="B69" s="82"/>
      <c r="C69" s="82"/>
      <c r="D69" s="82"/>
      <c r="E69" s="82"/>
      <c r="F69" s="82"/>
      <c r="G69" s="82"/>
      <c r="H69" s="82"/>
      <c r="I69" s="82"/>
      <c r="J69" s="82"/>
      <c r="K69" s="82"/>
      <c r="L69" s="82"/>
      <c r="M69" s="82"/>
      <c r="N69" s="82"/>
    </row>
    <row r="70" spans="1:14" customFormat="1" x14ac:dyDescent="0.25">
      <c r="A70" s="82"/>
      <c r="B70" s="82"/>
      <c r="C70" s="82"/>
      <c r="D70" s="82"/>
      <c r="E70" s="82"/>
      <c r="F70" s="82"/>
      <c r="G70" s="82"/>
      <c r="H70" s="82"/>
      <c r="I70" s="82"/>
      <c r="J70" s="82"/>
      <c r="K70" s="82"/>
      <c r="L70" s="82"/>
      <c r="M70" s="82"/>
      <c r="N70" s="82"/>
    </row>
    <row r="71" spans="1:14" customFormat="1" x14ac:dyDescent="0.25">
      <c r="A71" s="82"/>
      <c r="B71" s="82"/>
      <c r="C71" s="82"/>
      <c r="D71" s="82"/>
      <c r="E71" s="82"/>
      <c r="F71" s="82"/>
      <c r="G71" s="82"/>
      <c r="H71" s="82"/>
      <c r="I71" s="82"/>
      <c r="J71" s="82"/>
      <c r="K71" s="82"/>
      <c r="L71" s="82"/>
      <c r="M71" s="82"/>
      <c r="N71" s="82"/>
    </row>
    <row r="72" spans="1:14" customFormat="1" x14ac:dyDescent="0.25">
      <c r="A72" s="82"/>
      <c r="B72" s="82"/>
      <c r="C72" s="82"/>
      <c r="D72" s="82"/>
      <c r="E72" s="82"/>
      <c r="F72" s="82"/>
      <c r="G72" s="82"/>
      <c r="H72" s="82"/>
      <c r="I72" s="82"/>
      <c r="J72" s="82"/>
      <c r="K72" s="82"/>
      <c r="L72" s="82"/>
      <c r="M72" s="82"/>
      <c r="N72" s="82"/>
    </row>
    <row r="73" spans="1:14" customFormat="1" x14ac:dyDescent="0.25">
      <c r="A73" s="82"/>
      <c r="B73" s="82"/>
      <c r="C73" s="82"/>
      <c r="D73" s="82"/>
      <c r="E73" s="82"/>
      <c r="F73" s="82"/>
      <c r="G73" s="82"/>
      <c r="H73" s="82"/>
      <c r="I73" s="82"/>
      <c r="J73" s="82"/>
      <c r="K73" s="82"/>
      <c r="L73" s="82"/>
      <c r="M73" s="82"/>
      <c r="N73" s="82"/>
    </row>
    <row r="74" spans="1:14" customFormat="1" x14ac:dyDescent="0.25">
      <c r="A74" s="82"/>
      <c r="B74" s="82"/>
      <c r="C74" s="82"/>
      <c r="D74" s="82"/>
      <c r="E74" s="82"/>
      <c r="F74" s="82"/>
      <c r="G74" s="82"/>
      <c r="H74" s="82"/>
      <c r="I74" s="82"/>
      <c r="J74" s="82"/>
      <c r="K74" s="82"/>
      <c r="L74" s="82"/>
      <c r="M74" s="82"/>
      <c r="N74" s="82"/>
    </row>
    <row r="75" spans="1:14" customFormat="1" x14ac:dyDescent="0.25">
      <c r="A75" s="82"/>
      <c r="B75" s="82"/>
      <c r="C75" s="82"/>
      <c r="D75" s="82"/>
      <c r="E75" s="82"/>
      <c r="F75" s="82"/>
      <c r="G75" s="82"/>
      <c r="H75" s="82"/>
      <c r="I75" s="82"/>
      <c r="J75" s="82"/>
      <c r="K75" s="82"/>
      <c r="L75" s="82"/>
      <c r="M75" s="82"/>
      <c r="N75" s="82"/>
    </row>
    <row r="76" spans="1:14" customFormat="1" x14ac:dyDescent="0.25">
      <c r="A76" s="82"/>
      <c r="B76" s="82"/>
      <c r="C76" s="82"/>
      <c r="D76" s="82"/>
      <c r="E76" s="82"/>
      <c r="F76" s="82"/>
      <c r="G76" s="82"/>
      <c r="H76" s="82"/>
      <c r="I76" s="82"/>
      <c r="J76" s="82"/>
      <c r="K76" s="82"/>
      <c r="L76" s="82"/>
      <c r="M76" s="82"/>
      <c r="N76" s="82"/>
    </row>
    <row r="77" spans="1:14" customFormat="1" x14ac:dyDescent="0.25">
      <c r="A77" s="82"/>
      <c r="B77" s="82"/>
      <c r="C77" s="82"/>
      <c r="D77" s="82"/>
      <c r="E77" s="82"/>
      <c r="F77" s="82"/>
      <c r="G77" s="82"/>
      <c r="H77" s="82"/>
      <c r="I77" s="82"/>
      <c r="J77" s="82"/>
      <c r="K77" s="82"/>
      <c r="L77" s="82"/>
      <c r="M77" s="82"/>
      <c r="N77" s="82"/>
    </row>
    <row r="78" spans="1:14" customFormat="1" x14ac:dyDescent="0.25">
      <c r="A78" s="82"/>
      <c r="B78" s="82"/>
      <c r="C78" s="82"/>
      <c r="D78" s="82"/>
      <c r="E78" s="82"/>
      <c r="F78" s="82"/>
      <c r="G78" s="82"/>
      <c r="H78" s="82"/>
      <c r="I78" s="82"/>
      <c r="J78" s="82"/>
      <c r="K78" s="82"/>
      <c r="L78" s="82"/>
      <c r="M78" s="82"/>
      <c r="N78" s="82"/>
    </row>
    <row r="79" spans="1:14" customFormat="1" x14ac:dyDescent="0.25">
      <c r="A79" s="82"/>
      <c r="B79" s="82"/>
      <c r="C79" s="82"/>
      <c r="D79" s="82"/>
      <c r="E79" s="82"/>
      <c r="F79" s="82"/>
      <c r="G79" s="82"/>
      <c r="H79" s="82"/>
      <c r="I79" s="82"/>
      <c r="J79" s="82"/>
      <c r="K79" s="82"/>
      <c r="L79" s="82"/>
      <c r="M79" s="82"/>
      <c r="N79" s="82"/>
    </row>
    <row r="80" spans="1:14" customFormat="1" x14ac:dyDescent="0.25">
      <c r="A80" s="82"/>
      <c r="B80" s="82"/>
      <c r="C80" s="82"/>
      <c r="D80" s="82"/>
      <c r="E80" s="82"/>
      <c r="F80" s="82"/>
      <c r="G80" s="82"/>
      <c r="H80" s="82"/>
      <c r="I80" s="82"/>
      <c r="J80" s="82"/>
      <c r="K80" s="82"/>
      <c r="L80" s="82"/>
      <c r="M80" s="82"/>
      <c r="N80" s="82"/>
    </row>
    <row r="81" spans="1:14" customFormat="1" x14ac:dyDescent="0.25">
      <c r="A81" s="82"/>
      <c r="B81" s="82"/>
      <c r="C81" s="82"/>
      <c r="D81" s="82"/>
      <c r="E81" s="82"/>
      <c r="F81" s="82"/>
      <c r="G81" s="82"/>
      <c r="H81" s="82"/>
      <c r="I81" s="82"/>
      <c r="J81" s="82"/>
      <c r="K81" s="82"/>
      <c r="L81" s="82"/>
      <c r="M81" s="82"/>
      <c r="N81" s="82"/>
    </row>
    <row r="82" spans="1:14" customFormat="1" x14ac:dyDescent="0.25">
      <c r="A82" s="82"/>
      <c r="B82" s="82"/>
      <c r="C82" s="82"/>
      <c r="D82" s="82"/>
      <c r="E82" s="82"/>
      <c r="F82" s="82"/>
      <c r="G82" s="82"/>
      <c r="H82" s="82"/>
      <c r="I82" s="82"/>
      <c r="J82" s="82"/>
      <c r="K82" s="82"/>
      <c r="L82" s="82"/>
      <c r="M82" s="82"/>
      <c r="N82" s="82"/>
    </row>
    <row r="83" spans="1:14" customFormat="1" x14ac:dyDescent="0.25">
      <c r="A83" s="82"/>
      <c r="B83" s="82"/>
      <c r="C83" s="82"/>
      <c r="D83" s="82"/>
      <c r="E83" s="82"/>
      <c r="F83" s="82"/>
      <c r="G83" s="82"/>
      <c r="H83" s="82"/>
      <c r="I83" s="82"/>
      <c r="J83" s="82"/>
      <c r="K83" s="82"/>
      <c r="L83" s="82"/>
      <c r="M83" s="82"/>
      <c r="N83" s="82"/>
    </row>
    <row r="84" spans="1:14" customFormat="1" x14ac:dyDescent="0.25">
      <c r="A84" s="82"/>
      <c r="B84" s="82"/>
      <c r="C84" s="82"/>
      <c r="D84" s="82"/>
      <c r="E84" s="82"/>
      <c r="F84" s="82"/>
      <c r="G84" s="82"/>
      <c r="H84" s="82"/>
      <c r="I84" s="82"/>
      <c r="J84" s="82"/>
      <c r="K84" s="82"/>
      <c r="L84" s="82"/>
      <c r="M84" s="82"/>
      <c r="N84" s="82"/>
    </row>
    <row r="85" spans="1:14" customFormat="1" x14ac:dyDescent="0.25">
      <c r="A85" s="82"/>
      <c r="B85" s="82"/>
      <c r="C85" s="82"/>
      <c r="D85" s="82"/>
      <c r="E85" s="82"/>
      <c r="F85" s="82"/>
      <c r="G85" s="82"/>
      <c r="H85" s="82"/>
      <c r="I85" s="82"/>
      <c r="J85" s="82"/>
      <c r="K85" s="82"/>
      <c r="L85" s="82"/>
      <c r="M85" s="82"/>
      <c r="N85" s="82"/>
    </row>
    <row r="86" spans="1:14" customFormat="1" x14ac:dyDescent="0.25">
      <c r="A86" s="82"/>
      <c r="B86" s="82"/>
      <c r="C86" s="82"/>
      <c r="D86" s="82"/>
      <c r="E86" s="82"/>
      <c r="F86" s="82"/>
      <c r="G86" s="82"/>
      <c r="H86" s="82"/>
      <c r="I86" s="82"/>
      <c r="J86" s="82"/>
      <c r="K86" s="82"/>
      <c r="L86" s="82"/>
      <c r="M86" s="82"/>
      <c r="N86" s="82"/>
    </row>
    <row r="87" spans="1:14" customFormat="1" x14ac:dyDescent="0.25">
      <c r="A87" s="82"/>
      <c r="B87" s="82"/>
      <c r="C87" s="82"/>
      <c r="D87" s="82"/>
      <c r="E87" s="82"/>
      <c r="F87" s="82"/>
      <c r="G87" s="82"/>
      <c r="H87" s="82"/>
      <c r="I87" s="82"/>
      <c r="J87" s="82"/>
      <c r="K87" s="82"/>
      <c r="L87" s="82"/>
      <c r="M87" s="82"/>
      <c r="N87" s="82"/>
    </row>
    <row r="88" spans="1:14" customFormat="1" x14ac:dyDescent="0.25">
      <c r="A88" s="82"/>
      <c r="B88" s="82"/>
      <c r="C88" s="82"/>
      <c r="D88" s="82"/>
      <c r="E88" s="82"/>
      <c r="F88" s="82"/>
      <c r="G88" s="82"/>
      <c r="H88" s="82"/>
      <c r="I88" s="82"/>
      <c r="J88" s="82"/>
      <c r="K88" s="82"/>
      <c r="L88" s="82"/>
      <c r="M88" s="82"/>
      <c r="N88" s="82"/>
    </row>
    <row r="89" spans="1:14" customFormat="1" x14ac:dyDescent="0.25">
      <c r="A89" s="82"/>
      <c r="B89" s="82"/>
      <c r="C89" s="82"/>
      <c r="D89" s="82"/>
      <c r="E89" s="82"/>
      <c r="F89" s="82"/>
      <c r="G89" s="82"/>
      <c r="H89" s="82"/>
      <c r="I89" s="82"/>
      <c r="J89" s="82"/>
      <c r="K89" s="82"/>
      <c r="L89" s="82"/>
      <c r="M89" s="82"/>
      <c r="N89" s="82"/>
    </row>
    <row r="90" spans="1:14" customFormat="1" x14ac:dyDescent="0.25">
      <c r="A90" s="82"/>
      <c r="B90" s="82"/>
      <c r="C90" s="82"/>
      <c r="D90" s="82"/>
      <c r="E90" s="82"/>
      <c r="F90" s="82"/>
      <c r="G90" s="82"/>
      <c r="H90" s="82"/>
      <c r="I90" s="82"/>
      <c r="J90" s="82"/>
      <c r="K90" s="82"/>
      <c r="L90" s="82"/>
      <c r="M90" s="82"/>
      <c r="N90" s="82"/>
    </row>
    <row r="91" spans="1:14" customFormat="1" x14ac:dyDescent="0.25">
      <c r="A91" s="82"/>
      <c r="B91" s="82"/>
      <c r="C91" s="82"/>
      <c r="D91" s="82"/>
      <c r="E91" s="82"/>
      <c r="F91" s="82"/>
      <c r="G91" s="82"/>
      <c r="H91" s="82"/>
      <c r="I91" s="82"/>
      <c r="J91" s="82"/>
      <c r="K91" s="82"/>
      <c r="L91" s="82"/>
      <c r="M91" s="82"/>
      <c r="N91" s="82"/>
    </row>
    <row r="92" spans="1:14" customFormat="1" x14ac:dyDescent="0.25">
      <c r="A92" s="82"/>
      <c r="B92" s="82"/>
      <c r="C92" s="82"/>
      <c r="D92" s="82"/>
      <c r="E92" s="82"/>
      <c r="F92" s="82"/>
      <c r="G92" s="82"/>
      <c r="H92" s="82"/>
      <c r="I92" s="82"/>
      <c r="J92" s="82"/>
      <c r="K92" s="82"/>
      <c r="L92" s="82"/>
      <c r="M92" s="82"/>
      <c r="N92" s="82"/>
    </row>
    <row r="93" spans="1:14" customFormat="1" x14ac:dyDescent="0.25">
      <c r="A93" s="82"/>
      <c r="B93" s="82"/>
      <c r="C93" s="82"/>
      <c r="D93" s="82"/>
      <c r="E93" s="82"/>
      <c r="F93" s="82"/>
      <c r="G93" s="82"/>
      <c r="H93" s="82"/>
      <c r="I93" s="82"/>
      <c r="J93" s="82"/>
      <c r="K93" s="82"/>
      <c r="L93" s="82"/>
      <c r="M93" s="82"/>
      <c r="N93" s="82"/>
    </row>
    <row r="94" spans="1:14" customFormat="1" x14ac:dyDescent="0.25">
      <c r="A94" s="82"/>
      <c r="B94" s="82"/>
      <c r="C94" s="82"/>
      <c r="D94" s="82"/>
      <c r="E94" s="82"/>
      <c r="F94" s="82"/>
      <c r="G94" s="82"/>
      <c r="H94" s="82"/>
      <c r="I94" s="82"/>
      <c r="J94" s="82"/>
      <c r="K94" s="82"/>
      <c r="L94" s="82"/>
      <c r="M94" s="82"/>
      <c r="N94" s="82"/>
    </row>
    <row r="95" spans="1:14" customFormat="1" x14ac:dyDescent="0.25">
      <c r="A95" s="82"/>
      <c r="B95" s="82"/>
      <c r="C95" s="82"/>
      <c r="D95" s="82"/>
      <c r="E95" s="82"/>
      <c r="F95" s="82"/>
      <c r="G95" s="82"/>
      <c r="H95" s="82"/>
      <c r="I95" s="82"/>
      <c r="J95" s="82"/>
      <c r="K95" s="82"/>
      <c r="L95" s="82"/>
      <c r="M95" s="82"/>
      <c r="N95" s="82"/>
    </row>
    <row r="96" spans="1:14" customFormat="1" x14ac:dyDescent="0.25">
      <c r="A96" s="82"/>
      <c r="B96" s="82"/>
      <c r="C96" s="82"/>
      <c r="D96" s="82"/>
      <c r="E96" s="82"/>
      <c r="F96" s="82"/>
      <c r="G96" s="82"/>
      <c r="H96" s="82"/>
      <c r="I96" s="82"/>
      <c r="J96" s="82"/>
      <c r="K96" s="82"/>
      <c r="L96" s="82"/>
      <c r="M96" s="82"/>
      <c r="N96" s="82"/>
    </row>
    <row r="97" spans="1:14" customFormat="1" x14ac:dyDescent="0.25">
      <c r="A97" s="82"/>
      <c r="B97" s="82"/>
      <c r="C97" s="82"/>
      <c r="D97" s="82"/>
      <c r="E97" s="82"/>
      <c r="F97" s="82"/>
      <c r="G97" s="82"/>
      <c r="H97" s="82"/>
      <c r="I97" s="82"/>
      <c r="J97" s="82"/>
      <c r="K97" s="82"/>
      <c r="L97" s="82"/>
      <c r="M97" s="82"/>
      <c r="N97" s="82"/>
    </row>
    <row r="98" spans="1:14" customFormat="1" x14ac:dyDescent="0.25">
      <c r="A98" s="82"/>
      <c r="B98" s="82"/>
      <c r="C98" s="82"/>
      <c r="D98" s="82"/>
      <c r="E98" s="82"/>
      <c r="F98" s="82"/>
      <c r="G98" s="82"/>
      <c r="H98" s="82"/>
      <c r="I98" s="82"/>
      <c r="J98" s="82"/>
      <c r="K98" s="82"/>
      <c r="L98" s="82"/>
      <c r="M98" s="82"/>
      <c r="N98" s="82"/>
    </row>
    <row r="99" spans="1:14" customFormat="1" x14ac:dyDescent="0.25">
      <c r="A99" s="82"/>
      <c r="B99" s="82"/>
      <c r="C99" s="82"/>
      <c r="D99" s="82"/>
      <c r="E99" s="82"/>
      <c r="F99" s="82"/>
      <c r="G99" s="82"/>
      <c r="H99" s="82"/>
      <c r="I99" s="82"/>
      <c r="J99" s="82"/>
      <c r="K99" s="82"/>
      <c r="L99" s="82"/>
      <c r="M99" s="82"/>
      <c r="N99" s="82"/>
    </row>
    <row r="100" spans="1:14" customFormat="1" x14ac:dyDescent="0.25">
      <c r="A100" s="82"/>
      <c r="B100" s="82"/>
      <c r="C100" s="82"/>
      <c r="D100" s="82"/>
      <c r="E100" s="82"/>
      <c r="F100" s="82"/>
      <c r="G100" s="82"/>
      <c r="H100" s="82"/>
      <c r="I100" s="82"/>
      <c r="J100" s="82"/>
      <c r="K100" s="82"/>
      <c r="L100" s="82"/>
      <c r="M100" s="82"/>
      <c r="N100" s="82"/>
    </row>
    <row r="101" spans="1:14" customFormat="1" x14ac:dyDescent="0.25">
      <c r="A101" s="82"/>
      <c r="B101" s="82"/>
      <c r="C101" s="82"/>
      <c r="D101" s="82"/>
      <c r="E101" s="82"/>
      <c r="F101" s="82"/>
      <c r="G101" s="82"/>
      <c r="H101" s="82"/>
      <c r="I101" s="82"/>
      <c r="J101" s="82"/>
      <c r="K101" s="82"/>
      <c r="L101" s="82"/>
      <c r="M101" s="82"/>
      <c r="N101" s="82"/>
    </row>
    <row r="102" spans="1:14" customFormat="1" x14ac:dyDescent="0.25">
      <c r="A102" s="82"/>
      <c r="B102" s="82"/>
      <c r="C102" s="82"/>
      <c r="D102" s="82"/>
      <c r="E102" s="82"/>
      <c r="F102" s="82"/>
      <c r="G102" s="82"/>
      <c r="H102" s="82"/>
      <c r="I102" s="82"/>
      <c r="J102" s="82"/>
      <c r="K102" s="82"/>
      <c r="L102" s="82"/>
      <c r="M102" s="82"/>
      <c r="N102" s="82"/>
    </row>
    <row r="103" spans="1:14" customFormat="1" x14ac:dyDescent="0.25">
      <c r="A103" s="82"/>
      <c r="B103" s="82"/>
      <c r="C103" s="82"/>
      <c r="D103" s="82"/>
      <c r="E103" s="82"/>
      <c r="F103" s="82"/>
      <c r="G103" s="82"/>
      <c r="H103" s="82"/>
      <c r="I103" s="82"/>
      <c r="J103" s="82"/>
      <c r="K103" s="82"/>
      <c r="L103" s="82"/>
      <c r="M103" s="82"/>
      <c r="N103" s="82"/>
    </row>
    <row r="104" spans="1:14" customFormat="1" x14ac:dyDescent="0.25">
      <c r="A104" s="82"/>
      <c r="B104" s="82"/>
      <c r="C104" s="82"/>
      <c r="D104" s="82"/>
      <c r="E104" s="82"/>
      <c r="F104" s="82"/>
      <c r="G104" s="82"/>
      <c r="H104" s="82"/>
      <c r="I104" s="82"/>
      <c r="J104" s="82"/>
      <c r="K104" s="82"/>
      <c r="L104" s="82"/>
      <c r="M104" s="82"/>
      <c r="N104" s="82"/>
    </row>
    <row r="105" spans="1:14" customFormat="1" x14ac:dyDescent="0.25">
      <c r="A105" s="82"/>
      <c r="B105" s="82"/>
      <c r="C105" s="82"/>
      <c r="D105" s="82"/>
      <c r="E105" s="82"/>
      <c r="F105" s="82"/>
      <c r="G105" s="82"/>
      <c r="H105" s="82"/>
      <c r="I105" s="82"/>
      <c r="J105" s="82"/>
      <c r="K105" s="82"/>
      <c r="L105" s="82"/>
      <c r="M105" s="82"/>
      <c r="N105" s="82"/>
    </row>
    <row r="106" spans="1:14" customFormat="1" x14ac:dyDescent="0.25">
      <c r="A106" s="82"/>
      <c r="B106" s="82"/>
      <c r="C106" s="82"/>
      <c r="D106" s="82"/>
      <c r="E106" s="82"/>
      <c r="F106" s="82"/>
      <c r="G106" s="82"/>
      <c r="H106" s="82"/>
      <c r="I106" s="82"/>
      <c r="J106" s="82"/>
      <c r="K106" s="82"/>
      <c r="L106" s="82"/>
      <c r="M106" s="82"/>
      <c r="N106" s="82"/>
    </row>
    <row r="107" spans="1:14" customFormat="1" x14ac:dyDescent="0.25">
      <c r="A107" s="82"/>
      <c r="B107" s="82"/>
      <c r="C107" s="82"/>
      <c r="D107" s="82"/>
      <c r="E107" s="82"/>
      <c r="F107" s="82"/>
      <c r="G107" s="82"/>
      <c r="H107" s="82"/>
      <c r="I107" s="82"/>
      <c r="J107" s="82"/>
      <c r="K107" s="82"/>
      <c r="L107" s="82"/>
      <c r="M107" s="82"/>
      <c r="N107" s="82"/>
    </row>
    <row r="108" spans="1:14" customFormat="1" x14ac:dyDescent="0.25">
      <c r="A108" s="82"/>
      <c r="B108" s="82"/>
      <c r="C108" s="82"/>
      <c r="D108" s="82"/>
      <c r="E108" s="82"/>
      <c r="F108" s="82"/>
      <c r="G108" s="82"/>
      <c r="H108" s="82"/>
      <c r="I108" s="82"/>
      <c r="J108" s="82"/>
      <c r="K108" s="82"/>
      <c r="L108" s="82"/>
      <c r="M108" s="82"/>
      <c r="N108" s="82"/>
    </row>
    <row r="109" spans="1:14" customFormat="1" x14ac:dyDescent="0.25">
      <c r="A109" s="82"/>
      <c r="B109" s="82"/>
      <c r="C109" s="82"/>
      <c r="D109" s="82"/>
      <c r="E109" s="82"/>
      <c r="F109" s="82"/>
      <c r="G109" s="82"/>
      <c r="H109" s="82"/>
      <c r="I109" s="82"/>
      <c r="J109" s="82"/>
      <c r="K109" s="82"/>
      <c r="L109" s="82"/>
      <c r="M109" s="82"/>
      <c r="N109" s="82"/>
    </row>
    <row r="110" spans="1:14" customFormat="1" x14ac:dyDescent="0.25">
      <c r="A110" s="82"/>
      <c r="B110" s="82"/>
      <c r="C110" s="82"/>
      <c r="D110" s="82"/>
      <c r="E110" s="82"/>
      <c r="F110" s="82"/>
      <c r="G110" s="82"/>
      <c r="H110" s="82"/>
      <c r="I110" s="82"/>
      <c r="J110" s="82"/>
      <c r="K110" s="82"/>
      <c r="L110" s="82"/>
      <c r="M110" s="82"/>
      <c r="N110" s="82"/>
    </row>
    <row r="111" spans="1:14" customFormat="1" x14ac:dyDescent="0.25">
      <c r="A111" s="82"/>
      <c r="B111" s="82"/>
      <c r="C111" s="82"/>
      <c r="D111" s="82"/>
      <c r="E111" s="82"/>
      <c r="F111" s="82"/>
      <c r="G111" s="82"/>
      <c r="H111" s="82"/>
      <c r="I111" s="82"/>
      <c r="J111" s="82"/>
      <c r="K111" s="82"/>
      <c r="L111" s="82"/>
      <c r="M111" s="82"/>
      <c r="N111" s="82"/>
    </row>
    <row r="112" spans="1:14" customFormat="1" x14ac:dyDescent="0.25">
      <c r="A112" s="82"/>
      <c r="B112" s="82"/>
      <c r="C112" s="82"/>
      <c r="D112" s="82"/>
      <c r="E112" s="82"/>
      <c r="F112" s="82"/>
      <c r="G112" s="82"/>
      <c r="H112" s="82"/>
      <c r="I112" s="82"/>
      <c r="J112" s="82"/>
      <c r="K112" s="82"/>
      <c r="L112" s="82"/>
      <c r="M112" s="82"/>
      <c r="N112" s="82"/>
    </row>
    <row r="113" spans="1:14" customFormat="1" x14ac:dyDescent="0.25">
      <c r="A113" s="82"/>
      <c r="B113" s="82"/>
      <c r="C113" s="82"/>
      <c r="D113" s="82"/>
      <c r="E113" s="82"/>
      <c r="F113" s="82"/>
      <c r="G113" s="82"/>
      <c r="H113" s="82"/>
      <c r="I113" s="82"/>
      <c r="J113" s="82"/>
      <c r="K113" s="82"/>
      <c r="L113" s="82"/>
      <c r="M113" s="82"/>
      <c r="N113" s="82"/>
    </row>
    <row r="114" spans="1:14" customFormat="1" x14ac:dyDescent="0.25">
      <c r="A114" s="82"/>
      <c r="B114" s="82"/>
      <c r="C114" s="82"/>
      <c r="D114" s="82"/>
      <c r="E114" s="82"/>
      <c r="F114" s="82"/>
      <c r="G114" s="82"/>
      <c r="H114" s="82"/>
      <c r="I114" s="82"/>
      <c r="J114" s="82"/>
      <c r="K114" s="82"/>
      <c r="L114" s="82"/>
      <c r="M114" s="82"/>
      <c r="N114" s="82"/>
    </row>
    <row r="115" spans="1:14" customFormat="1" x14ac:dyDescent="0.25">
      <c r="A115" s="82"/>
      <c r="B115" s="82"/>
      <c r="C115" s="82"/>
      <c r="D115" s="82"/>
      <c r="E115" s="82"/>
      <c r="F115" s="82"/>
      <c r="G115" s="82"/>
      <c r="H115" s="82"/>
      <c r="I115" s="82"/>
      <c r="J115" s="82"/>
      <c r="K115" s="82"/>
      <c r="L115" s="82"/>
      <c r="M115" s="82"/>
      <c r="N115" s="82"/>
    </row>
    <row r="116" spans="1:14" customFormat="1" x14ac:dyDescent="0.25">
      <c r="A116" s="82"/>
      <c r="B116" s="82"/>
      <c r="C116" s="82"/>
      <c r="D116" s="82"/>
      <c r="E116" s="82"/>
      <c r="F116" s="82"/>
      <c r="G116" s="82"/>
      <c r="H116" s="82"/>
      <c r="I116" s="82"/>
      <c r="J116" s="82"/>
      <c r="K116" s="82"/>
      <c r="L116" s="82"/>
      <c r="M116" s="82"/>
      <c r="N116" s="82"/>
    </row>
    <row r="117" spans="1:14" customFormat="1" x14ac:dyDescent="0.25">
      <c r="A117" s="82"/>
      <c r="B117" s="82"/>
      <c r="C117" s="82"/>
      <c r="D117" s="82"/>
      <c r="E117" s="82"/>
      <c r="F117" s="82"/>
      <c r="G117" s="82"/>
      <c r="H117" s="82"/>
      <c r="I117" s="82"/>
      <c r="J117" s="82"/>
      <c r="K117" s="82"/>
      <c r="L117" s="82"/>
      <c r="M117" s="82"/>
      <c r="N117" s="82"/>
    </row>
    <row r="118" spans="1:14" customFormat="1" x14ac:dyDescent="0.25">
      <c r="A118" s="82"/>
      <c r="B118" s="82"/>
      <c r="C118" s="82"/>
      <c r="D118" s="82"/>
      <c r="E118" s="82"/>
      <c r="F118" s="82"/>
      <c r="G118" s="82"/>
      <c r="H118" s="82"/>
      <c r="I118" s="82"/>
      <c r="J118" s="82"/>
      <c r="K118" s="82"/>
      <c r="L118" s="82"/>
      <c r="M118" s="82"/>
      <c r="N118" s="82"/>
    </row>
    <row r="119" spans="1:14" customFormat="1" x14ac:dyDescent="0.25">
      <c r="A119" s="82"/>
      <c r="B119" s="82"/>
      <c r="C119" s="82"/>
      <c r="D119" s="82"/>
      <c r="E119" s="82"/>
      <c r="F119" s="82"/>
      <c r="G119" s="82"/>
      <c r="H119" s="82"/>
      <c r="I119" s="82"/>
      <c r="J119" s="82"/>
      <c r="K119" s="82"/>
      <c r="L119" s="82"/>
      <c r="M119" s="82"/>
      <c r="N119" s="82"/>
    </row>
    <row r="120" spans="1:14" customFormat="1" x14ac:dyDescent="0.25">
      <c r="A120" s="82"/>
      <c r="B120" s="82"/>
      <c r="C120" s="82"/>
      <c r="D120" s="82"/>
      <c r="E120" s="82"/>
      <c r="F120" s="82"/>
      <c r="G120" s="82"/>
      <c r="H120" s="82"/>
      <c r="I120" s="82"/>
      <c r="J120" s="82"/>
      <c r="K120" s="82"/>
      <c r="L120" s="82"/>
      <c r="M120" s="82"/>
      <c r="N120" s="82"/>
    </row>
    <row r="121" spans="1:14" customFormat="1" x14ac:dyDescent="0.25">
      <c r="A121" s="82"/>
      <c r="B121" s="82"/>
      <c r="C121" s="82"/>
      <c r="D121" s="82"/>
      <c r="E121" s="82"/>
      <c r="F121" s="82"/>
      <c r="G121" s="82"/>
      <c r="H121" s="82"/>
      <c r="I121" s="82"/>
      <c r="J121" s="82"/>
      <c r="K121" s="82"/>
      <c r="L121" s="82"/>
      <c r="M121" s="82"/>
      <c r="N121" s="82"/>
    </row>
    <row r="122" spans="1:14" customFormat="1" x14ac:dyDescent="0.25">
      <c r="A122" s="82"/>
      <c r="B122" s="82"/>
      <c r="C122" s="82"/>
      <c r="D122" s="82"/>
      <c r="E122" s="82"/>
      <c r="F122" s="82"/>
      <c r="G122" s="82"/>
      <c r="H122" s="82"/>
      <c r="I122" s="82"/>
      <c r="J122" s="82"/>
      <c r="K122" s="82"/>
      <c r="L122" s="82"/>
      <c r="M122" s="82"/>
      <c r="N122" s="82"/>
    </row>
    <row r="123" spans="1:14" customFormat="1" x14ac:dyDescent="0.25">
      <c r="A123" s="82"/>
      <c r="B123" s="82"/>
      <c r="C123" s="82"/>
      <c r="D123" s="82"/>
      <c r="E123" s="82"/>
      <c r="F123" s="82"/>
      <c r="G123" s="82"/>
      <c r="H123" s="82"/>
      <c r="I123" s="82"/>
      <c r="J123" s="82"/>
      <c r="K123" s="82"/>
      <c r="L123" s="82"/>
      <c r="M123" s="82"/>
      <c r="N123" s="82"/>
    </row>
    <row r="124" spans="1:14" customFormat="1" x14ac:dyDescent="0.25">
      <c r="A124" s="82"/>
      <c r="B124" s="82"/>
      <c r="C124" s="82"/>
      <c r="D124" s="82"/>
      <c r="E124" s="82"/>
      <c r="F124" s="82"/>
      <c r="G124" s="82"/>
      <c r="H124" s="82"/>
      <c r="I124" s="82"/>
      <c r="J124" s="82"/>
      <c r="K124" s="82"/>
      <c r="L124" s="82"/>
      <c r="M124" s="82"/>
      <c r="N124" s="82"/>
    </row>
    <row r="125" spans="1:14" customFormat="1" x14ac:dyDescent="0.25">
      <c r="A125" s="82"/>
      <c r="B125" s="82"/>
      <c r="C125" s="82"/>
      <c r="D125" s="82"/>
      <c r="E125" s="82"/>
      <c r="F125" s="82"/>
      <c r="G125" s="82"/>
      <c r="H125" s="82"/>
      <c r="I125" s="82"/>
      <c r="J125" s="82"/>
      <c r="K125" s="82"/>
      <c r="L125" s="82"/>
      <c r="M125" s="82"/>
      <c r="N125" s="82"/>
    </row>
    <row r="126" spans="1:14" customFormat="1" x14ac:dyDescent="0.25">
      <c r="A126" s="82"/>
      <c r="B126" s="82"/>
      <c r="C126" s="82"/>
      <c r="D126" s="82"/>
      <c r="E126" s="82"/>
      <c r="F126" s="82"/>
      <c r="G126" s="82"/>
      <c r="H126" s="82"/>
      <c r="I126" s="82"/>
      <c r="J126" s="82"/>
      <c r="K126" s="82"/>
      <c r="L126" s="82"/>
      <c r="M126" s="82"/>
      <c r="N126" s="82"/>
    </row>
    <row r="127" spans="1:14" customFormat="1" x14ac:dyDescent="0.25">
      <c r="A127" s="82"/>
      <c r="B127" s="82"/>
      <c r="C127" s="82"/>
      <c r="D127" s="82"/>
      <c r="E127" s="82"/>
      <c r="F127" s="82"/>
      <c r="G127" s="82"/>
      <c r="H127" s="82"/>
      <c r="I127" s="82"/>
      <c r="J127" s="82"/>
      <c r="K127" s="82"/>
      <c r="L127" s="82"/>
      <c r="M127" s="82"/>
      <c r="N127" s="82"/>
    </row>
    <row r="128" spans="1:14" customFormat="1" x14ac:dyDescent="0.25">
      <c r="A128" s="82"/>
      <c r="B128" s="82"/>
      <c r="C128" s="82"/>
      <c r="D128" s="82"/>
      <c r="E128" s="82"/>
      <c r="F128" s="82"/>
      <c r="G128" s="82"/>
      <c r="H128" s="82"/>
      <c r="I128" s="82"/>
      <c r="J128" s="82"/>
      <c r="K128" s="82"/>
      <c r="L128" s="82"/>
      <c r="M128" s="82"/>
      <c r="N128" s="82"/>
    </row>
    <row r="129" spans="1:14" customFormat="1" x14ac:dyDescent="0.25">
      <c r="A129" s="82"/>
      <c r="B129" s="82"/>
      <c r="C129" s="82"/>
      <c r="D129" s="82"/>
      <c r="E129" s="82"/>
      <c r="F129" s="82"/>
      <c r="G129" s="82"/>
      <c r="H129" s="82"/>
      <c r="I129" s="82"/>
      <c r="J129" s="82"/>
      <c r="K129" s="82"/>
      <c r="L129" s="82"/>
      <c r="M129" s="82"/>
      <c r="N129" s="82"/>
    </row>
    <row r="130" spans="1:14" customFormat="1" x14ac:dyDescent="0.25">
      <c r="A130" s="82"/>
      <c r="B130" s="82"/>
      <c r="C130" s="82"/>
      <c r="D130" s="82"/>
      <c r="E130" s="82"/>
      <c r="F130" s="82"/>
      <c r="G130" s="82"/>
      <c r="H130" s="82"/>
      <c r="I130" s="82"/>
      <c r="J130" s="82"/>
      <c r="K130" s="82"/>
      <c r="L130" s="82"/>
      <c r="M130" s="82"/>
      <c r="N130" s="82"/>
    </row>
    <row r="131" spans="1:14" customFormat="1" x14ac:dyDescent="0.25">
      <c r="A131" s="82"/>
      <c r="B131" s="82"/>
      <c r="C131" s="82"/>
      <c r="D131" s="82"/>
      <c r="E131" s="82"/>
      <c r="F131" s="82"/>
      <c r="G131" s="82"/>
      <c r="H131" s="82"/>
      <c r="I131" s="82"/>
      <c r="J131" s="82"/>
      <c r="K131" s="82"/>
      <c r="L131" s="82"/>
      <c r="M131" s="82"/>
      <c r="N131" s="82"/>
    </row>
    <row r="132" spans="1:14" customFormat="1" x14ac:dyDescent="0.25">
      <c r="A132" s="82"/>
      <c r="B132" s="82"/>
      <c r="C132" s="82"/>
      <c r="D132" s="82"/>
      <c r="E132" s="82"/>
      <c r="F132" s="82"/>
      <c r="G132" s="82"/>
      <c r="H132" s="82"/>
      <c r="I132" s="82"/>
      <c r="J132" s="82"/>
      <c r="K132" s="82"/>
      <c r="L132" s="82"/>
      <c r="M132" s="82"/>
      <c r="N132" s="82"/>
    </row>
    <row r="133" spans="1:14" customFormat="1" x14ac:dyDescent="0.25">
      <c r="A133" s="82"/>
      <c r="B133" s="82"/>
      <c r="C133" s="82"/>
      <c r="D133" s="82"/>
      <c r="E133" s="82"/>
      <c r="F133" s="82"/>
      <c r="G133" s="82"/>
      <c r="H133" s="82"/>
      <c r="I133" s="82"/>
      <c r="J133" s="82"/>
      <c r="K133" s="82"/>
      <c r="L133" s="82"/>
      <c r="M133" s="82"/>
      <c r="N133" s="82"/>
    </row>
    <row r="134" spans="1:14" customFormat="1" x14ac:dyDescent="0.25">
      <c r="A134" s="82"/>
      <c r="B134" s="82"/>
      <c r="C134" s="82"/>
      <c r="D134" s="82"/>
      <c r="E134" s="82"/>
      <c r="F134" s="82"/>
      <c r="G134" s="82"/>
      <c r="H134" s="82"/>
      <c r="I134" s="82"/>
      <c r="J134" s="82"/>
      <c r="K134" s="82"/>
      <c r="L134" s="82"/>
      <c r="M134" s="82"/>
      <c r="N134" s="82"/>
    </row>
    <row r="135" spans="1:14" customFormat="1" x14ac:dyDescent="0.25">
      <c r="A135" s="82"/>
      <c r="B135" s="82"/>
      <c r="C135" s="82"/>
      <c r="D135" s="82"/>
      <c r="E135" s="82"/>
      <c r="F135" s="82"/>
      <c r="G135" s="82"/>
      <c r="H135" s="82"/>
      <c r="I135" s="82"/>
      <c r="J135" s="82"/>
      <c r="K135" s="82"/>
      <c r="L135" s="82"/>
      <c r="M135" s="82"/>
      <c r="N135" s="82"/>
    </row>
    <row r="136" spans="1:14" customFormat="1" x14ac:dyDescent="0.25">
      <c r="A136" s="82"/>
      <c r="B136" s="82"/>
      <c r="C136" s="82"/>
      <c r="D136" s="82"/>
      <c r="E136" s="82"/>
      <c r="F136" s="82"/>
      <c r="G136" s="82"/>
      <c r="H136" s="82"/>
      <c r="I136" s="82"/>
      <c r="J136" s="82"/>
      <c r="K136" s="82"/>
      <c r="L136" s="82"/>
      <c r="M136" s="82"/>
      <c r="N136" s="82"/>
    </row>
    <row r="137" spans="1:14" customFormat="1" x14ac:dyDescent="0.25">
      <c r="A137" s="82"/>
      <c r="B137" s="82"/>
      <c r="C137" s="82"/>
      <c r="D137" s="82"/>
      <c r="E137" s="82"/>
      <c r="F137" s="82"/>
      <c r="G137" s="82"/>
      <c r="H137" s="82"/>
      <c r="I137" s="82"/>
      <c r="J137" s="82"/>
      <c r="K137" s="82"/>
      <c r="L137" s="82"/>
      <c r="M137" s="82"/>
      <c r="N137" s="82"/>
    </row>
    <row r="138" spans="1:14" customFormat="1" x14ac:dyDescent="0.25">
      <c r="A138" s="82"/>
      <c r="B138" s="82"/>
      <c r="C138" s="82"/>
      <c r="D138" s="82"/>
      <c r="E138" s="82"/>
      <c r="F138" s="82"/>
      <c r="G138" s="82"/>
      <c r="H138" s="82"/>
      <c r="I138" s="82"/>
      <c r="J138" s="82"/>
      <c r="K138" s="82"/>
      <c r="L138" s="82"/>
      <c r="M138" s="82"/>
      <c r="N138" s="82"/>
    </row>
    <row r="139" spans="1:14" customFormat="1" x14ac:dyDescent="0.25">
      <c r="A139" s="82"/>
      <c r="B139" s="82"/>
      <c r="C139" s="82"/>
      <c r="D139" s="82"/>
      <c r="E139" s="82"/>
      <c r="F139" s="82"/>
      <c r="G139" s="82"/>
      <c r="H139" s="82"/>
      <c r="I139" s="82"/>
      <c r="J139" s="82"/>
      <c r="K139" s="82"/>
      <c r="L139" s="82"/>
      <c r="M139" s="82"/>
      <c r="N139" s="82"/>
    </row>
    <row r="140" spans="1:14" customFormat="1" x14ac:dyDescent="0.25">
      <c r="A140" s="82"/>
      <c r="B140" s="82"/>
      <c r="C140" s="82"/>
      <c r="D140" s="82"/>
      <c r="E140" s="82"/>
      <c r="F140" s="82"/>
      <c r="G140" s="82"/>
      <c r="H140" s="82"/>
      <c r="I140" s="82"/>
      <c r="J140" s="82"/>
      <c r="K140" s="82"/>
      <c r="L140" s="82"/>
      <c r="M140" s="82"/>
      <c r="N140" s="82"/>
    </row>
    <row r="141" spans="1:14" customFormat="1" x14ac:dyDescent="0.25">
      <c r="A141" s="82"/>
      <c r="B141" s="82"/>
      <c r="C141" s="82"/>
      <c r="D141" s="82"/>
      <c r="E141" s="82"/>
      <c r="F141" s="82"/>
      <c r="G141" s="82"/>
      <c r="H141" s="82"/>
      <c r="I141" s="82"/>
      <c r="J141" s="82"/>
      <c r="K141" s="82"/>
      <c r="L141" s="82"/>
      <c r="M141" s="82"/>
      <c r="N141" s="82"/>
    </row>
    <row r="142" spans="1:14" customFormat="1" x14ac:dyDescent="0.25">
      <c r="A142" s="82"/>
      <c r="B142" s="82"/>
      <c r="C142" s="82"/>
      <c r="D142" s="82"/>
      <c r="E142" s="82"/>
      <c r="F142" s="82"/>
      <c r="G142" s="82"/>
      <c r="H142" s="82"/>
      <c r="I142" s="82"/>
      <c r="J142" s="82"/>
      <c r="K142" s="82"/>
      <c r="L142" s="82"/>
      <c r="M142" s="82"/>
      <c r="N142" s="82"/>
    </row>
    <row r="143" spans="1:14" customFormat="1" x14ac:dyDescent="0.25">
      <c r="A143" s="82"/>
      <c r="B143" s="82"/>
      <c r="C143" s="82"/>
      <c r="D143" s="82"/>
      <c r="E143" s="82"/>
      <c r="F143" s="82"/>
      <c r="G143" s="82"/>
      <c r="H143" s="82"/>
      <c r="I143" s="82"/>
      <c r="J143" s="82"/>
      <c r="K143" s="82"/>
      <c r="L143" s="82"/>
      <c r="M143" s="82"/>
      <c r="N143" s="82"/>
    </row>
    <row r="144" spans="1:14" customFormat="1" x14ac:dyDescent="0.25">
      <c r="A144" s="82"/>
      <c r="B144" s="82"/>
      <c r="C144" s="82"/>
      <c r="D144" s="82"/>
      <c r="E144" s="82"/>
      <c r="F144" s="82"/>
      <c r="G144" s="82"/>
      <c r="H144" s="82"/>
      <c r="I144" s="82"/>
      <c r="J144" s="82"/>
      <c r="K144" s="82"/>
      <c r="L144" s="82"/>
      <c r="M144" s="82"/>
      <c r="N144" s="82"/>
    </row>
    <row r="145" spans="1:14" customFormat="1" x14ac:dyDescent="0.25">
      <c r="A145" s="82"/>
      <c r="B145" s="82"/>
      <c r="C145" s="82"/>
      <c r="D145" s="82"/>
      <c r="E145" s="82"/>
      <c r="F145" s="82"/>
      <c r="G145" s="82"/>
      <c r="H145" s="82"/>
      <c r="I145" s="82"/>
      <c r="J145" s="82"/>
      <c r="K145" s="82"/>
      <c r="L145" s="82"/>
      <c r="M145" s="82"/>
      <c r="N145" s="82"/>
    </row>
    <row r="146" spans="1:14" customFormat="1" x14ac:dyDescent="0.25">
      <c r="A146" s="82"/>
      <c r="B146" s="82"/>
      <c r="C146" s="82"/>
      <c r="D146" s="82"/>
      <c r="E146" s="82"/>
      <c r="F146" s="82"/>
      <c r="G146" s="82"/>
      <c r="H146" s="82"/>
      <c r="I146" s="82"/>
      <c r="J146" s="82"/>
      <c r="K146" s="82"/>
      <c r="L146" s="82"/>
      <c r="M146" s="82"/>
      <c r="N146" s="82"/>
    </row>
    <row r="147" spans="1:14" customFormat="1" x14ac:dyDescent="0.25">
      <c r="A147" s="82"/>
      <c r="B147" s="82"/>
      <c r="C147" s="82"/>
      <c r="D147" s="82"/>
      <c r="E147" s="82"/>
      <c r="F147" s="82"/>
      <c r="G147" s="82"/>
      <c r="H147" s="82"/>
      <c r="I147" s="82"/>
      <c r="J147" s="82"/>
      <c r="K147" s="82"/>
      <c r="L147" s="82"/>
      <c r="M147" s="82"/>
      <c r="N147" s="82"/>
    </row>
    <row r="148" spans="1:14" customFormat="1" x14ac:dyDescent="0.25">
      <c r="A148" s="82"/>
      <c r="B148" s="82"/>
      <c r="C148" s="82"/>
      <c r="D148" s="82"/>
      <c r="E148" s="82"/>
      <c r="F148" s="82"/>
      <c r="G148" s="82"/>
      <c r="H148" s="82"/>
      <c r="I148" s="82"/>
      <c r="J148" s="82"/>
      <c r="K148" s="82"/>
      <c r="L148" s="82"/>
      <c r="M148" s="82"/>
      <c r="N148" s="82"/>
    </row>
    <row r="149" spans="1:14" customFormat="1" x14ac:dyDescent="0.25">
      <c r="A149" s="82"/>
      <c r="B149" s="82"/>
      <c r="C149" s="82"/>
      <c r="D149" s="82"/>
      <c r="E149" s="82"/>
      <c r="F149" s="82"/>
      <c r="G149" s="82"/>
      <c r="H149" s="82"/>
      <c r="I149" s="82"/>
      <c r="J149" s="82"/>
      <c r="K149" s="82"/>
      <c r="L149" s="82"/>
      <c r="M149" s="82"/>
      <c r="N149" s="82"/>
    </row>
    <row r="150" spans="1:14" customFormat="1" x14ac:dyDescent="0.25">
      <c r="A150" s="82"/>
      <c r="B150" s="82"/>
      <c r="C150" s="82"/>
      <c r="D150" s="82"/>
      <c r="E150" s="82"/>
      <c r="F150" s="82"/>
      <c r="G150" s="82"/>
      <c r="H150" s="82"/>
      <c r="I150" s="82"/>
      <c r="J150" s="82"/>
      <c r="K150" s="82"/>
      <c r="L150" s="82"/>
      <c r="M150" s="82"/>
      <c r="N150" s="82"/>
    </row>
    <row r="151" spans="1:14" customFormat="1" x14ac:dyDescent="0.25">
      <c r="A151" s="82"/>
      <c r="B151" s="82"/>
      <c r="C151" s="82"/>
      <c r="D151" s="82"/>
      <c r="E151" s="82"/>
      <c r="F151" s="82"/>
      <c r="G151" s="82"/>
      <c r="H151" s="82"/>
      <c r="I151" s="82"/>
      <c r="J151" s="82"/>
      <c r="K151" s="82"/>
      <c r="L151" s="82"/>
      <c r="M151" s="82"/>
      <c r="N151" s="82"/>
    </row>
    <row r="152" spans="1:14" customFormat="1" x14ac:dyDescent="0.25">
      <c r="A152" s="82"/>
      <c r="B152" s="82"/>
      <c r="C152" s="82"/>
      <c r="D152" s="82"/>
      <c r="E152" s="82"/>
      <c r="F152" s="82"/>
      <c r="G152" s="82"/>
      <c r="H152" s="82"/>
      <c r="I152" s="82"/>
      <c r="J152" s="82"/>
      <c r="K152" s="82"/>
      <c r="L152" s="82"/>
      <c r="M152" s="82"/>
      <c r="N152" s="82"/>
    </row>
  </sheetData>
  <printOptions horizontalCentered="1"/>
  <pageMargins left="0.7" right="0.7" top="0.75" bottom="0.75" header="0.3" footer="0.3"/>
  <pageSetup scale="85" orientation="landscape" blackAndWhite="1" horizontalDpi="300" verticalDpi="300" r:id="rId1"/>
  <headerFooter>
    <oddFooter>&amp;L&amp;F
&amp;A&amp;C&amp;P&amp;R&amp;D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AECF9D527768241AD5A0852CBFBB79D" ma:contentTypeVersion="20" ma:contentTypeDescription="" ma:contentTypeScope="" ma:versionID="a05583bde2d061d9fb8fb295b8a59ba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2022-08-05T07:00:00+00:00</OpenedDate>
    <SignificantOrder xmlns="dc463f71-b30c-4ab2-9473-d307f9d35888">false</SignificantOrder>
    <Date1 xmlns="dc463f71-b30c-4ab2-9473-d307f9d35888">2022-08-05T07:00:00+00:00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220590</DocketNumber>
    <DelegatedOrder xmlns="dc463f71-b30c-4ab2-9473-d307f9d35888">false</DelegatedOrder>
  </documentManagement>
</p:properties>
</file>

<file path=customXml/itemProps1.xml><?xml version="1.0" encoding="utf-8"?>
<ds:datastoreItem xmlns:ds="http://schemas.openxmlformats.org/officeDocument/2006/customXml" ds:itemID="{67D33744-B641-4D16-8057-FB2115950E9E}">
  <ds:schemaRefs>
    <ds:schemaRef ds:uri="http://schemas.microsoft.com/PowerBIAddIn"/>
  </ds:schemaRefs>
</ds:datastoreItem>
</file>

<file path=customXml/itemProps2.xml><?xml version="1.0" encoding="utf-8"?>
<ds:datastoreItem xmlns:ds="http://schemas.openxmlformats.org/officeDocument/2006/customXml" ds:itemID="{339BE6E3-6F40-449F-B2BE-B1F6A3350262}"/>
</file>

<file path=customXml/itemProps3.xml><?xml version="1.0" encoding="utf-8"?>
<ds:datastoreItem xmlns:ds="http://schemas.openxmlformats.org/officeDocument/2006/customXml" ds:itemID="{C63D2A81-1FB5-41F0-A2CD-01058456B0DE}"/>
</file>

<file path=customXml/itemProps4.xml><?xml version="1.0" encoding="utf-8"?>
<ds:datastoreItem xmlns:ds="http://schemas.openxmlformats.org/officeDocument/2006/customXml" ds:itemID="{FA8D919D-1B40-42E2-B6E9-2E4680B32D65}"/>
</file>

<file path=customXml/itemProps5.xml><?xml version="1.0" encoding="utf-8"?>
<ds:datastoreItem xmlns:ds="http://schemas.openxmlformats.org/officeDocument/2006/customXml" ds:itemID="{91CBFDEF-F785-4E75-8111-182BE4EA13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11</vt:i4>
      </vt:variant>
    </vt:vector>
  </HeadingPairs>
  <TitlesOfParts>
    <vt:vector size="39" baseType="lpstr">
      <vt:lpstr>CRM Rates</vt:lpstr>
      <vt:lpstr>Summary - Revenue Requirement</vt:lpstr>
      <vt:lpstr>Rate Impacts--&gt;</vt:lpstr>
      <vt:lpstr>Rate Impacts Sch 149</vt:lpstr>
      <vt:lpstr>Typical Res Bill Sch 149</vt:lpstr>
      <vt:lpstr>Sch. 149</vt:lpstr>
      <vt:lpstr>Work Papers--&gt;</vt:lpstr>
      <vt:lpstr>CRM 2022 Rev Req Alloc</vt:lpstr>
      <vt:lpstr>CRM 2021 Rev Req Alloc TrueUp</vt:lpstr>
      <vt:lpstr>CRM 2021 Rev Req Alloc (YEAR 2)</vt:lpstr>
      <vt:lpstr>CRM 2020 Rev Req Alloc (YEAR 3)</vt:lpstr>
      <vt:lpstr>CRM 2019 Rev Req Alloc (YEAR 4)</vt:lpstr>
      <vt:lpstr>Allocation Factors</vt:lpstr>
      <vt:lpstr>Forecasted Volume</vt:lpstr>
      <vt:lpstr>RR workpapers--&gt;</vt:lpstr>
      <vt:lpstr>2022 CAP CRM</vt:lpstr>
      <vt:lpstr>2022 C&amp;OM</vt:lpstr>
      <vt:lpstr>2021TrueUp</vt:lpstr>
      <vt:lpstr>Summary 2021</vt:lpstr>
      <vt:lpstr>2021 + true up CAP</vt:lpstr>
      <vt:lpstr>2021 CRM </vt:lpstr>
      <vt:lpstr>2020 CRM</vt:lpstr>
      <vt:lpstr>Summary 2020 (from 2020 filing)</vt:lpstr>
      <vt:lpstr>2019 CRM</vt:lpstr>
      <vt:lpstr>CRM CAP Forecast(from2019filin)</vt:lpstr>
      <vt:lpstr>2017 4.01 G</vt:lpstr>
      <vt:lpstr>2019 GRC</vt:lpstr>
      <vt:lpstr>MACRS 20</vt:lpstr>
      <vt:lpstr>'2017 4.01 G'!Print_Area</vt:lpstr>
      <vt:lpstr>'Allocation Factors'!Print_Area</vt:lpstr>
      <vt:lpstr>'CRM 2019 Rev Req Alloc (YEAR 4)'!Print_Area</vt:lpstr>
      <vt:lpstr>'CRM 2020 Rev Req Alloc (YEAR 3)'!Print_Area</vt:lpstr>
      <vt:lpstr>'CRM 2021 Rev Req Alloc (YEAR 2)'!Print_Area</vt:lpstr>
      <vt:lpstr>'CRM 2021 Rev Req Alloc TrueUp'!Print_Area</vt:lpstr>
      <vt:lpstr>'CRM 2022 Rev Req Alloc'!Print_Area</vt:lpstr>
      <vt:lpstr>'CRM Rates'!Print_Area</vt:lpstr>
      <vt:lpstr>'Rate Impacts Sch 149'!Print_Area</vt:lpstr>
      <vt:lpstr>'Sch. 149'!Print_Area</vt:lpstr>
      <vt:lpstr>'Typical Res Bill Sch 149'!Print_Area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Energy;Birud.Jhaveri@pse.com;Paul.Schmidt@pse.com;Kelima.Yakupova@pse.com</dc:creator>
  <cp:lastModifiedBy>Puget Sound Energy</cp:lastModifiedBy>
  <cp:lastPrinted>2020-10-13T23:05:23Z</cp:lastPrinted>
  <dcterms:created xsi:type="dcterms:W3CDTF">2017-05-26T23:01:59Z</dcterms:created>
  <dcterms:modified xsi:type="dcterms:W3CDTF">2022-08-05T17:24:12Z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0x0101006E56B4D1795A2E4DB2F0B01679ED314A008AECF9D527768241AD5A0852CBFBB79D</vt:lpwstr>
  </property>
  <property fmtid="{D5CDD505-2E9C-101B-9397-08002B2CF9AE}" pid="3" name="_docset_NoMedatataSyncRequired">
    <vt:lpwstr>False</vt:lpwstr>
  </property>
  <property fmtid="{D5CDD505-2E9C-101B-9397-08002B2CF9AE}" pid="4" name="IsEFSEC">
    <vt:bool>false</vt:bool>
  </property>
</Properties>
</file>