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8150" windowHeight="7560" activeTab="0"/>
  </bookViews>
  <sheets>
    <sheet name="WUTC_AW of Kent (SeaTac)_MF" sheetId="1" r:id="rId1"/>
    <sheet name="Value" sheetId="2" r:id="rId2"/>
    <sheet name="Commodity Tonnages" sheetId="3" r:id="rId3"/>
    <sheet name="Pricing" sheetId="4" r:id="rId4"/>
    <sheet name="Multi_Family" sheetId="5" r:id="rId5"/>
    <sheet name="RSA" sheetId="6" r:id="rId6"/>
    <sheet name="Recap" sheetId="7" r:id="rId7"/>
  </sheets>
  <externalReferences>
    <externalReference r:id="rId10"/>
    <externalReference r:id="rId11"/>
  </externalReferences>
  <definedNames>
    <definedName name="_xlfn.IFERROR" hidden="1">#NAME?</definedName>
    <definedName name="_xlfn.SINGLE" hidden="1">#NAME?</definedName>
    <definedName name="color" localSheetId="6">#REF!</definedName>
    <definedName name="color">#REF!</definedName>
    <definedName name="_xlnm.Print_Area" localSheetId="4">'Multi_Family'!$A$7:$N$103</definedName>
    <definedName name="_xlnm.Print_Area" localSheetId="3">'Pricing'!$A$1:$L$17</definedName>
    <definedName name="_xlnm.Print_Area" localSheetId="0">'WUTC_AW of Kent (SeaTac)_MF'!$A$1:$I$69</definedName>
    <definedName name="_xlnm.Print_Titles" localSheetId="4">'Multi_Family'!$A:$B,'Multi_Family'!$1:$6</definedName>
  </definedNames>
  <calcPr fullCalcOnLoad="1"/>
</workbook>
</file>

<file path=xl/comments1.xml><?xml version="1.0" encoding="utf-8"?>
<comments xmlns="http://schemas.openxmlformats.org/spreadsheetml/2006/main">
  <authors>
    <author>Johnson, Carla</author>
  </authors>
  <commentList>
    <comment ref="B8" authorId="0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Workbook/MF/183 Yards column R</t>
        </r>
      </text>
    </comment>
  </commentList>
</comments>
</file>

<file path=xl/comments5.xml><?xml version="1.0" encoding="utf-8"?>
<comments xmlns="http://schemas.openxmlformats.org/spreadsheetml/2006/main">
  <authors>
    <author>Alex Brenner</author>
    <author>Johnson, Carla</author>
  </authors>
  <commentList>
    <comment ref="A12" authorId="0">
      <text>
        <r>
          <rPr>
            <b/>
            <sz val="8"/>
            <rFont val="Tahoma"/>
            <family val="2"/>
          </rPr>
          <t>Alex Brenner:</t>
        </r>
        <r>
          <rPr>
            <sz val="8"/>
            <rFont val="Tahoma"/>
            <family val="2"/>
          </rPr>
          <t xml:space="preserve">
From ESMMYYTONS Spreadsheet, 'Prices' tab (where MM=month, YY=Year)</t>
        </r>
      </text>
    </comment>
    <comment ref="C7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Workbook/MF/183 Tons column S</t>
        </r>
      </text>
    </comment>
  </commentList>
</comments>
</file>

<file path=xl/comments7.xml><?xml version="1.0" encoding="utf-8"?>
<comments xmlns="http://schemas.openxmlformats.org/spreadsheetml/2006/main">
  <authors>
    <author>Jody Reid</author>
    <author>Johnson, Carla</author>
    <author>Cramer, Diane</author>
  </authors>
  <commentList>
    <comment ref="J4" authorId="0">
      <text>
        <r>
          <rPr>
            <sz val="8"/>
            <rFont val="Tahoma"/>
            <family val="2"/>
          </rPr>
          <t>TTM Commodity value per customer x # of Customers x 12 months</t>
        </r>
      </text>
    </comment>
    <comment ref="L4" authorId="0">
      <text>
        <r>
          <rPr>
            <sz val="8"/>
            <rFont val="Tahoma"/>
            <family val="2"/>
          </rPr>
          <t xml:space="preserve">Customer Count Today x 12 months x Base Pass Back Rate
</t>
        </r>
      </text>
    </comment>
    <comment ref="D13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Total 2 yr Plan based on 50% of revenue from customers and tons</t>
        </r>
      </text>
    </comment>
    <comment ref="D16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= Plan Spend subtracted from Plan Value.</t>
        </r>
      </text>
    </comment>
    <comment ref="J18" authorId="0">
      <text>
        <r>
          <rPr>
            <sz val="8"/>
            <rFont val="Tahoma"/>
            <family val="2"/>
          </rPr>
          <t>TTM Commodity value per customer x # of Customers x 12 months</t>
        </r>
      </text>
    </comment>
    <comment ref="L18" authorId="0">
      <text>
        <r>
          <rPr>
            <sz val="8"/>
            <rFont val="Tahoma"/>
            <family val="2"/>
          </rPr>
          <t xml:space="preserve">Customer Count Today x 12 months x Base Pass Back Rate
</t>
        </r>
      </text>
    </comment>
    <comment ref="B28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50% value of 172, 176, 183 averge</t>
        </r>
      </text>
    </comment>
    <comment ref="B29" authorId="2">
      <text>
        <r>
          <rPr>
            <b/>
            <sz val="9"/>
            <rFont val="Tahoma"/>
            <family val="2"/>
          </rPr>
          <t>Cramer, Diane:</t>
        </r>
        <r>
          <rPr>
            <sz val="9"/>
            <rFont val="Tahoma"/>
            <family val="2"/>
          </rPr>
          <t xml:space="preserve">
Change formula to calculate # of actual months to get avg tons</t>
        </r>
      </text>
    </comment>
    <comment ref="E29" authorId="2">
      <text>
        <r>
          <rPr>
            <b/>
            <sz val="9"/>
            <rFont val="Tahoma"/>
            <family val="2"/>
          </rPr>
          <t>Cramer, Diane:</t>
        </r>
        <r>
          <rPr>
            <sz val="9"/>
            <rFont val="Tahoma"/>
            <family val="2"/>
          </rPr>
          <t xml:space="preserve">
Change formula to calculate # of actual months to get avg tons</t>
        </r>
      </text>
    </comment>
    <comment ref="B30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# of months left in yr</t>
        </r>
      </text>
    </comment>
    <comment ref="E30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# of months left in yr</t>
        </r>
      </text>
    </comment>
    <comment ref="E31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Forecast of expected total budget at end of  for 2 yr plan less expenses already entered.</t>
        </r>
      </text>
    </comment>
    <comment ref="J32" authorId="0">
      <text>
        <r>
          <rPr>
            <sz val="8"/>
            <rFont val="Tahoma"/>
            <family val="2"/>
          </rPr>
          <t>TTM Commodity value per customer x # of Customers x 12 months</t>
        </r>
      </text>
    </comment>
    <comment ref="L32" authorId="0">
      <text>
        <r>
          <rPr>
            <sz val="8"/>
            <rFont val="Tahoma"/>
            <family val="2"/>
          </rPr>
          <t xml:space="preserve">Customer Count Today x 12 months x Base Pass Back Rate
</t>
        </r>
      </text>
    </comment>
  </commentList>
</comments>
</file>

<file path=xl/sharedStrings.xml><?xml version="1.0" encoding="utf-8"?>
<sst xmlns="http://schemas.openxmlformats.org/spreadsheetml/2006/main" count="278" uniqueCount="135">
  <si>
    <t>Deferred Accounting Methodology</t>
  </si>
  <si>
    <t>Commodity</t>
  </si>
  <si>
    <t>Revenue</t>
  </si>
  <si>
    <t>Month</t>
  </si>
  <si>
    <t>(a)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</si>
  <si>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</si>
  <si>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</si>
  <si>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</si>
  <si>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</si>
  <si>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</si>
  <si>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</si>
  <si>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Alum</t>
  </si>
  <si>
    <t>Glass</t>
  </si>
  <si>
    <t>ONP</t>
  </si>
  <si>
    <t>MWP</t>
  </si>
  <si>
    <t>Pet</t>
  </si>
  <si>
    <t>HDPE</t>
  </si>
  <si>
    <t>OCC</t>
  </si>
  <si>
    <t>Other</t>
  </si>
  <si>
    <t>Total</t>
  </si>
  <si>
    <t xml:space="preserve"> </t>
  </si>
  <si>
    <t xml:space="preserve">Total </t>
  </si>
  <si>
    <t>Total Tons</t>
  </si>
  <si>
    <t>Sorted Glass Percentage</t>
  </si>
  <si>
    <t>Sorted Glass</t>
  </si>
  <si>
    <t>Sampled Tons</t>
  </si>
  <si>
    <t>Sampling Percentages</t>
  </si>
  <si>
    <t>Magazines</t>
  </si>
  <si>
    <t>Tin</t>
  </si>
  <si>
    <t>Plastic</t>
  </si>
  <si>
    <t>Aluminum</t>
  </si>
  <si>
    <t>Ferris Metal</t>
  </si>
  <si>
    <t>Glass Contamination</t>
  </si>
  <si>
    <t>Trash</t>
  </si>
  <si>
    <t>Mixed Paper</t>
  </si>
  <si>
    <t>Sampled Tonnage</t>
  </si>
  <si>
    <t>Recovery Percentages</t>
  </si>
  <si>
    <t>Recovered Tonnages</t>
  </si>
  <si>
    <t xml:space="preserve">Product Sales Rates </t>
  </si>
  <si>
    <t>Product Value</t>
  </si>
  <si>
    <t>Total Value</t>
  </si>
  <si>
    <t>Value per Ton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</si>
  <si>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</si>
  <si>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</si>
  <si>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</si>
  <si>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</si>
  <si>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</si>
  <si>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</si>
  <si>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</si>
  <si>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</si>
  <si>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</si>
  <si>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</si>
  <si>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</si>
  <si>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</si>
  <si>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EastSide Disposal</t>
  </si>
  <si>
    <t>East Side Disposal</t>
  </si>
  <si>
    <t>Multi-Family</t>
  </si>
  <si>
    <t>Yards</t>
  </si>
  <si>
    <t>per Yard</t>
  </si>
  <si>
    <t>Total yards</t>
  </si>
  <si>
    <t>Monthly Base Credit per Yard</t>
  </si>
  <si>
    <t>.</t>
  </si>
  <si>
    <t>3.5x Compaction</t>
  </si>
  <si>
    <t>TG-12______</t>
  </si>
  <si>
    <t>% of Revenue Passed Back</t>
  </si>
  <si>
    <t>% Passed Back</t>
  </si>
  <si>
    <t>Commodity Value Timeframe:  May - Oct</t>
  </si>
  <si>
    <t xml:space="preserve"> True-up Computation</t>
  </si>
  <si>
    <t>Shrinkage</t>
  </si>
  <si>
    <t>Metal</t>
  </si>
  <si>
    <t>Rabanco Ltd (dba Allied Waste of Seatac)</t>
  </si>
  <si>
    <t>Current six months</t>
  </si>
  <si>
    <t>Total twelve months</t>
  </si>
  <si>
    <t>Total Annual Customers</t>
  </si>
  <si>
    <t>Underspent RSA per King County report</t>
  </si>
  <si>
    <t>Allocation to Divisions:</t>
  </si>
  <si>
    <t>SF portion</t>
  </si>
  <si>
    <t>MF portion</t>
  </si>
  <si>
    <t>Bellevue</t>
  </si>
  <si>
    <t>Kent</t>
  </si>
  <si>
    <t>SeaTac</t>
  </si>
  <si>
    <t>RSA Rev breakdown:</t>
  </si>
  <si>
    <t>SF $</t>
  </si>
  <si>
    <t>MF $</t>
  </si>
  <si>
    <t>SF %</t>
  </si>
  <si>
    <t>MF %</t>
  </si>
  <si>
    <t>Credit per customer</t>
  </si>
  <si>
    <t>use for 6 month calculation</t>
  </si>
  <si>
    <t>Total Passback at end of 2 year plan year 2021</t>
  </si>
  <si>
    <t>Unspent RSA dollars</t>
  </si>
  <si>
    <t xml:space="preserve">12 month running average "BASE CREDIT" </t>
  </si>
  <si>
    <t>Bellevue SF RSA Unspent</t>
  </si>
  <si>
    <t>Prior three months</t>
  </si>
  <si>
    <t>King County RSA Plan Year 2021-2023</t>
  </si>
  <si>
    <t>Per RSA File</t>
  </si>
  <si>
    <t>Per UTC Filing</t>
  </si>
  <si>
    <t>Variance</t>
  </si>
  <si>
    <t>Current Month</t>
  </si>
  <si>
    <t>2021 - 2023</t>
  </si>
  <si>
    <t>Plan Spend</t>
  </si>
  <si>
    <t>50% RSA Retained</t>
  </si>
  <si>
    <t>50% Passed to Customers</t>
  </si>
  <si>
    <t>Commodity Revenue</t>
  </si>
  <si>
    <t>2021-2022</t>
  </si>
  <si>
    <t>2022-2023</t>
  </si>
  <si>
    <t xml:space="preserve">172 Eastside Single-Family Value </t>
  </si>
  <si>
    <t>Invoices</t>
  </si>
  <si>
    <t xml:space="preserve">Eastside Multi-Family Value </t>
  </si>
  <si>
    <t>Monthly Reporting</t>
  </si>
  <si>
    <t>Labor</t>
  </si>
  <si>
    <t xml:space="preserve">176 Kent-Meridian Single-Family Value </t>
  </si>
  <si>
    <t xml:space="preserve">Kent-Meridian Multi-Family Value </t>
  </si>
  <si>
    <t>5% Incentive</t>
  </si>
  <si>
    <t>Plan Value</t>
  </si>
  <si>
    <t xml:space="preserve">183 SeaTac Single-Family Value </t>
  </si>
  <si>
    <t>2022-2021</t>
  </si>
  <si>
    <t xml:space="preserve">SeaTac Multi-Family Value </t>
  </si>
  <si>
    <t>Total Revenue Retained</t>
  </si>
  <si>
    <t>Actual Available Spend</t>
  </si>
  <si>
    <t>Year 1</t>
  </si>
  <si>
    <t>Division Spend</t>
  </si>
  <si>
    <t>Forecasted Yr 1</t>
  </si>
  <si>
    <t>Forecast Yr 2 ($$ received)</t>
  </si>
  <si>
    <t>Commodity Value</t>
  </si>
  <si>
    <t>Avg Tons / month</t>
  </si>
  <si>
    <t># months forecast</t>
  </si>
  <si>
    <t>Year 2</t>
  </si>
  <si>
    <t>Forecasted Yr 1 Value</t>
  </si>
  <si>
    <t>Forecasted Yr2 Value</t>
  </si>
  <si>
    <t>Forecasted Yr 1 Spend</t>
  </si>
  <si>
    <t>Forecasted Yr2 Spend</t>
  </si>
  <si>
    <t>Potential Rollover Amount to Yr 2</t>
  </si>
  <si>
    <t>Rollover Amount from Yr 1</t>
  </si>
  <si>
    <t>Forecasted Available Spend</t>
  </si>
  <si>
    <t>8/1/22 - 7/31/23 Adjusted Credit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</si>
</sst>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_(* #,##0.00_);_(* \(#,##0.00\);_(* &quot;-&quot;_);_(@_)"/>
    <numFmt numFmtId="168" formatCode="_(* #,##0.000_);_(* \(#,##0.000\);_(* &quot;-&quot;_);_(@_)"/>
    <numFmt numFmtId="169" formatCode="mmmm"/>
    <numFmt numFmtId="170" formatCode="#,##0.000"/>
    <numFmt numFmtId="171" formatCode="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_);_(@_)"/>
    <numFmt numFmtId="177" formatCode="&quot;$&quot;#,##0.00"/>
    <numFmt numFmtId="178" formatCode="0.000"/>
    <numFmt numFmtId="179" formatCode="_(&quot;$&quot;* #,##0_);_(&quot;$&quot;* \(#,##0\);_(&quot;$&quot;* &quot;-&quot;??_);_(@_)"/>
    <numFmt numFmtId="180" formatCode="[$-409]mmm\-yy;@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11"/>
      <color indexed="12"/>
      <name val="Calibri"/>
      <family val="2"/>
    </font>
    <font>
      <b/>
      <sz val="12"/>
      <name val="Arial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sz val="11"/>
      <color rgb="FF0000FF"/>
      <name val="Calibri"/>
      <family val="2"/>
    </font>
    <font>
      <sz val="11"/>
      <color theme="1" tint="0.34999001026153564"/>
      <name val="Calibri"/>
      <family val="2"/>
    </font>
    <font>
      <sz val="10"/>
      <color theme="1" tint="0.3499900102615356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hair"/>
      <top style="thin"/>
      <bottom style="thin"/>
    </border>
    <border>
      <left/>
      <right/>
      <top/>
      <bottom style="medium"/>
    </border>
    <border>
      <left/>
      <right style="hair"/>
      <top style="thin"/>
      <bottom style="hair"/>
    </border>
    <border>
      <left/>
      <right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6" fillId="0" borderId="0" xfId="62">
      <alignment/>
      <protection/>
    </xf>
    <xf numFmtId="0" fontId="9" fillId="0" borderId="0" xfId="62" applyFont="1">
      <alignment/>
      <protection/>
    </xf>
    <xf numFmtId="14" fontId="7" fillId="0" borderId="0" xfId="62" applyNumberFormat="1" applyFont="1" applyAlignment="1">
      <alignment horizontal="center"/>
      <protection/>
    </xf>
    <xf numFmtId="0" fontId="10" fillId="0" borderId="0" xfId="62" applyFont="1">
      <alignment/>
      <protection/>
    </xf>
    <xf numFmtId="0" fontId="11" fillId="0" borderId="0" xfId="62" applyFont="1">
      <alignment/>
      <protection/>
    </xf>
    <xf numFmtId="0" fontId="11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167" fontId="9" fillId="0" borderId="0" xfId="62" applyNumberFormat="1" applyFont="1" applyAlignment="1">
      <alignment horizontal="center"/>
      <protection/>
    </xf>
    <xf numFmtId="1" fontId="7" fillId="0" borderId="0" xfId="62" applyNumberFormat="1" applyFont="1">
      <alignment/>
      <protection/>
    </xf>
    <xf numFmtId="41" fontId="7" fillId="0" borderId="0" xfId="62" applyNumberFormat="1" applyFont="1">
      <alignment/>
      <protection/>
    </xf>
    <xf numFmtId="167" fontId="9" fillId="0" borderId="0" xfId="62" applyNumberFormat="1" applyFont="1">
      <alignment/>
      <protection/>
    </xf>
    <xf numFmtId="167" fontId="7" fillId="0" borderId="0" xfId="62" applyNumberFormat="1" applyFont="1">
      <alignment/>
      <protection/>
    </xf>
    <xf numFmtId="169" fontId="7" fillId="0" borderId="0" xfId="62" applyNumberFormat="1" applyFont="1" applyAlignment="1">
      <alignment horizontal="right"/>
      <protection/>
    </xf>
    <xf numFmtId="41" fontId="13" fillId="0" borderId="0" xfId="62" applyNumberFormat="1" applyFont="1" applyAlignment="1">
      <alignment horizontal="left"/>
      <protection/>
    </xf>
    <xf numFmtId="41" fontId="7" fillId="0" borderId="10" xfId="62" applyNumberFormat="1" applyFont="1" applyBorder="1">
      <alignment/>
      <protection/>
    </xf>
    <xf numFmtId="167" fontId="7" fillId="0" borderId="10" xfId="62" applyNumberFormat="1" applyFont="1" applyBorder="1">
      <alignment/>
      <protection/>
    </xf>
    <xf numFmtId="168" fontId="7" fillId="0" borderId="0" xfId="62" applyNumberFormat="1" applyFont="1">
      <alignment/>
      <protection/>
    </xf>
    <xf numFmtId="167" fontId="6" fillId="0" borderId="0" xfId="62" applyNumberFormat="1">
      <alignment/>
      <protection/>
    </xf>
    <xf numFmtId="169" fontId="7" fillId="0" borderId="0" xfId="62" applyNumberFormat="1" applyFont="1">
      <alignment/>
      <protection/>
    </xf>
    <xf numFmtId="41" fontId="7" fillId="0" borderId="11" xfId="62" applyNumberFormat="1" applyFont="1" applyBorder="1">
      <alignment/>
      <protection/>
    </xf>
    <xf numFmtId="167" fontId="7" fillId="0" borderId="11" xfId="62" applyNumberFormat="1" applyFont="1" applyBorder="1">
      <alignment/>
      <protection/>
    </xf>
    <xf numFmtId="41" fontId="9" fillId="0" borderId="12" xfId="62" applyNumberFormat="1" applyFont="1" applyBorder="1">
      <alignment/>
      <protection/>
    </xf>
    <xf numFmtId="41" fontId="7" fillId="0" borderId="12" xfId="62" applyNumberFormat="1" applyFont="1" applyBorder="1">
      <alignment/>
      <protection/>
    </xf>
    <xf numFmtId="41" fontId="10" fillId="0" borderId="0" xfId="62" applyNumberFormat="1" applyFont="1">
      <alignment/>
      <protection/>
    </xf>
    <xf numFmtId="41" fontId="7" fillId="0" borderId="0" xfId="62" applyNumberFormat="1" applyFont="1" applyAlignment="1">
      <alignment horizontal="right"/>
      <protection/>
    </xf>
    <xf numFmtId="1" fontId="10" fillId="0" borderId="0" xfId="62" applyNumberFormat="1" applyFont="1">
      <alignment/>
      <protection/>
    </xf>
    <xf numFmtId="168" fontId="12" fillId="0" borderId="0" xfId="62" applyNumberFormat="1" applyFont="1">
      <alignment/>
      <protection/>
    </xf>
    <xf numFmtId="41" fontId="7" fillId="0" borderId="0" xfId="62" applyNumberFormat="1" applyFont="1" applyBorder="1">
      <alignment/>
      <protection/>
    </xf>
    <xf numFmtId="41" fontId="7" fillId="0" borderId="13" xfId="62" applyNumberFormat="1" applyFont="1" applyBorder="1">
      <alignment/>
      <protection/>
    </xf>
    <xf numFmtId="41" fontId="7" fillId="0" borderId="14" xfId="62" applyNumberFormat="1" applyFont="1" applyBorder="1">
      <alignment/>
      <protection/>
    </xf>
    <xf numFmtId="41" fontId="7" fillId="0" borderId="15" xfId="62" applyNumberFormat="1" applyFont="1" applyBorder="1">
      <alignment/>
      <protection/>
    </xf>
    <xf numFmtId="168" fontId="7" fillId="0" borderId="11" xfId="62" applyNumberFormat="1" applyFont="1" applyBorder="1">
      <alignment/>
      <protection/>
    </xf>
    <xf numFmtId="167" fontId="7" fillId="0" borderId="0" xfId="62" applyNumberFormat="1" applyFont="1" applyAlignment="1">
      <alignment horizontal="centerContinuous"/>
      <protection/>
    </xf>
    <xf numFmtId="167" fontId="7" fillId="0" borderId="13" xfId="62" applyNumberFormat="1" applyFont="1" applyBorder="1">
      <alignment/>
      <protection/>
    </xf>
    <xf numFmtId="167" fontId="7" fillId="0" borderId="15" xfId="62" applyNumberFormat="1" applyFont="1" applyBorder="1">
      <alignment/>
      <protection/>
    </xf>
    <xf numFmtId="2" fontId="6" fillId="0" borderId="0" xfId="62" applyNumberFormat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7" fontId="0" fillId="0" borderId="0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 horizontal="center"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9" fontId="0" fillId="0" borderId="0" xfId="65" applyAlignment="1">
      <alignment/>
    </xf>
    <xf numFmtId="40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64" fontId="0" fillId="0" borderId="0" xfId="42" applyNumberFormat="1" applyFont="1" applyAlignment="1">
      <alignment/>
    </xf>
    <xf numFmtId="171" fontId="0" fillId="0" borderId="0" xfId="0" applyNumberFormat="1" applyAlignment="1">
      <alignment/>
    </xf>
    <xf numFmtId="166" fontId="0" fillId="0" borderId="0" xfId="65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17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9" fontId="7" fillId="0" borderId="0" xfId="65" applyFont="1" applyFill="1" applyAlignment="1">
      <alignment/>
    </xf>
    <xf numFmtId="43" fontId="7" fillId="0" borderId="14" xfId="42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0" fontId="7" fillId="0" borderId="0" xfId="65" applyNumberFormat="1" applyFont="1" applyAlignment="1">
      <alignment/>
    </xf>
    <xf numFmtId="10" fontId="9" fillId="33" borderId="0" xfId="65" applyNumberFormat="1" applyFont="1" applyFill="1" applyAlignment="1">
      <alignment/>
    </xf>
    <xf numFmtId="9" fontId="7" fillId="0" borderId="0" xfId="65" applyFont="1" applyAlignment="1">
      <alignment/>
    </xf>
    <xf numFmtId="43" fontId="7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44" fontId="9" fillId="0" borderId="0" xfId="44" applyFont="1" applyBorder="1" applyAlignment="1">
      <alignment/>
    </xf>
    <xf numFmtId="43" fontId="9" fillId="0" borderId="0" xfId="42" applyFont="1" applyBorder="1" applyAlignment="1">
      <alignment/>
    </xf>
    <xf numFmtId="44" fontId="7" fillId="0" borderId="0" xfId="44" applyFont="1" applyBorder="1" applyAlignment="1">
      <alignment/>
    </xf>
    <xf numFmtId="0" fontId="7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44" fontId="7" fillId="0" borderId="0" xfId="44" applyNumberFormat="1" applyFont="1" applyBorder="1" applyAlignment="1">
      <alignment/>
    </xf>
    <xf numFmtId="43" fontId="7" fillId="0" borderId="0" xfId="42" applyFont="1" applyAlignment="1" quotePrefix="1">
      <alignment/>
    </xf>
    <xf numFmtId="43" fontId="7" fillId="0" borderId="0" xfId="42" applyNumberFormat="1" applyFont="1" applyAlignment="1" quotePrefix="1">
      <alignment/>
    </xf>
    <xf numFmtId="43" fontId="9" fillId="0" borderId="13" xfId="42" applyFont="1" applyBorder="1" applyAlignment="1">
      <alignment/>
    </xf>
    <xf numFmtId="44" fontId="7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167" fontId="7" fillId="0" borderId="0" xfId="62" applyNumberFormat="1" applyFont="1" applyBorder="1">
      <alignment/>
      <protection/>
    </xf>
    <xf numFmtId="0" fontId="11" fillId="0" borderId="0" xfId="62" applyFont="1" applyBorder="1">
      <alignment/>
      <protection/>
    </xf>
    <xf numFmtId="0" fontId="11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167" fontId="9" fillId="0" borderId="0" xfId="62" applyNumberFormat="1" applyFont="1" applyBorder="1" applyAlignment="1">
      <alignment horizontal="center"/>
      <protection/>
    </xf>
    <xf numFmtId="167" fontId="9" fillId="0" borderId="0" xfId="62" applyNumberFormat="1" applyFont="1" applyBorder="1">
      <alignment/>
      <protection/>
    </xf>
    <xf numFmtId="169" fontId="7" fillId="0" borderId="0" xfId="62" applyNumberFormat="1" applyFont="1" applyBorder="1" applyAlignment="1">
      <alignment horizontal="right"/>
      <protection/>
    </xf>
    <xf numFmtId="41" fontId="12" fillId="0" borderId="0" xfId="62" applyNumberFormat="1" applyFont="1" applyBorder="1">
      <alignment/>
      <protection/>
    </xf>
    <xf numFmtId="41" fontId="13" fillId="0" borderId="0" xfId="62" applyNumberFormat="1" applyFont="1" applyBorder="1" applyAlignment="1">
      <alignment horizontal="left"/>
      <protection/>
    </xf>
    <xf numFmtId="0" fontId="6" fillId="0" borderId="0" xfId="62" applyBorder="1">
      <alignment/>
      <protection/>
    </xf>
    <xf numFmtId="167" fontId="6" fillId="0" borderId="0" xfId="62" applyNumberFormat="1" applyBorder="1">
      <alignment/>
      <protection/>
    </xf>
    <xf numFmtId="169" fontId="7" fillId="0" borderId="0" xfId="62" applyNumberFormat="1" applyFont="1" applyBorder="1">
      <alignment/>
      <protection/>
    </xf>
    <xf numFmtId="168" fontId="7" fillId="0" borderId="0" xfId="62" applyNumberFormat="1" applyFont="1" applyBorder="1">
      <alignment/>
      <protection/>
    </xf>
    <xf numFmtId="17" fontId="7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/>
    </xf>
    <xf numFmtId="10" fontId="7" fillId="34" borderId="0" xfId="0" applyNumberFormat="1" applyFont="1" applyFill="1" applyAlignment="1">
      <alignment/>
    </xf>
    <xf numFmtId="10" fontId="7" fillId="34" borderId="0" xfId="65" applyNumberFormat="1" applyFont="1" applyFill="1" applyAlignment="1">
      <alignment/>
    </xf>
    <xf numFmtId="17" fontId="7" fillId="0" borderId="0" xfId="0" applyNumberFormat="1" applyFont="1" applyFill="1" applyAlignment="1">
      <alignment/>
    </xf>
    <xf numFmtId="43" fontId="9" fillId="0" borderId="0" xfId="42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167" fontId="7" fillId="0" borderId="0" xfId="62" applyNumberFormat="1" applyFont="1" applyAlignment="1">
      <alignment horizontal="right"/>
      <protection/>
    </xf>
    <xf numFmtId="169" fontId="7" fillId="0" borderId="0" xfId="62" applyNumberFormat="1" applyFont="1" applyFill="1" applyAlignment="1">
      <alignment horizontal="right"/>
      <protection/>
    </xf>
    <xf numFmtId="4" fontId="7" fillId="0" borderId="1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0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8" fontId="7" fillId="0" borderId="0" xfId="44" applyNumberFormat="1" applyFont="1" applyAlignment="1" quotePrefix="1">
      <alignment/>
    </xf>
    <xf numFmtId="165" fontId="1" fillId="0" borderId="0" xfId="65" applyNumberFormat="1" applyFont="1" applyAlignment="1">
      <alignment/>
    </xf>
    <xf numFmtId="0" fontId="7" fillId="0" borderId="0" xfId="62" applyFont="1" applyBorder="1">
      <alignment/>
      <protection/>
    </xf>
    <xf numFmtId="0" fontId="9" fillId="0" borderId="0" xfId="0" applyFont="1" applyAlignment="1">
      <alignment/>
    </xf>
    <xf numFmtId="43" fontId="7" fillId="0" borderId="14" xfId="42" applyNumberFormat="1" applyFont="1" applyBorder="1" applyAlignment="1">
      <alignment/>
    </xf>
    <xf numFmtId="4" fontId="7" fillId="0" borderId="0" xfId="63" applyNumberFormat="1" applyFont="1" applyFill="1" applyBorder="1" applyAlignment="1">
      <alignment/>
    </xf>
    <xf numFmtId="43" fontId="0" fillId="0" borderId="0" xfId="42" applyFont="1" applyAlignment="1">
      <alignment/>
    </xf>
    <xf numFmtId="167" fontId="7" fillId="35" borderId="11" xfId="62" applyNumberFormat="1" applyFont="1" applyFill="1" applyBorder="1">
      <alignment/>
      <protection/>
    </xf>
    <xf numFmtId="167" fontId="7" fillId="36" borderId="0" xfId="62" applyNumberFormat="1" applyFont="1" applyFill="1">
      <alignment/>
      <protection/>
    </xf>
    <xf numFmtId="9" fontId="7" fillId="36" borderId="16" xfId="65" applyFont="1" applyFill="1" applyBorder="1" applyAlignment="1">
      <alignment/>
    </xf>
    <xf numFmtId="168" fontId="7" fillId="36" borderId="15" xfId="62" applyNumberFormat="1" applyFont="1" applyFill="1" applyBorder="1">
      <alignment/>
      <protection/>
    </xf>
    <xf numFmtId="41" fontId="12" fillId="35" borderId="0" xfId="62" applyNumberFormat="1" applyFont="1" applyFill="1" applyAlignment="1">
      <alignment horizontal="center"/>
      <protection/>
    </xf>
    <xf numFmtId="41" fontId="12" fillId="35" borderId="0" xfId="62" applyNumberFormat="1" applyFont="1" applyFill="1">
      <alignment/>
      <protection/>
    </xf>
    <xf numFmtId="165" fontId="60" fillId="37" borderId="17" xfId="65" applyNumberFormat="1" applyFont="1" applyFill="1" applyBorder="1" applyAlignment="1">
      <alignment/>
    </xf>
    <xf numFmtId="44" fontId="7" fillId="0" borderId="0" xfId="44" applyNumberFormat="1" applyFont="1" applyAlignment="1" quotePrefix="1">
      <alignment/>
    </xf>
    <xf numFmtId="41" fontId="7" fillId="0" borderId="0" xfId="42" applyNumberFormat="1" applyFont="1" applyAlignment="1">
      <alignment horizontal="center"/>
    </xf>
    <xf numFmtId="43" fontId="7" fillId="0" borderId="0" xfId="42" applyFont="1" applyAlignment="1">
      <alignment horizontal="center"/>
    </xf>
    <xf numFmtId="0" fontId="16" fillId="0" borderId="0" xfId="62" applyFont="1" applyBorder="1" applyAlignment="1">
      <alignment horizontal="center"/>
      <protection/>
    </xf>
    <xf numFmtId="167" fontId="16" fillId="0" borderId="0" xfId="62" applyNumberFormat="1" applyFont="1" applyBorder="1" applyAlignment="1">
      <alignment horizontal="center"/>
      <protection/>
    </xf>
    <xf numFmtId="167" fontId="17" fillId="0" borderId="0" xfId="62" applyNumberFormat="1" applyFont="1" applyFill="1" applyBorder="1" applyAlignment="1">
      <alignment horizontal="center"/>
      <protection/>
    </xf>
    <xf numFmtId="41" fontId="13" fillId="0" borderId="0" xfId="62" applyNumberFormat="1" applyFont="1" applyBorder="1">
      <alignment/>
      <protection/>
    </xf>
    <xf numFmtId="168" fontId="9" fillId="0" borderId="0" xfId="62" applyNumberFormat="1" applyFont="1" applyBorder="1">
      <alignment/>
      <protection/>
    </xf>
    <xf numFmtId="1" fontId="7" fillId="0" borderId="0" xfId="62" applyNumberFormat="1" applyFont="1" applyBorder="1">
      <alignment/>
      <protection/>
    </xf>
    <xf numFmtId="165" fontId="7" fillId="0" borderId="0" xfId="65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177" fontId="0" fillId="0" borderId="16" xfId="0" applyNumberFormat="1" applyBorder="1" applyAlignment="1">
      <alignment/>
    </xf>
    <xf numFmtId="177" fontId="0" fillId="32" borderId="16" xfId="0" applyNumberFormat="1" applyFill="1" applyBorder="1" applyAlignment="1">
      <alignment/>
    </xf>
    <xf numFmtId="177" fontId="1" fillId="0" borderId="0" xfId="0" applyNumberFormat="1" applyFont="1" applyAlignment="1">
      <alignment/>
    </xf>
    <xf numFmtId="44" fontId="0" fillId="0" borderId="16" xfId="44" applyFont="1" applyBorder="1" applyAlignment="1">
      <alignment/>
    </xf>
    <xf numFmtId="10" fontId="0" fillId="0" borderId="16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0" xfId="0" applyNumberFormat="1" applyAlignment="1">
      <alignment/>
    </xf>
    <xf numFmtId="178" fontId="0" fillId="0" borderId="0" xfId="0" applyNumberFormat="1" applyAlignment="1">
      <alignment/>
    </xf>
    <xf numFmtId="43" fontId="7" fillId="0" borderId="0" xfId="42" applyFont="1" applyBorder="1" applyAlignment="1">
      <alignment/>
    </xf>
    <xf numFmtId="44" fontId="7" fillId="34" borderId="16" xfId="44" applyFont="1" applyFill="1" applyBorder="1" applyAlignment="1">
      <alignment/>
    </xf>
    <xf numFmtId="44" fontId="7" fillId="34" borderId="16" xfId="44" applyFont="1" applyFill="1" applyBorder="1" applyAlignment="1">
      <alignment horizontal="center"/>
    </xf>
    <xf numFmtId="44" fontId="61" fillId="34" borderId="16" xfId="44" applyFont="1" applyFill="1" applyBorder="1" applyAlignment="1">
      <alignment/>
    </xf>
    <xf numFmtId="44" fontId="61" fillId="34" borderId="16" xfId="44" applyFont="1" applyFill="1" applyBorder="1" applyAlignment="1">
      <alignment horizontal="center"/>
    </xf>
    <xf numFmtId="44" fontId="7" fillId="0" borderId="0" xfId="44" applyFont="1" applyAlignment="1">
      <alignment/>
    </xf>
    <xf numFmtId="179" fontId="60" fillId="0" borderId="0" xfId="46" applyNumberFormat="1" applyFont="1" applyFill="1" applyBorder="1" applyAlignment="1">
      <alignment/>
    </xf>
    <xf numFmtId="0" fontId="0" fillId="0" borderId="0" xfId="0" applyAlignment="1">
      <alignment wrapText="1"/>
    </xf>
    <xf numFmtId="44" fontId="0" fillId="0" borderId="0" xfId="44" applyFont="1" applyAlignment="1">
      <alignment/>
    </xf>
    <xf numFmtId="180" fontId="60" fillId="37" borderId="21" xfId="46" applyNumberFormat="1" applyFont="1" applyFill="1" applyBorder="1" applyAlignment="1">
      <alignment/>
    </xf>
    <xf numFmtId="180" fontId="62" fillId="37" borderId="17" xfId="0" applyNumberFormat="1" applyFont="1" applyFill="1" applyBorder="1" applyAlignment="1">
      <alignment/>
    </xf>
    <xf numFmtId="0" fontId="40" fillId="38" borderId="22" xfId="61" applyFont="1" applyFill="1" applyBorder="1">
      <alignment/>
      <protection/>
    </xf>
    <xf numFmtId="179" fontId="0" fillId="38" borderId="10" xfId="61" applyNumberFormat="1" applyFont="1" applyFill="1" applyBorder="1">
      <alignment/>
      <protection/>
    </xf>
    <xf numFmtId="0" fontId="0" fillId="38" borderId="10" xfId="61" applyFont="1" applyFill="1" applyBorder="1">
      <alignment/>
      <protection/>
    </xf>
    <xf numFmtId="179" fontId="0" fillId="38" borderId="23" xfId="47" applyNumberFormat="1" applyFont="1" applyFill="1" applyBorder="1" applyAlignment="1">
      <alignment/>
    </xf>
    <xf numFmtId="0" fontId="0" fillId="0" borderId="0" xfId="61" applyFont="1">
      <alignment/>
      <protection/>
    </xf>
    <xf numFmtId="179" fontId="0" fillId="0" borderId="0" xfId="61" applyNumberFormat="1" applyFont="1">
      <alignment/>
      <protection/>
    </xf>
    <xf numFmtId="0" fontId="0" fillId="0" borderId="0" xfId="61" applyFont="1">
      <alignment/>
      <protection/>
    </xf>
    <xf numFmtId="179" fontId="0" fillId="0" borderId="0" xfId="47" applyNumberFormat="1" applyFont="1" applyAlignment="1">
      <alignment/>
    </xf>
    <xf numFmtId="0" fontId="60" fillId="39" borderId="10" xfId="59" applyFont="1" applyFill="1" applyBorder="1" applyAlignment="1">
      <alignment horizontal="center"/>
      <protection/>
    </xf>
    <xf numFmtId="0" fontId="60" fillId="39" borderId="24" xfId="59" applyFont="1" applyFill="1" applyBorder="1" applyAlignment="1">
      <alignment horizontal="center"/>
      <protection/>
    </xf>
    <xf numFmtId="179" fontId="0" fillId="0" borderId="25" xfId="0" applyNumberFormat="1" applyFont="1" applyBorder="1" applyAlignment="1">
      <alignment horizontal="center"/>
    </xf>
    <xf numFmtId="179" fontId="0" fillId="0" borderId="25" xfId="0" applyNumberFormat="1" applyBorder="1" applyAlignment="1">
      <alignment/>
    </xf>
    <xf numFmtId="179" fontId="0" fillId="0" borderId="25" xfId="44" applyNumberFormat="1" applyFont="1" applyBorder="1" applyAlignment="1">
      <alignment horizontal="center"/>
    </xf>
    <xf numFmtId="0" fontId="60" fillId="39" borderId="26" xfId="59" applyFont="1" applyFill="1" applyBorder="1" applyAlignment="1">
      <alignment horizontal="center"/>
      <protection/>
    </xf>
    <xf numFmtId="0" fontId="60" fillId="0" borderId="0" xfId="59" applyFont="1" applyAlignment="1">
      <alignment horizontal="center"/>
      <protection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horizontal="right"/>
    </xf>
    <xf numFmtId="179" fontId="60" fillId="0" borderId="16" xfId="46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179" fontId="60" fillId="39" borderId="26" xfId="47" applyNumberFormat="1" applyFont="1" applyFill="1" applyBorder="1" applyAlignment="1">
      <alignment horizontal="center"/>
    </xf>
    <xf numFmtId="0" fontId="60" fillId="39" borderId="0" xfId="59" applyFont="1" applyFill="1" applyAlignment="1">
      <alignment horizontal="center"/>
      <protection/>
    </xf>
    <xf numFmtId="17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4" fontId="1" fillId="0" borderId="27" xfId="44" applyFont="1" applyBorder="1" applyAlignment="1">
      <alignment/>
    </xf>
    <xf numFmtId="0" fontId="0" fillId="0" borderId="0" xfId="0" applyFont="1" applyAlignment="1">
      <alignment horizontal="right"/>
    </xf>
    <xf numFmtId="44" fontId="1" fillId="0" borderId="27" xfId="0" applyNumberFormat="1" applyFont="1" applyBorder="1" applyAlignment="1">
      <alignment horizontal="right"/>
    </xf>
    <xf numFmtId="0" fontId="60" fillId="39" borderId="16" xfId="59" applyFont="1" applyFill="1" applyBorder="1" applyAlignment="1">
      <alignment horizontal="center"/>
      <protection/>
    </xf>
    <xf numFmtId="0" fontId="0" fillId="39" borderId="16" xfId="0" applyFill="1" applyBorder="1" applyAlignment="1">
      <alignment/>
    </xf>
    <xf numFmtId="0" fontId="63" fillId="0" borderId="0" xfId="0" applyFont="1" applyAlignment="1">
      <alignment/>
    </xf>
    <xf numFmtId="0" fontId="64" fillId="2" borderId="22" xfId="59" applyFont="1" applyFill="1" applyBorder="1" applyAlignment="1">
      <alignment horizontal="center"/>
      <protection/>
    </xf>
    <xf numFmtId="0" fontId="64" fillId="2" borderId="10" xfId="59" applyFont="1" applyFill="1" applyBorder="1" applyAlignment="1">
      <alignment horizontal="center"/>
      <protection/>
    </xf>
    <xf numFmtId="0" fontId="64" fillId="2" borderId="23" xfId="59" applyFont="1" applyFill="1" applyBorder="1" applyAlignment="1">
      <alignment horizontal="center"/>
      <protection/>
    </xf>
    <xf numFmtId="0" fontId="64" fillId="2" borderId="28" xfId="59" applyFont="1" applyFill="1" applyBorder="1" applyAlignment="1">
      <alignment horizontal="center"/>
      <protection/>
    </xf>
    <xf numFmtId="0" fontId="64" fillId="2" borderId="26" xfId="59" applyFont="1" applyFill="1" applyBorder="1" applyAlignment="1">
      <alignment horizontal="center"/>
      <protection/>
    </xf>
    <xf numFmtId="0" fontId="64" fillId="2" borderId="29" xfId="59" applyFont="1" applyFill="1" applyBorder="1" applyAlignment="1">
      <alignment horizontal="center"/>
      <protection/>
    </xf>
    <xf numFmtId="44" fontId="0" fillId="37" borderId="0" xfId="0" applyNumberFormat="1" applyFont="1" applyFill="1" applyAlignment="1">
      <alignment horizontal="right"/>
    </xf>
    <xf numFmtId="44" fontId="0" fillId="37" borderId="0" xfId="44" applyFont="1" applyFill="1" applyAlignment="1">
      <alignment/>
    </xf>
    <xf numFmtId="0" fontId="64" fillId="2" borderId="10" xfId="59" applyFont="1" applyFill="1" applyBorder="1" applyAlignment="1">
      <alignment horizontal="center"/>
      <protection/>
    </xf>
    <xf numFmtId="179" fontId="64" fillId="2" borderId="16" xfId="46" applyNumberFormat="1" applyFont="1" applyFill="1" applyBorder="1" applyAlignment="1">
      <alignment/>
    </xf>
    <xf numFmtId="179" fontId="64" fillId="2" borderId="30" xfId="47" applyNumberFormat="1" applyFont="1" applyFill="1" applyBorder="1" applyAlignment="1">
      <alignment horizontal="center"/>
    </xf>
    <xf numFmtId="179" fontId="64" fillId="2" borderId="31" xfId="47" applyNumberFormat="1" applyFont="1" applyFill="1" applyBorder="1" applyAlignment="1">
      <alignment horizontal="center"/>
    </xf>
    <xf numFmtId="179" fontId="64" fillId="2" borderId="32" xfId="47" applyNumberFormat="1" applyFont="1" applyFill="1" applyBorder="1" applyAlignment="1">
      <alignment horizontal="center"/>
    </xf>
    <xf numFmtId="0" fontId="60" fillId="39" borderId="33" xfId="59" applyFont="1" applyFill="1" applyBorder="1">
      <alignment/>
      <protection/>
    </xf>
    <xf numFmtId="0" fontId="60" fillId="39" borderId="34" xfId="59" applyFont="1" applyFill="1" applyBorder="1">
      <alignment/>
      <protection/>
    </xf>
    <xf numFmtId="0" fontId="60" fillId="0" borderId="0" xfId="59" applyFont="1">
      <alignment/>
      <protection/>
    </xf>
    <xf numFmtId="0" fontId="60" fillId="39" borderId="16" xfId="59" applyFont="1" applyFill="1" applyBorder="1">
      <alignment/>
      <protection/>
    </xf>
    <xf numFmtId="0" fontId="60" fillId="39" borderId="16" xfId="59" applyFont="1" applyFill="1" applyBorder="1" applyAlignment="1">
      <alignment wrapText="1"/>
      <protection/>
    </xf>
    <xf numFmtId="179" fontId="0" fillId="0" borderId="0" xfId="44" applyNumberFormat="1" applyFont="1" applyBorder="1" applyAlignment="1">
      <alignment/>
    </xf>
    <xf numFmtId="0" fontId="60" fillId="39" borderId="22" xfId="59" applyFont="1" applyFill="1" applyBorder="1" applyAlignment="1">
      <alignment horizontal="center"/>
      <protection/>
    </xf>
    <xf numFmtId="179" fontId="62" fillId="37" borderId="35" xfId="47" applyNumberFormat="1" applyFont="1" applyFill="1" applyBorder="1" applyAlignment="1">
      <alignment/>
    </xf>
    <xf numFmtId="0" fontId="60" fillId="39" borderId="16" xfId="59" applyFont="1" applyFill="1" applyBorder="1" applyAlignment="1">
      <alignment horizontal="center"/>
      <protection/>
    </xf>
    <xf numFmtId="179" fontId="62" fillId="37" borderId="16" xfId="47" applyNumberFormat="1" applyFont="1" applyFill="1" applyBorder="1" applyAlignment="1">
      <alignment wrapText="1"/>
    </xf>
    <xf numFmtId="0" fontId="60" fillId="39" borderId="30" xfId="59" applyFont="1" applyFill="1" applyBorder="1" applyAlignment="1">
      <alignment horizontal="center"/>
      <protection/>
    </xf>
    <xf numFmtId="164" fontId="60" fillId="0" borderId="16" xfId="42" applyNumberFormat="1" applyFont="1" applyFill="1" applyBorder="1" applyAlignment="1">
      <alignment/>
    </xf>
    <xf numFmtId="164" fontId="60" fillId="0" borderId="36" xfId="42" applyNumberFormat="1" applyFont="1" applyFill="1" applyBorder="1" applyAlignment="1">
      <alignment wrapText="1"/>
    </xf>
    <xf numFmtId="0" fontId="62" fillId="37" borderId="35" xfId="0" applyFont="1" applyFill="1" applyBorder="1" applyAlignment="1">
      <alignment/>
    </xf>
    <xf numFmtId="0" fontId="62" fillId="37" borderId="16" xfId="0" applyFont="1" applyFill="1" applyBorder="1" applyAlignment="1">
      <alignment wrapText="1"/>
    </xf>
    <xf numFmtId="0" fontId="60" fillId="39" borderId="28" xfId="59" applyFont="1" applyFill="1" applyBorder="1" applyAlignment="1">
      <alignment horizontal="center"/>
      <protection/>
    </xf>
    <xf numFmtId="179" fontId="60" fillId="39" borderId="23" xfId="47" applyNumberFormat="1" applyFont="1" applyFill="1" applyBorder="1" applyAlignment="1">
      <alignment horizontal="center"/>
    </xf>
    <xf numFmtId="179" fontId="60" fillId="39" borderId="16" xfId="47" applyNumberFormat="1" applyFont="1" applyFill="1" applyBorder="1" applyAlignment="1">
      <alignment horizontal="center" wrapText="1"/>
    </xf>
    <xf numFmtId="0" fontId="60" fillId="39" borderId="37" xfId="59" applyFont="1" applyFill="1" applyBorder="1" applyAlignment="1">
      <alignment horizontal="center"/>
      <protection/>
    </xf>
    <xf numFmtId="0" fontId="62" fillId="39" borderId="38" xfId="59" applyFont="1" applyFill="1" applyBorder="1" applyAlignment="1">
      <alignment horizontal="center"/>
      <protection/>
    </xf>
    <xf numFmtId="179" fontId="43" fillId="0" borderId="0" xfId="0" applyNumberFormat="1" applyFont="1" applyAlignment="1">
      <alignment wrapText="1"/>
    </xf>
    <xf numFmtId="0" fontId="60" fillId="39" borderId="37" xfId="59" applyFont="1" applyFill="1" applyBorder="1" applyAlignment="1">
      <alignment horizontal="center" wrapText="1"/>
      <protection/>
    </xf>
    <xf numFmtId="0" fontId="62" fillId="39" borderId="0" xfId="59" applyFont="1" applyFill="1" applyAlignment="1">
      <alignment horizontal="center"/>
      <protection/>
    </xf>
    <xf numFmtId="179" fontId="43" fillId="0" borderId="0" xfId="47" applyNumberFormat="1" applyFont="1" applyFill="1" applyBorder="1" applyAlignment="1">
      <alignment horizontal="center" wrapText="1"/>
    </xf>
    <xf numFmtId="179" fontId="60" fillId="0" borderId="0" xfId="47" applyNumberFormat="1" applyFont="1" applyFill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3 2" xfId="59"/>
    <cellStyle name="Normal 2" xfId="60"/>
    <cellStyle name="Normal 2 3" xfId="61"/>
    <cellStyle name="Normal_98REC_CR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ision\Accounting%20II\WUTC%20Filings\Commodity%20Credits\Filing%20June%202022\4172_4176_4183%20RSA%20King%20Co%20Workbook_21-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172-01\Share\Division\Accounting\2012\WUTC%20Commodity%20Credit\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ng County Recap"/>
      <sheetName val="Spend Recap"/>
      <sheetName val="Ledger"/>
      <sheetName val="King County RSA Spend 2021-2022"/>
      <sheetName val="King County RSA Spend 2022-2023"/>
      <sheetName val="2021-2022 Admin Time"/>
      <sheetName val="2022-2023 Admin Time"/>
      <sheetName val="Labor Expense"/>
      <sheetName val="Single Family"/>
      <sheetName val="Multi Family"/>
    </sheetNames>
    <sheetDataSet>
      <sheetData sheetId="2"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</sheetData>
      <sheetData sheetId="3">
        <row r="32">
          <cell r="P32">
            <v>215.88</v>
          </cell>
        </row>
        <row r="34">
          <cell r="P34">
            <v>77.71679999999999</v>
          </cell>
        </row>
        <row r="35">
          <cell r="P35">
            <v>112.25760000000001</v>
          </cell>
        </row>
        <row r="36">
          <cell r="P36">
            <v>25.9056</v>
          </cell>
        </row>
      </sheetData>
      <sheetData sheetId="4">
        <row r="29">
          <cell r="P29">
            <v>0</v>
          </cell>
        </row>
      </sheetData>
      <sheetData sheetId="5">
        <row r="38">
          <cell r="I38">
            <v>2629.6666666666674</v>
          </cell>
        </row>
      </sheetData>
      <sheetData sheetId="6">
        <row r="38">
          <cell r="I38">
            <v>0</v>
          </cell>
        </row>
      </sheetData>
      <sheetData sheetId="7">
        <row r="22">
          <cell r="P22">
            <v>643.0833333333334</v>
          </cell>
        </row>
        <row r="23">
          <cell r="P23">
            <v>10610.872</v>
          </cell>
        </row>
        <row r="24">
          <cell r="P24">
            <v>7073.914666666669</v>
          </cell>
        </row>
        <row r="25">
          <cell r="P25">
            <v>18327.870000000003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</sheetData>
      <sheetData sheetId="8">
        <row r="17">
          <cell r="F17">
            <v>96988.7</v>
          </cell>
          <cell r="M17">
            <v>170514.11</v>
          </cell>
          <cell r="T17">
            <v>34786.2</v>
          </cell>
          <cell r="V17">
            <v>12888.999999999998</v>
          </cell>
        </row>
        <row r="33">
          <cell r="F33">
            <v>0</v>
          </cell>
          <cell r="M33">
            <v>0</v>
          </cell>
          <cell r="T33">
            <v>0</v>
          </cell>
        </row>
      </sheetData>
      <sheetData sheetId="9">
        <row r="17">
          <cell r="F17">
            <v>8687.720000000001</v>
          </cell>
          <cell r="M17">
            <v>1738.4599999999998</v>
          </cell>
          <cell r="T17">
            <v>1900.98</v>
          </cell>
          <cell r="V17">
            <v>536.03</v>
          </cell>
        </row>
        <row r="34">
          <cell r="F34">
            <v>0</v>
          </cell>
          <cell r="M34">
            <v>0</v>
          </cell>
          <cell r="T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tabSelected="1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24.7109375" style="5" customWidth="1"/>
    <col min="2" max="2" width="10.57421875" style="5" customWidth="1"/>
    <col min="3" max="3" width="4.421875" style="5" customWidth="1"/>
    <col min="4" max="4" width="11.28125" style="5" customWidth="1"/>
    <col min="5" max="5" width="5.8515625" style="5" customWidth="1"/>
    <col min="6" max="6" width="11.28125" style="5" customWidth="1"/>
    <col min="7" max="7" width="8.7109375" style="5" customWidth="1"/>
    <col min="8" max="8" width="4.421875" style="5" customWidth="1"/>
    <col min="9" max="9" width="9.00390625" style="5" bestFit="1" customWidth="1"/>
    <col min="10" max="10" width="10.8515625" style="5" customWidth="1"/>
    <col min="11" max="11" width="7.140625" style="5" customWidth="1"/>
    <col min="12" max="14" width="9.57421875" style="5" customWidth="1"/>
    <col min="15" max="15" width="15.28125" style="5" customWidth="1"/>
    <col min="16" max="16" width="36.7109375" style="5" customWidth="1"/>
    <col min="17" max="22" width="9.57421875" style="5" customWidth="1"/>
    <col min="23" max="24" width="10.421875" style="5" customWidth="1"/>
    <col min="25" max="25" width="9.8515625" style="5" customWidth="1"/>
    <col min="26" max="26" width="9.140625" style="5" customWidth="1"/>
    <col min="27" max="27" width="10.421875" style="5" customWidth="1"/>
    <col min="28" max="16384" width="9.140625" style="5" customWidth="1"/>
  </cols>
  <sheetData>
    <row r="1" spans="1:27" ht="12.75">
      <c r="A1" s="1" t="s">
        <v>70</v>
      </c>
      <c r="B1" s="2"/>
      <c r="C1" s="2"/>
      <c r="D1" s="2"/>
      <c r="E1" s="2"/>
      <c r="F1" s="2"/>
      <c r="G1" s="3"/>
      <c r="H1" s="2"/>
      <c r="I1" s="2"/>
      <c r="J1" s="1" t="s">
        <v>63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</row>
    <row r="2" spans="1:27" ht="12.75">
      <c r="A2" s="6" t="s">
        <v>0</v>
      </c>
      <c r="B2" s="2"/>
      <c r="C2" s="2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7"/>
      <c r="Z2" s="7"/>
      <c r="AA2" s="7"/>
    </row>
    <row r="3" spans="1:27" ht="12.75">
      <c r="A3" s="6" t="str">
        <f>"For the Year Ended April "&amp;YEAR(A22)</f>
        <v>For the Year Ended April 2022</v>
      </c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123"/>
      <c r="P3" s="123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spans="1:22" ht="12.75">
      <c r="A4" s="6" t="s">
        <v>56</v>
      </c>
      <c r="B4" s="8"/>
      <c r="C4" s="8"/>
      <c r="D4" s="8"/>
      <c r="E4" s="8"/>
      <c r="F4" s="8"/>
      <c r="G4" s="2"/>
      <c r="H4" s="8"/>
      <c r="I4" s="2"/>
      <c r="J4" s="2"/>
      <c r="K4" s="8"/>
      <c r="L4" s="2"/>
      <c r="M4" s="2"/>
      <c r="N4" s="2"/>
      <c r="O4" s="123"/>
      <c r="P4" s="123"/>
      <c r="Q4" s="2"/>
      <c r="R4" s="2"/>
      <c r="S4" s="2"/>
      <c r="T4" s="2"/>
      <c r="U4" s="2"/>
      <c r="V4" s="2"/>
    </row>
    <row r="5" spans="1:27" ht="12.75">
      <c r="A5" s="9"/>
      <c r="B5" s="10"/>
      <c r="C5" s="11"/>
      <c r="D5" s="11"/>
      <c r="E5" s="11"/>
      <c r="F5" s="12" t="s">
        <v>1</v>
      </c>
      <c r="G5" s="11"/>
      <c r="H5" s="11"/>
      <c r="I5" s="11"/>
      <c r="J5" s="11"/>
      <c r="K5" s="11"/>
      <c r="L5" s="2"/>
      <c r="M5" s="2"/>
      <c r="N5" s="2"/>
      <c r="O5" s="138"/>
      <c r="P5" s="123"/>
      <c r="Q5" s="2"/>
      <c r="R5" s="2"/>
      <c r="S5" s="2"/>
      <c r="T5" s="2"/>
      <c r="U5" s="2"/>
      <c r="V5" s="13"/>
      <c r="W5" s="14"/>
      <c r="X5" s="14"/>
      <c r="Y5" s="14"/>
      <c r="AA5" s="14"/>
    </row>
    <row r="6" spans="1:16" s="16" customFormat="1" ht="11.25">
      <c r="A6" s="15"/>
      <c r="B6" s="12"/>
      <c r="C6" s="12"/>
      <c r="D6" s="12" t="s">
        <v>1</v>
      </c>
      <c r="E6" s="12"/>
      <c r="F6" s="12" t="s">
        <v>2</v>
      </c>
      <c r="G6" s="12"/>
      <c r="H6" s="12"/>
      <c r="I6" s="12"/>
      <c r="J6" s="12"/>
      <c r="K6" s="12"/>
      <c r="O6" s="139"/>
      <c r="P6" s="90"/>
    </row>
    <row r="7" spans="1:16" s="16" customFormat="1" ht="11.25">
      <c r="A7" s="15" t="s">
        <v>3</v>
      </c>
      <c r="B7" s="12" t="s">
        <v>57</v>
      </c>
      <c r="C7" s="12"/>
      <c r="D7" s="12" t="s">
        <v>2</v>
      </c>
      <c r="E7" s="12"/>
      <c r="F7" s="12" t="s">
        <v>58</v>
      </c>
      <c r="G7" s="12"/>
      <c r="H7" s="12"/>
      <c r="I7" s="12"/>
      <c r="J7" s="12" t="s">
        <v>59</v>
      </c>
      <c r="K7" s="12"/>
      <c r="O7" s="139"/>
      <c r="P7" s="90"/>
    </row>
    <row r="8" spans="1:16" s="16" customFormat="1" ht="11.25">
      <c r="A8" s="114">
        <f>Multi_Family!$C$6</f>
        <v>44317</v>
      </c>
      <c r="B8" s="132">
        <v>512.4245</v>
      </c>
      <c r="C8" s="12"/>
      <c r="D8" s="89">
        <f>VLOOKUP(A8,Value!$A$6:$O$17,15,)</f>
        <v>112.50718552999997</v>
      </c>
      <c r="E8" s="12"/>
      <c r="F8" s="16">
        <f aca="true" t="shared" si="0" ref="F8:F18">ROUND(D8/B8,2)</f>
        <v>0.22</v>
      </c>
      <c r="G8" s="12"/>
      <c r="H8" s="12"/>
      <c r="I8" s="12"/>
      <c r="J8" s="14">
        <f>+B8</f>
        <v>512.4245</v>
      </c>
      <c r="K8" s="13">
        <f aca="true" t="shared" si="1" ref="K8:K18">YEAR(A8)</f>
        <v>2021</v>
      </c>
      <c r="O8" s="140"/>
      <c r="P8" s="90"/>
    </row>
    <row r="9" spans="1:16" s="16" customFormat="1" ht="11.25">
      <c r="A9" s="17">
        <f aca="true" t="shared" si="2" ref="A9:A18">EOMONTH(A8,1)</f>
        <v>44377</v>
      </c>
      <c r="B9" s="132">
        <v>512.4245</v>
      </c>
      <c r="C9" s="18"/>
      <c r="D9" s="89">
        <f>VLOOKUP(A9,Value!$A$6:$O$17,15,)</f>
        <v>198.63319828500002</v>
      </c>
      <c r="E9" s="14"/>
      <c r="F9" s="16">
        <f t="shared" si="0"/>
        <v>0.39</v>
      </c>
      <c r="G9" s="14"/>
      <c r="H9" s="14"/>
      <c r="I9" s="14"/>
      <c r="J9" s="14">
        <f aca="true" t="shared" si="3" ref="J9:J18">+B9</f>
        <v>512.4245</v>
      </c>
      <c r="K9" s="13">
        <f t="shared" si="1"/>
        <v>2021</v>
      </c>
      <c r="O9" s="140"/>
      <c r="P9" s="90"/>
    </row>
    <row r="10" spans="1:16" s="16" customFormat="1" ht="11.25">
      <c r="A10" s="17">
        <f t="shared" si="2"/>
        <v>44408</v>
      </c>
      <c r="B10" s="132">
        <v>512.4245</v>
      </c>
      <c r="C10" s="14"/>
      <c r="D10" s="89">
        <f>VLOOKUP(A10,Value!$A$6:$O$17,15,)</f>
        <v>172.09505921200002</v>
      </c>
      <c r="E10" s="14"/>
      <c r="F10" s="16">
        <f t="shared" si="0"/>
        <v>0.34</v>
      </c>
      <c r="G10" s="14"/>
      <c r="H10" s="14"/>
      <c r="I10" s="14"/>
      <c r="J10" s="14">
        <f t="shared" si="3"/>
        <v>512.4245</v>
      </c>
      <c r="K10" s="13">
        <f t="shared" si="1"/>
        <v>2021</v>
      </c>
      <c r="O10" s="140"/>
      <c r="P10" s="90"/>
    </row>
    <row r="11" spans="1:16" s="16" customFormat="1" ht="11.25">
      <c r="A11" s="17"/>
      <c r="B11" s="89"/>
      <c r="C11" s="14"/>
      <c r="D11" s="89"/>
      <c r="E11" s="14"/>
      <c r="G11" s="21"/>
      <c r="H11" s="14"/>
      <c r="I11" s="14"/>
      <c r="J11" s="14"/>
      <c r="K11" s="13"/>
      <c r="O11" s="140"/>
      <c r="P11" s="90"/>
    </row>
    <row r="12" spans="1:16" s="16" customFormat="1" ht="11.25">
      <c r="A12" s="17" t="s">
        <v>92</v>
      </c>
      <c r="B12" s="136">
        <f>SUM(B8:B10)</f>
        <v>1537.2734999999998</v>
      </c>
      <c r="C12" s="14"/>
      <c r="D12" s="137">
        <f>SUM(D8:D10)</f>
        <v>483.23544302700003</v>
      </c>
      <c r="E12" s="14"/>
      <c r="G12" s="21"/>
      <c r="H12" s="14"/>
      <c r="I12" s="14"/>
      <c r="J12" s="14"/>
      <c r="K12" s="13"/>
      <c r="O12" s="140"/>
      <c r="P12" s="90"/>
    </row>
    <row r="13" spans="1:16" s="16" customFormat="1" ht="11.25">
      <c r="A13" s="17"/>
      <c r="B13" s="89"/>
      <c r="C13" s="14"/>
      <c r="D13" s="89"/>
      <c r="E13" s="14"/>
      <c r="G13" s="21"/>
      <c r="H13" s="14"/>
      <c r="I13" s="14"/>
      <c r="J13" s="14"/>
      <c r="K13" s="13"/>
      <c r="O13" s="140"/>
      <c r="P13" s="90"/>
    </row>
    <row r="14" spans="1:16" s="16" customFormat="1" ht="11.25">
      <c r="A14" s="17">
        <f>EOMONTH(A10,1)</f>
        <v>44439</v>
      </c>
      <c r="B14" s="133">
        <v>512.4245</v>
      </c>
      <c r="C14" s="14"/>
      <c r="D14" s="89">
        <f>VLOOKUP(A14,Value!$A$6:$O$17,15,)</f>
        <v>193.12193936800003</v>
      </c>
      <c r="E14" s="14"/>
      <c r="F14" s="16">
        <f t="shared" si="0"/>
        <v>0.38</v>
      </c>
      <c r="G14" s="21"/>
      <c r="H14" s="14"/>
      <c r="I14" s="14"/>
      <c r="J14" s="14">
        <f t="shared" si="3"/>
        <v>512.4245</v>
      </c>
      <c r="K14" s="13">
        <f t="shared" si="1"/>
        <v>2021</v>
      </c>
      <c r="O14" s="140"/>
      <c r="P14" s="90"/>
    </row>
    <row r="15" spans="1:16" s="16" customFormat="1" ht="11.25">
      <c r="A15" s="17">
        <f t="shared" si="2"/>
        <v>44469</v>
      </c>
      <c r="B15" s="133">
        <v>512.4245</v>
      </c>
      <c r="C15" s="14"/>
      <c r="D15" s="89">
        <f>VLOOKUP(A15,Value!$A$6:$O$17,15,)</f>
        <v>214.74342304800004</v>
      </c>
      <c r="E15" s="14"/>
      <c r="F15" s="16">
        <f t="shared" si="0"/>
        <v>0.42</v>
      </c>
      <c r="G15" s="21"/>
      <c r="H15" s="14"/>
      <c r="I15" s="14"/>
      <c r="J15" s="14">
        <f t="shared" si="3"/>
        <v>512.4245</v>
      </c>
      <c r="K15" s="13">
        <f t="shared" si="1"/>
        <v>2021</v>
      </c>
      <c r="O15" s="140"/>
      <c r="P15" s="90"/>
    </row>
    <row r="16" spans="1:16" s="16" customFormat="1" ht="11.25">
      <c r="A16" s="17">
        <f t="shared" si="2"/>
        <v>44500</v>
      </c>
      <c r="B16" s="133">
        <v>547.06</v>
      </c>
      <c r="C16" s="14"/>
      <c r="D16" s="89">
        <f>VLOOKUP(A16,Value!$A$6:$O$17,15,)</f>
        <v>218.85954222300003</v>
      </c>
      <c r="E16" s="14"/>
      <c r="F16" s="16">
        <f t="shared" si="0"/>
        <v>0.4</v>
      </c>
      <c r="G16" s="21"/>
      <c r="H16" s="14"/>
      <c r="I16" s="14"/>
      <c r="J16" s="14">
        <f t="shared" si="3"/>
        <v>547.06</v>
      </c>
      <c r="K16" s="13">
        <f t="shared" si="1"/>
        <v>2021</v>
      </c>
      <c r="O16" s="140"/>
      <c r="P16" s="90"/>
    </row>
    <row r="17" spans="1:16" s="16" customFormat="1" ht="11.25">
      <c r="A17" s="17">
        <f>EOMONTH(A16,1)</f>
        <v>44530</v>
      </c>
      <c r="B17" s="133">
        <v>529.74</v>
      </c>
      <c r="C17" s="14"/>
      <c r="D17" s="89">
        <f>VLOOKUP(A17,Value!$A$6:$O$17,15,)</f>
        <v>199.44587611800006</v>
      </c>
      <c r="E17" s="14"/>
      <c r="F17" s="16">
        <f t="shared" si="0"/>
        <v>0.38</v>
      </c>
      <c r="G17" s="21"/>
      <c r="H17" s="14"/>
      <c r="I17" s="14"/>
      <c r="J17" s="14">
        <f t="shared" si="3"/>
        <v>529.74</v>
      </c>
      <c r="K17" s="13">
        <f t="shared" si="1"/>
        <v>2021</v>
      </c>
      <c r="O17" s="140"/>
      <c r="P17" s="90"/>
    </row>
    <row r="18" spans="1:25" s="16" customFormat="1" ht="11.25">
      <c r="A18" s="17">
        <f t="shared" si="2"/>
        <v>44561</v>
      </c>
      <c r="B18" s="133">
        <v>529.74</v>
      </c>
      <c r="C18" s="14"/>
      <c r="D18" s="89">
        <f>VLOOKUP(A18,Value!$A$6:$O$17,15,)</f>
        <v>83.596285552</v>
      </c>
      <c r="E18" s="14"/>
      <c r="F18" s="16">
        <f t="shared" si="0"/>
        <v>0.16</v>
      </c>
      <c r="G18" s="21"/>
      <c r="H18" s="14"/>
      <c r="I18" s="14"/>
      <c r="J18" s="14">
        <f t="shared" si="3"/>
        <v>529.74</v>
      </c>
      <c r="K18" s="13">
        <f t="shared" si="1"/>
        <v>2021</v>
      </c>
      <c r="O18" s="140"/>
      <c r="P18" s="90"/>
      <c r="X18" s="14"/>
      <c r="Y18" s="14"/>
    </row>
    <row r="19" spans="1:27" s="16" customFormat="1" ht="11.25">
      <c r="A19" s="17">
        <f>EOMONTH(A18,1)</f>
        <v>44592</v>
      </c>
      <c r="B19" s="133">
        <v>529.74</v>
      </c>
      <c r="C19" s="14"/>
      <c r="D19" s="89">
        <f>VLOOKUP(A19,Value!$A$6:$O$17,15,)</f>
        <v>95.94118560000008</v>
      </c>
      <c r="E19" s="14"/>
      <c r="F19" s="16">
        <f>ROUND(D19/B19,2)</f>
        <v>0.18</v>
      </c>
      <c r="G19" s="21"/>
      <c r="H19" s="14"/>
      <c r="I19" s="14"/>
      <c r="J19" s="14">
        <f>+B19</f>
        <v>529.74</v>
      </c>
      <c r="K19" s="13">
        <f>YEAR(A19)</f>
        <v>2022</v>
      </c>
      <c r="L19" s="14"/>
      <c r="M19" s="14"/>
      <c r="N19" s="14"/>
      <c r="O19" s="140"/>
      <c r="P19" s="90"/>
      <c r="Q19" s="14"/>
      <c r="R19" s="14"/>
      <c r="S19" s="14"/>
      <c r="T19" s="14"/>
      <c r="U19" s="14"/>
      <c r="V19" s="14"/>
      <c r="W19" s="14"/>
      <c r="Y19" s="14"/>
      <c r="AA19" s="14"/>
    </row>
    <row r="20" spans="1:16" s="16" customFormat="1" ht="11.25">
      <c r="A20" s="17">
        <f>EOMONTH(A19,1)</f>
        <v>44620</v>
      </c>
      <c r="B20" s="133">
        <v>529.74</v>
      </c>
      <c r="C20" s="14"/>
      <c r="D20" s="89">
        <f>VLOOKUP(A20,Value!$A$6:$O$17,15,)</f>
        <v>93.49244566200002</v>
      </c>
      <c r="E20" s="14"/>
      <c r="F20" s="16">
        <f>ROUND(D20/B20,2)</f>
        <v>0.18</v>
      </c>
      <c r="G20" s="21"/>
      <c r="H20" s="14"/>
      <c r="I20" s="14"/>
      <c r="J20" s="14">
        <f>+B20</f>
        <v>529.74</v>
      </c>
      <c r="K20" s="13">
        <f>YEAR(A20)</f>
        <v>2022</v>
      </c>
      <c r="O20" s="140"/>
      <c r="P20" s="32"/>
    </row>
    <row r="21" spans="1:16" s="16" customFormat="1" ht="11.25">
      <c r="A21" s="17">
        <f>EOMONTH(A20,1)</f>
        <v>44651</v>
      </c>
      <c r="B21" s="133">
        <v>547.06</v>
      </c>
      <c r="C21" s="14"/>
      <c r="D21" s="89">
        <f>VLOOKUP(A21,Value!$A$6:$O$17,15,)</f>
        <v>185.25246137000008</v>
      </c>
      <c r="E21" s="14"/>
      <c r="F21" s="16">
        <f>ROUND(D21/B21,2)</f>
        <v>0.34</v>
      </c>
      <c r="G21" s="21"/>
      <c r="H21" s="18"/>
      <c r="I21" s="14"/>
      <c r="J21" s="14">
        <f>+B21</f>
        <v>547.06</v>
      </c>
      <c r="K21" s="13">
        <f>YEAR(A21)</f>
        <v>2022</v>
      </c>
      <c r="O21" s="140"/>
      <c r="P21" s="90"/>
    </row>
    <row r="22" spans="1:16" s="16" customFormat="1" ht="11.25">
      <c r="A22" s="17">
        <f>EOMONTH(A21,1)</f>
        <v>44681</v>
      </c>
      <c r="B22" s="133">
        <v>564.38</v>
      </c>
      <c r="C22" s="14"/>
      <c r="D22" s="89">
        <f>VLOOKUP(A22,Value!$A$6:$O$17,15,)</f>
        <v>133.10628800000006</v>
      </c>
      <c r="E22" s="14"/>
      <c r="F22" s="16">
        <f>ROUND(D22/B22,2)</f>
        <v>0.24</v>
      </c>
      <c r="G22" s="21"/>
      <c r="H22" s="18"/>
      <c r="I22" s="14"/>
      <c r="J22" s="14">
        <f>+B22</f>
        <v>564.38</v>
      </c>
      <c r="K22" s="13">
        <f>YEAR(A22)</f>
        <v>2022</v>
      </c>
      <c r="O22" s="140"/>
      <c r="P22" s="90"/>
    </row>
    <row r="23" spans="1:16" s="16" customFormat="1" ht="11.25">
      <c r="A23" s="17"/>
      <c r="B23" s="14"/>
      <c r="C23" s="14"/>
      <c r="E23" s="14"/>
      <c r="G23" s="14"/>
      <c r="H23" s="14"/>
      <c r="I23" s="14"/>
      <c r="J23" s="14"/>
      <c r="K23" s="13"/>
      <c r="O23" s="141"/>
      <c r="P23" s="90"/>
    </row>
    <row r="24" spans="1:16" s="16" customFormat="1" ht="11.25">
      <c r="A24" s="17" t="s">
        <v>71</v>
      </c>
      <c r="B24" s="19">
        <f>SUM(B14:B22)</f>
        <v>4802.309</v>
      </c>
      <c r="D24" s="20">
        <f>SUM(D14:D22)</f>
        <v>1417.5594469410003</v>
      </c>
      <c r="G24" s="14"/>
      <c r="H24" s="14"/>
      <c r="I24" s="14"/>
      <c r="J24" s="14"/>
      <c r="K24" s="13"/>
      <c r="O24" s="141"/>
      <c r="P24" s="95"/>
    </row>
    <row r="25" spans="1:16" s="16" customFormat="1" ht="12.75">
      <c r="A25" s="5"/>
      <c r="B25" s="5"/>
      <c r="C25" s="5"/>
      <c r="D25" s="22"/>
      <c r="E25" s="5"/>
      <c r="F25" s="5"/>
      <c r="G25" s="5"/>
      <c r="H25" s="5"/>
      <c r="I25" s="5"/>
      <c r="J25" s="5"/>
      <c r="K25" s="5"/>
      <c r="O25" s="141"/>
      <c r="P25" s="99"/>
    </row>
    <row r="26" spans="1:16" s="16" customFormat="1" ht="12" thickBot="1">
      <c r="A26" s="23" t="s">
        <v>72</v>
      </c>
      <c r="B26" s="24">
        <f>B12+B24</f>
        <v>6339.5825</v>
      </c>
      <c r="D26" s="25">
        <f>D12+D24</f>
        <v>1900.7948899680002</v>
      </c>
      <c r="E26" s="18" t="s">
        <v>4</v>
      </c>
      <c r="F26" s="21">
        <f>ROUND(D26/B26,3)</f>
        <v>0.3</v>
      </c>
      <c r="G26" s="18" t="s">
        <v>5</v>
      </c>
      <c r="H26" s="14"/>
      <c r="I26" s="14"/>
      <c r="J26" s="24">
        <f>SUM(J8:J25)</f>
        <v>6339.5824999999995</v>
      </c>
      <c r="K26" s="18" t="s">
        <v>6</v>
      </c>
      <c r="O26" s="142"/>
      <c r="P26" s="90"/>
    </row>
    <row r="27" spans="2:16" s="16" customFormat="1" ht="12" thickTop="1">
      <c r="B27" s="14"/>
      <c r="C27" s="18"/>
      <c r="D27" s="14"/>
      <c r="E27" s="14"/>
      <c r="F27" s="14"/>
      <c r="G27" s="14"/>
      <c r="H27" s="14"/>
      <c r="I27" s="14"/>
      <c r="J27" s="14"/>
      <c r="K27" s="14"/>
      <c r="O27" s="32"/>
      <c r="P27" s="90"/>
    </row>
    <row r="28" spans="2:16" s="16" customFormat="1" ht="11.25">
      <c r="B28" s="14"/>
      <c r="C28" s="14"/>
      <c r="D28" s="14"/>
      <c r="E28" s="14"/>
      <c r="F28" s="14"/>
      <c r="G28" s="14"/>
      <c r="H28" s="14"/>
      <c r="I28" s="14"/>
      <c r="J28" s="14"/>
      <c r="K28" s="14"/>
      <c r="O28" s="90"/>
      <c r="P28" s="90"/>
    </row>
    <row r="29" spans="2:16" s="16" customFormat="1" ht="11.25">
      <c r="B29" s="14"/>
      <c r="C29" s="14"/>
      <c r="D29" s="14"/>
      <c r="E29" s="14"/>
      <c r="F29" s="14"/>
      <c r="G29" s="14"/>
      <c r="H29" s="14"/>
      <c r="I29" s="14"/>
      <c r="J29" s="14"/>
      <c r="K29" s="14"/>
      <c r="O29" s="90"/>
      <c r="P29" s="90"/>
    </row>
    <row r="30" spans="2:16" s="16" customFormat="1" ht="12" thickBot="1">
      <c r="B30" s="26" t="s">
        <v>7</v>
      </c>
      <c r="C30" s="27"/>
      <c r="D30" s="27"/>
      <c r="E30" s="27"/>
      <c r="F30" s="14"/>
      <c r="G30" s="14"/>
      <c r="H30" s="14"/>
      <c r="I30" s="14"/>
      <c r="J30" s="14"/>
      <c r="K30" s="14"/>
      <c r="O30" s="90"/>
      <c r="P30" s="90"/>
    </row>
    <row r="31" spans="1:25" s="16" customFormat="1" ht="12" thickTop="1">
      <c r="A31" s="6"/>
      <c r="B31" s="28"/>
      <c r="C31" s="14"/>
      <c r="D31" s="14"/>
      <c r="E31" s="14"/>
      <c r="F31" s="14"/>
      <c r="G31" s="14"/>
      <c r="H31" s="14"/>
      <c r="I31" s="14"/>
      <c r="J31" s="14"/>
      <c r="K31" s="14"/>
      <c r="O31" s="90"/>
      <c r="P31" s="90"/>
      <c r="X31" s="14"/>
      <c r="Y31" s="14"/>
    </row>
    <row r="32" spans="1:16" s="16" customFormat="1" ht="11.25">
      <c r="A32" s="8"/>
      <c r="B32" s="28"/>
      <c r="C32" s="14"/>
      <c r="D32" s="14"/>
      <c r="E32" s="14"/>
      <c r="F32" s="29" t="s">
        <v>8</v>
      </c>
      <c r="G32" s="14">
        <f>D26</f>
        <v>1900.7948899680002</v>
      </c>
      <c r="H32" s="18" t="s">
        <v>4</v>
      </c>
      <c r="I32" s="14"/>
      <c r="J32" s="14"/>
      <c r="K32" s="14"/>
      <c r="O32" s="90"/>
      <c r="P32" s="90"/>
    </row>
    <row r="33" spans="1:27" s="13" customFormat="1" ht="11.25">
      <c r="A33" s="30"/>
      <c r="B33" s="28"/>
      <c r="C33" s="14"/>
      <c r="D33" s="14"/>
      <c r="E33" s="14"/>
      <c r="F33" s="14"/>
      <c r="G33" s="14"/>
      <c r="H33" s="18"/>
      <c r="I33" s="14"/>
      <c r="J33" s="14"/>
      <c r="K33" s="14"/>
      <c r="O33" s="90"/>
      <c r="P33" s="143"/>
      <c r="W33" s="14"/>
      <c r="X33" s="16"/>
      <c r="Y33" s="16"/>
      <c r="AA33" s="14"/>
    </row>
    <row r="34" spans="1:16" s="16" customFormat="1" ht="11.25">
      <c r="A34" s="16" t="s">
        <v>87</v>
      </c>
      <c r="B34" s="14" t="s">
        <v>60</v>
      </c>
      <c r="C34" s="14"/>
      <c r="D34" s="14"/>
      <c r="E34" s="14"/>
      <c r="F34" s="31">
        <v>0.049</v>
      </c>
      <c r="G34" s="14"/>
      <c r="H34" s="14"/>
      <c r="I34" s="14"/>
      <c r="J34" s="14"/>
      <c r="K34" s="14"/>
      <c r="O34" s="90"/>
      <c r="P34" s="90"/>
    </row>
    <row r="35" spans="2:16" s="16" customFormat="1" ht="11.25">
      <c r="B35" s="14"/>
      <c r="C35" s="14" t="str">
        <f>"Customers from "&amp;TEXT($A$8,"mm/yy")&amp;" - "&amp;TEXT($A$10,"mm/yy")</f>
        <v>Customers from 05/21 - 07/21</v>
      </c>
      <c r="D35" s="14"/>
      <c r="E35" s="14"/>
      <c r="F35" s="14">
        <f>B12</f>
        <v>1537.2734999999998</v>
      </c>
      <c r="G35" s="18"/>
      <c r="H35" s="14"/>
      <c r="I35" s="14"/>
      <c r="J35" s="14"/>
      <c r="K35" s="14"/>
      <c r="O35" s="144"/>
      <c r="P35" s="90"/>
    </row>
    <row r="36" spans="2:16" s="16" customFormat="1" ht="11.25">
      <c r="B36" s="14"/>
      <c r="C36" s="14" t="s">
        <v>9</v>
      </c>
      <c r="D36" s="14"/>
      <c r="E36" s="14"/>
      <c r="F36" s="19">
        <f>ROUND(F34*F35,0)</f>
        <v>75</v>
      </c>
      <c r="G36" s="18"/>
      <c r="H36" s="14"/>
      <c r="I36" s="14"/>
      <c r="J36" s="14"/>
      <c r="K36" s="14"/>
      <c r="O36" s="90"/>
      <c r="P36" s="90"/>
    </row>
    <row r="37" spans="2:11" s="16" customFormat="1" ht="11.25">
      <c r="B37" s="14"/>
      <c r="C37" s="14"/>
      <c r="D37" s="14"/>
      <c r="E37" s="14"/>
      <c r="F37" s="32"/>
      <c r="G37" s="18"/>
      <c r="H37" s="14"/>
      <c r="I37" s="14"/>
      <c r="J37" s="14"/>
      <c r="K37" s="14"/>
    </row>
    <row r="38" spans="2:11" s="16" customFormat="1" ht="11.25">
      <c r="B38" s="14" t="s">
        <v>60</v>
      </c>
      <c r="C38" s="14"/>
      <c r="D38" s="14"/>
      <c r="E38" s="14"/>
      <c r="F38" s="31">
        <v>0.052</v>
      </c>
      <c r="G38" s="14"/>
      <c r="H38" s="14"/>
      <c r="I38" s="14"/>
      <c r="J38" s="14"/>
      <c r="K38" s="14"/>
    </row>
    <row r="39" spans="2:11" s="16" customFormat="1" ht="11.25">
      <c r="B39" s="14"/>
      <c r="C39" s="14" t="str">
        <f>"Yards from "&amp;TEXT($A$14,"mm/yy")&amp;" - "&amp;TEXT($A$22,"mm/yy")</f>
        <v>Yards from 08/21 - 04/22</v>
      </c>
      <c r="D39" s="14"/>
      <c r="E39" s="14"/>
      <c r="F39" s="14">
        <f>B24</f>
        <v>4802.309</v>
      </c>
      <c r="G39" s="18"/>
      <c r="H39" s="14"/>
      <c r="I39" s="14"/>
      <c r="J39" s="14"/>
      <c r="K39" s="14"/>
    </row>
    <row r="40" spans="2:11" s="16" customFormat="1" ht="11.25">
      <c r="B40" s="14"/>
      <c r="C40" s="14" t="s">
        <v>9</v>
      </c>
      <c r="D40" s="14"/>
      <c r="E40" s="14"/>
      <c r="F40" s="19">
        <f>ROUND(F38*F39,0)</f>
        <v>250</v>
      </c>
      <c r="G40" s="18"/>
      <c r="H40" s="14"/>
      <c r="I40" s="14"/>
      <c r="J40" s="14"/>
      <c r="K40" s="14"/>
    </row>
    <row r="41" spans="2:11" s="16" customFormat="1" ht="11.25">
      <c r="B41" s="14"/>
      <c r="C41" s="14"/>
      <c r="D41" s="14"/>
      <c r="E41" s="14"/>
      <c r="F41" s="33"/>
      <c r="G41" s="18"/>
      <c r="H41" s="14"/>
      <c r="I41" s="14"/>
      <c r="J41" s="14"/>
      <c r="K41" s="14"/>
    </row>
    <row r="42" spans="2:11" s="16" customFormat="1" ht="12" thickBot="1">
      <c r="B42" s="14"/>
      <c r="C42" s="14" t="s">
        <v>10</v>
      </c>
      <c r="D42" s="14"/>
      <c r="E42" s="14"/>
      <c r="F42" s="24">
        <f>+F36+F40</f>
        <v>325</v>
      </c>
      <c r="G42" s="34">
        <f>+F42</f>
        <v>325</v>
      </c>
      <c r="H42" s="14"/>
      <c r="I42" s="14"/>
      <c r="J42" s="14"/>
      <c r="K42" s="14"/>
    </row>
    <row r="43" spans="2:11" s="16" customFormat="1" ht="12" thickTop="1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s="16" customFormat="1" ht="11.25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s="16" customFormat="1" ht="12" thickBot="1">
      <c r="B45" s="14"/>
      <c r="C45" s="14"/>
      <c r="D45" s="14"/>
      <c r="E45" s="14"/>
      <c r="F45" s="29" t="str">
        <f>IF(G45&lt;0,"Excess","Deficient")&amp;" Commodity Credits"</f>
        <v>Deficient Commodity Credits</v>
      </c>
      <c r="G45" s="35">
        <f>+G32-G42</f>
        <v>1575.7948899680002</v>
      </c>
      <c r="H45" s="14"/>
      <c r="I45" s="14"/>
      <c r="J45" s="14"/>
      <c r="K45" s="14"/>
    </row>
    <row r="46" spans="2:25" s="16" customFormat="1" ht="12" thickTop="1">
      <c r="B46" s="14"/>
      <c r="C46" s="14"/>
      <c r="D46" s="14"/>
      <c r="E46" s="14"/>
      <c r="F46" s="14"/>
      <c r="G46" s="14"/>
      <c r="H46" s="14"/>
      <c r="I46" s="14"/>
      <c r="J46" s="14"/>
      <c r="K46" s="14"/>
      <c r="Y46" s="14"/>
    </row>
    <row r="47" spans="2:11" s="16" customFormat="1" ht="11.2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s="16" customFormat="1" ht="12" thickBot="1">
      <c r="B48" s="26" t="str">
        <f>$K$22+1&amp;" Recycle Adjustment Calculation"</f>
        <v>2023 Recycle Adjustment Calculation</v>
      </c>
      <c r="C48" s="27"/>
      <c r="D48" s="27"/>
      <c r="E48" s="27"/>
      <c r="F48" s="27"/>
      <c r="G48" s="14"/>
      <c r="H48" s="14"/>
      <c r="I48" s="14"/>
      <c r="J48" s="14"/>
      <c r="K48" s="14"/>
    </row>
    <row r="49" spans="2:27" s="16" customFormat="1" ht="12" thickTop="1">
      <c r="B49" s="2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AA49" s="14"/>
    </row>
    <row r="50" spans="2:11" s="16" customFormat="1" ht="11.25">
      <c r="B50" s="14" t="s">
        <v>67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2:11" s="16" customFormat="1" ht="11.25">
      <c r="B51" s="14"/>
      <c r="C51" s="14"/>
      <c r="D51" s="14"/>
      <c r="E51" s="14"/>
      <c r="F51" s="29" t="s">
        <v>73</v>
      </c>
      <c r="G51" s="14">
        <f>+J26</f>
        <v>6339.5824999999995</v>
      </c>
      <c r="H51" s="18" t="s">
        <v>6</v>
      </c>
      <c r="I51" s="14"/>
      <c r="J51" s="14"/>
      <c r="K51" s="14"/>
    </row>
    <row r="52" spans="2:11" s="16" customFormat="1" ht="11.25">
      <c r="B52" s="14"/>
      <c r="C52" s="14"/>
      <c r="D52" s="14"/>
      <c r="E52" s="14"/>
      <c r="F52" s="29" t="str">
        <f>+F45</f>
        <v>Deficient Commodity Credits</v>
      </c>
      <c r="G52" s="14">
        <f>+G45</f>
        <v>1575.7948899680002</v>
      </c>
      <c r="H52" s="14"/>
      <c r="I52" s="14"/>
      <c r="J52" s="14"/>
      <c r="K52" s="14"/>
    </row>
    <row r="53" spans="2:11" s="16" customFormat="1" ht="11.25">
      <c r="B53" s="14"/>
      <c r="C53" s="14"/>
      <c r="D53" s="14"/>
      <c r="E53" s="14"/>
      <c r="F53" s="29"/>
      <c r="G53" s="14"/>
      <c r="H53" s="14"/>
      <c r="I53" s="14"/>
      <c r="J53" s="14"/>
      <c r="K53" s="14"/>
    </row>
    <row r="54" spans="2:11" s="16" customFormat="1" ht="12" thickBot="1">
      <c r="B54" s="14"/>
      <c r="C54" s="14"/>
      <c r="D54" s="14"/>
      <c r="E54" s="14"/>
      <c r="F54" s="29" t="str">
        <f>$K$10&amp;"/"&amp;$K$21&amp;" Monthly True-up Amount"</f>
        <v>2021/2022 Monthly True-up Amount</v>
      </c>
      <c r="G54" s="36">
        <f>ROUND(G52/G51,3)</f>
        <v>0.249</v>
      </c>
      <c r="H54" s="14"/>
      <c r="I54" s="21">
        <f>+G54</f>
        <v>0.249</v>
      </c>
      <c r="J54" s="14"/>
      <c r="K54" s="14"/>
    </row>
    <row r="55" spans="2:25" s="16" customFormat="1" ht="12" thickTop="1">
      <c r="B55" s="14"/>
      <c r="C55" s="14"/>
      <c r="D55" s="14"/>
      <c r="E55" s="14"/>
      <c r="F55" s="29"/>
      <c r="G55" s="14"/>
      <c r="H55" s="14"/>
      <c r="I55" s="21"/>
      <c r="J55" s="14"/>
      <c r="K55" s="14"/>
      <c r="Y55" s="14"/>
    </row>
    <row r="56" spans="2:11" s="16" customFormat="1" ht="11.25">
      <c r="B56" s="14" t="str">
        <f>" Projected Debit"</f>
        <v> Projected Debit</v>
      </c>
      <c r="C56" s="14"/>
      <c r="D56" s="14"/>
      <c r="E56" s="14"/>
      <c r="F56" s="29"/>
      <c r="G56" s="14"/>
      <c r="H56" s="14"/>
      <c r="I56" s="21"/>
      <c r="J56" s="14"/>
      <c r="K56" s="14"/>
    </row>
    <row r="57" spans="2:15" s="16" customFormat="1" ht="12" thickBot="1">
      <c r="B57" s="28"/>
      <c r="C57" s="14"/>
      <c r="D57" s="14"/>
      <c r="E57" s="14"/>
      <c r="F57" s="29" t="s">
        <v>90</v>
      </c>
      <c r="G57" s="131">
        <f>F26</f>
        <v>0.3</v>
      </c>
      <c r="H57" s="14"/>
      <c r="I57" s="21">
        <f>+G57</f>
        <v>0.3</v>
      </c>
      <c r="J57" s="18" t="s">
        <v>5</v>
      </c>
      <c r="K57" s="14"/>
      <c r="O57" s="129" t="s">
        <v>64</v>
      </c>
    </row>
    <row r="58" spans="2:25" s="14" customFormat="1" ht="12" thickTop="1">
      <c r="B58" s="28"/>
      <c r="I58" s="21"/>
      <c r="O58" s="130">
        <v>0.5</v>
      </c>
      <c r="X58" s="16"/>
      <c r="Y58" s="16"/>
    </row>
    <row r="59" spans="2:11" s="16" customFormat="1" ht="12" thickBot="1">
      <c r="B59" s="14"/>
      <c r="C59" s="14"/>
      <c r="D59" s="14"/>
      <c r="E59" s="14"/>
      <c r="F59" s="14"/>
      <c r="G59" s="29" t="s">
        <v>134</v>
      </c>
      <c r="H59" s="24"/>
      <c r="I59" s="36">
        <f>+I54+I57</f>
        <v>0.5489999999999999</v>
      </c>
      <c r="J59" s="14"/>
      <c r="K59" s="14"/>
    </row>
    <row r="60" s="16" customFormat="1" ht="12" thickTop="1">
      <c r="I60" s="21"/>
    </row>
    <row r="61" spans="7:9" s="16" customFormat="1" ht="11.25">
      <c r="G61" s="113" t="s">
        <v>62</v>
      </c>
      <c r="I61" s="16">
        <f>+I59*3.5</f>
        <v>1.9214999999999998</v>
      </c>
    </row>
    <row r="62" spans="1:7" s="16" customFormat="1" ht="11.25">
      <c r="A62" s="91"/>
      <c r="B62" s="92"/>
      <c r="C62" s="93"/>
      <c r="D62" s="93"/>
      <c r="E62" s="93"/>
      <c r="F62" s="94"/>
      <c r="G62" s="113"/>
    </row>
    <row r="63" spans="1:7" s="16" customFormat="1" ht="11.25">
      <c r="A63" s="91"/>
      <c r="B63" s="92"/>
      <c r="C63" s="93"/>
      <c r="D63" s="93"/>
      <c r="E63" s="93"/>
      <c r="F63" s="94"/>
      <c r="G63" s="113"/>
    </row>
    <row r="64" spans="1:25" s="16" customFormat="1" ht="11.25">
      <c r="A64" s="95"/>
      <c r="B64" s="113" t="s">
        <v>88</v>
      </c>
      <c r="C64" s="94"/>
      <c r="D64" s="94"/>
      <c r="E64" s="94"/>
      <c r="F64" s="94"/>
      <c r="G64" s="113" t="s">
        <v>89</v>
      </c>
      <c r="I64" s="161">
        <v>0</v>
      </c>
      <c r="J64" s="37"/>
      <c r="K64" s="37"/>
      <c r="Y64" s="14"/>
    </row>
    <row r="65" spans="1:6" s="16" customFormat="1" ht="11.25">
      <c r="A65" s="95"/>
      <c r="B65" s="94"/>
      <c r="C65" s="94"/>
      <c r="D65" s="94"/>
      <c r="E65" s="94"/>
      <c r="F65" s="94"/>
    </row>
    <row r="66" spans="1:9" s="16" customFormat="1" ht="12" thickBot="1">
      <c r="A66" s="96"/>
      <c r="B66" s="97"/>
      <c r="C66" s="32"/>
      <c r="D66" s="90"/>
      <c r="E66" s="32"/>
      <c r="F66" s="90"/>
      <c r="G66" s="29" t="str">
        <f>G59</f>
        <v>8/1/22 - 7/31/23 Adjusted Credit</v>
      </c>
      <c r="H66" s="24"/>
      <c r="I66" s="128">
        <f>+I59+I64</f>
        <v>0.5489999999999999</v>
      </c>
    </row>
    <row r="67" spans="1:25" s="16" customFormat="1" ht="12" thickTop="1">
      <c r="A67" s="96"/>
      <c r="B67" s="97"/>
      <c r="C67" s="32"/>
      <c r="D67" s="90"/>
      <c r="E67" s="32"/>
      <c r="F67" s="90"/>
      <c r="Y67" s="14"/>
    </row>
    <row r="68" spans="1:9" s="16" customFormat="1" ht="11.25">
      <c r="A68" s="96"/>
      <c r="B68" s="97"/>
      <c r="C68" s="32"/>
      <c r="D68" s="90"/>
      <c r="E68" s="32"/>
      <c r="F68" s="90"/>
      <c r="G68" s="113" t="s">
        <v>62</v>
      </c>
      <c r="I68" s="16">
        <f>+I66*3.5</f>
        <v>1.9214999999999998</v>
      </c>
    </row>
    <row r="69" spans="1:6" s="16" customFormat="1" ht="11.25">
      <c r="A69" s="96"/>
      <c r="B69" s="97"/>
      <c r="C69" s="32"/>
      <c r="D69" s="90"/>
      <c r="E69" s="32"/>
      <c r="F69" s="90"/>
    </row>
    <row r="70" spans="1:27" s="16" customFormat="1" ht="11.25">
      <c r="A70" s="96"/>
      <c r="B70" s="97"/>
      <c r="C70" s="32"/>
      <c r="D70" s="90"/>
      <c r="E70" s="32"/>
      <c r="F70" s="90"/>
      <c r="G70" s="14"/>
      <c r="H70" s="13"/>
      <c r="I70" s="14"/>
      <c r="J70" s="14"/>
      <c r="K70" s="13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3"/>
      <c r="W70" s="14"/>
      <c r="AA70" s="14"/>
    </row>
    <row r="71" spans="1:6" s="16" customFormat="1" ht="11.25">
      <c r="A71" s="96"/>
      <c r="B71" s="97"/>
      <c r="C71" s="32"/>
      <c r="D71" s="90"/>
      <c r="E71" s="32"/>
      <c r="F71" s="90"/>
    </row>
    <row r="72" spans="1:6" s="16" customFormat="1" ht="11.25">
      <c r="A72" s="96"/>
      <c r="B72" s="97"/>
      <c r="C72" s="32"/>
      <c r="D72" s="90"/>
      <c r="E72" s="32"/>
      <c r="F72" s="90"/>
    </row>
    <row r="73" spans="1:6" s="16" customFormat="1" ht="11.25">
      <c r="A73" s="96"/>
      <c r="B73" s="32"/>
      <c r="C73" s="32"/>
      <c r="D73" s="90"/>
      <c r="E73" s="32"/>
      <c r="F73" s="90"/>
    </row>
    <row r="74" spans="1:6" s="16" customFormat="1" ht="11.25">
      <c r="A74" s="96"/>
      <c r="B74" s="32"/>
      <c r="C74" s="98"/>
      <c r="D74" s="90"/>
      <c r="E74" s="32"/>
      <c r="F74" s="90"/>
    </row>
    <row r="75" spans="1:25" s="16" customFormat="1" ht="12.75">
      <c r="A75" s="99"/>
      <c r="B75" s="99"/>
      <c r="C75" s="99"/>
      <c r="D75" s="100"/>
      <c r="E75" s="99"/>
      <c r="F75" s="99"/>
      <c r="Y75" s="14"/>
    </row>
    <row r="76" spans="1:6" s="16" customFormat="1" ht="11.25">
      <c r="A76" s="101"/>
      <c r="B76" s="32"/>
      <c r="C76" s="98"/>
      <c r="D76" s="90"/>
      <c r="E76" s="98"/>
      <c r="F76" s="102"/>
    </row>
    <row r="77" s="16" customFormat="1" ht="11.25"/>
    <row r="78" s="16" customFormat="1" ht="11.25"/>
    <row r="79" s="16" customFormat="1" ht="11.25">
      <c r="B79" s="8"/>
    </row>
    <row r="80" spans="2:25" s="14" customFormat="1" ht="11.25">
      <c r="B80" s="28"/>
      <c r="X80" s="16"/>
      <c r="Y80" s="16"/>
    </row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>
      <c r="A89" s="6"/>
    </row>
    <row r="90" s="16" customFormat="1" ht="12.75">
      <c r="AA90" s="5"/>
    </row>
    <row r="91" s="16" customFormat="1" ht="12.75">
      <c r="AA91" s="5"/>
    </row>
    <row r="92" s="16" customFormat="1" ht="12.75">
      <c r="AA92" s="5"/>
    </row>
    <row r="93" s="16" customFormat="1" ht="12.75">
      <c r="AA93" s="5"/>
    </row>
    <row r="94" spans="7:27" s="16" customFormat="1" ht="12.75">
      <c r="G94" s="38"/>
      <c r="I94" s="38"/>
      <c r="J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AA94" s="5"/>
    </row>
    <row r="95" s="16" customFormat="1" ht="12.75">
      <c r="AA95" s="5"/>
    </row>
    <row r="96" spans="7:27" s="16" customFormat="1" ht="13.5" thickBot="1">
      <c r="G96" s="39"/>
      <c r="I96" s="39"/>
      <c r="J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AA96" s="5"/>
    </row>
    <row r="97" ht="13.5" thickTop="1"/>
    <row r="98" spans="23:25" ht="12.75">
      <c r="W98" s="40"/>
      <c r="X98" s="40"/>
      <c r="Y98" s="40"/>
    </row>
    <row r="99" spans="23:27" ht="12.75">
      <c r="W99" s="40"/>
      <c r="AA99" s="40"/>
    </row>
  </sheetData>
  <sheetProtection/>
  <printOptions horizontalCentered="1"/>
  <pageMargins left="0" right="0" top="0.26" bottom="0.33" header="0" footer="0"/>
  <pageSetup fitToHeight="1" fitToWidth="1" horizontalDpi="1200" verticalDpi="1200" orientation="portrait" scale="95" r:id="rId3"/>
  <headerFooter alignWithMargins="0">
    <oddFooter>&amp;R&amp;"Helv,Regular"&amp;6\\SERVER1\DPUBLIC\EXCEL\WUTC\&amp;F, &amp;A, &amp;D, &amp;T, 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2.140625" style="0" customWidth="1"/>
    <col min="3" max="13" width="11.7109375" style="0" customWidth="1"/>
    <col min="14" max="14" width="2.8515625" style="0" customWidth="1"/>
    <col min="15" max="15" width="9.7109375" style="56" customWidth="1"/>
    <col min="16" max="16" width="14.57421875" style="0" bestFit="1" customWidth="1"/>
  </cols>
  <sheetData>
    <row r="1" spans="1:2" ht="12.75">
      <c r="A1" s="41" t="s">
        <v>66</v>
      </c>
      <c r="B1" s="42"/>
    </row>
    <row r="2" spans="1:2" ht="12.75">
      <c r="A2" s="43" t="str">
        <f>'WUTC_AW of Kent (SeaTac)_MF'!A1</f>
        <v>Rabanco Ltd (dba Allied Waste of Seatac)</v>
      </c>
      <c r="B2" s="43"/>
    </row>
    <row r="3" ht="12.75">
      <c r="B3" s="54"/>
    </row>
    <row r="4" spans="2:15" ht="12.7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O4" s="57" t="str">
        <f>+TEXT(P18,"00.0%")&amp;" of"</f>
        <v>50.0% of</v>
      </c>
    </row>
    <row r="5" spans="2:16" ht="12.75">
      <c r="B5" s="54"/>
      <c r="C5" s="45" t="s">
        <v>11</v>
      </c>
      <c r="D5" s="45" t="s">
        <v>12</v>
      </c>
      <c r="E5" s="45" t="s">
        <v>68</v>
      </c>
      <c r="F5" s="45" t="s">
        <v>28</v>
      </c>
      <c r="G5" s="45" t="s">
        <v>69</v>
      </c>
      <c r="H5" s="45" t="s">
        <v>14</v>
      </c>
      <c r="I5" s="45" t="s">
        <v>15</v>
      </c>
      <c r="J5" s="45" t="s">
        <v>16</v>
      </c>
      <c r="K5" s="45" t="s">
        <v>17</v>
      </c>
      <c r="L5" s="45" t="s">
        <v>18</v>
      </c>
      <c r="M5" s="45" t="s">
        <v>19</v>
      </c>
      <c r="O5" s="57" t="s">
        <v>19</v>
      </c>
      <c r="P5" s="45" t="s">
        <v>65</v>
      </c>
    </row>
    <row r="6" spans="1:17" ht="15.75" customHeight="1">
      <c r="A6" s="49">
        <f>+Pricing!A4</f>
        <v>44317</v>
      </c>
      <c r="B6" s="54"/>
      <c r="C6" s="55">
        <f>'Commodity Tonnages'!C6*Pricing!C4</f>
        <v>109.57536775999999</v>
      </c>
      <c r="D6" s="59">
        <f>'Commodity Tonnages'!D6*Pricing!D4</f>
        <v>-17.325838</v>
      </c>
      <c r="E6" s="59">
        <f>'Commodity Tonnages'!E6*Pricing!E4</f>
        <v>0</v>
      </c>
      <c r="F6" s="59">
        <f>'Commodity Tonnages'!F6*Pricing!F4</f>
        <v>14.031237120000002</v>
      </c>
      <c r="G6" s="59">
        <f>'Commodity Tonnages'!G6*Pricing!G4</f>
        <v>1.6853046000000003</v>
      </c>
      <c r="H6" s="59">
        <f>'Commodity Tonnages'!H6*Pricing!H4</f>
        <v>85.0893164</v>
      </c>
      <c r="I6" s="59">
        <f>'Commodity Tonnages'!I6*Pricing!I4</f>
        <v>30.276700200000004</v>
      </c>
      <c r="J6" s="59">
        <f>'Commodity Tonnages'!J6*Pricing!J4</f>
        <v>30.276700200000004</v>
      </c>
      <c r="K6" s="59">
        <f>'Commodity Tonnages'!K6*Pricing!K4</f>
        <v>182.25731127999998</v>
      </c>
      <c r="L6" s="59">
        <f>'Commodity Tonnages'!L6*Pricing!L4</f>
        <v>-210.8517285</v>
      </c>
      <c r="M6" s="117">
        <f>SUM(C6:L6)</f>
        <v>225.01437105999995</v>
      </c>
      <c r="O6" s="126">
        <f>M6*P6</f>
        <v>112.50718552999997</v>
      </c>
      <c r="P6" s="134">
        <v>0.5</v>
      </c>
      <c r="Q6" s="58"/>
    </row>
    <row r="7" spans="1:17" ht="15.75" customHeight="1">
      <c r="A7" s="49">
        <f>+Pricing!A5</f>
        <v>44377</v>
      </c>
      <c r="B7" s="54"/>
      <c r="C7" s="55">
        <f>'Commodity Tonnages'!C7*Pricing!C5</f>
        <v>137.9222218</v>
      </c>
      <c r="D7" s="59">
        <f>'Commodity Tonnages'!D7*Pricing!D5</f>
        <v>-8.566291999999999</v>
      </c>
      <c r="E7" s="59">
        <f>'Commodity Tonnages'!E7*Pricing!E5</f>
        <v>0</v>
      </c>
      <c r="F7" s="59">
        <f>'Commodity Tonnages'!F7*Pricing!F5</f>
        <v>20.49741816</v>
      </c>
      <c r="G7" s="59">
        <f>'Commodity Tonnages'!G7*Pricing!G5</f>
        <v>2.41833312</v>
      </c>
      <c r="H7" s="59">
        <f>'Commodity Tonnages'!H7*Pricing!H5</f>
        <v>143.82340564000003</v>
      </c>
      <c r="I7" s="59">
        <f>'Commodity Tonnages'!I7*Pricing!I5</f>
        <v>55.34805971999999</v>
      </c>
      <c r="J7" s="59">
        <f>'Commodity Tonnages'!J7*Pricing!J5</f>
        <v>55.34805971999999</v>
      </c>
      <c r="K7" s="59">
        <f>'Commodity Tonnages'!K7*Pricing!K5</f>
        <v>262.70825415999997</v>
      </c>
      <c r="L7" s="59">
        <f>'Commodity Tonnages'!L7*Pricing!L5</f>
        <v>-272.23306375</v>
      </c>
      <c r="M7" s="117">
        <f aca="true" t="shared" si="0" ref="M7:M17">SUM(C7:L7)</f>
        <v>397.26639657000004</v>
      </c>
      <c r="O7" s="126">
        <f aca="true" t="shared" si="1" ref="O7:O17">M7*P7</f>
        <v>198.63319828500002</v>
      </c>
      <c r="P7" s="134">
        <v>0.5</v>
      </c>
      <c r="Q7" s="58"/>
    </row>
    <row r="8" spans="1:17" ht="15.75" customHeight="1">
      <c r="A8" s="49">
        <f>+Pricing!A6</f>
        <v>44408</v>
      </c>
      <c r="B8" s="50"/>
      <c r="C8" s="55">
        <f>'Commodity Tonnages'!C8*Pricing!C6</f>
        <v>121.459835904</v>
      </c>
      <c r="D8" s="59">
        <f>'Commodity Tonnages'!D8*Pricing!D6</f>
        <v>-42.2285094</v>
      </c>
      <c r="E8" s="59">
        <f>'Commodity Tonnages'!E8*Pricing!E6</f>
        <v>0</v>
      </c>
      <c r="F8" s="59">
        <f>'Commodity Tonnages'!F8*Pricing!F6</f>
        <v>15.787382719999998</v>
      </c>
      <c r="G8" s="59">
        <f>'Commodity Tonnages'!G8*Pricing!G6</f>
        <v>1.7238770639999998</v>
      </c>
      <c r="H8" s="59">
        <f>'Commodity Tonnages'!H8*Pricing!H6</f>
        <v>95.63161616000002</v>
      </c>
      <c r="I8" s="59">
        <f>'Commodity Tonnages'!I8*Pricing!I6</f>
        <v>45.226434796</v>
      </c>
      <c r="J8" s="59">
        <f>'Commodity Tonnages'!J8*Pricing!J6</f>
        <v>45.226434796</v>
      </c>
      <c r="K8" s="59">
        <f>'Commodity Tonnages'!K8*Pricing!K6</f>
        <v>196.66995098400002</v>
      </c>
      <c r="L8" s="59">
        <f>'Commodity Tonnages'!L8*Pricing!L6</f>
        <v>-135.3069046</v>
      </c>
      <c r="M8" s="117">
        <f t="shared" si="0"/>
        <v>344.19011842400005</v>
      </c>
      <c r="O8" s="126">
        <f t="shared" si="1"/>
        <v>172.09505921200002</v>
      </c>
      <c r="P8" s="134">
        <v>0.5</v>
      </c>
      <c r="Q8" s="58"/>
    </row>
    <row r="9" spans="1:17" ht="15.75" customHeight="1">
      <c r="A9" s="49">
        <f>+Pricing!A7</f>
        <v>44439</v>
      </c>
      <c r="B9" s="50"/>
      <c r="C9" s="55">
        <f>'Commodity Tonnages'!C9*Pricing!C7</f>
        <v>126.61734694400002</v>
      </c>
      <c r="D9" s="59">
        <f>'Commodity Tonnages'!D9*Pricing!D7</f>
        <v>-48.93867726</v>
      </c>
      <c r="E9" s="59">
        <f>'Commodity Tonnages'!E9*Pricing!E7</f>
        <v>0</v>
      </c>
      <c r="F9" s="59">
        <f>'Commodity Tonnages'!F9*Pricing!F7</f>
        <v>14.543920576</v>
      </c>
      <c r="G9" s="59">
        <f>'Commodity Tonnages'!G9*Pricing!G7</f>
        <v>1.6241986319999997</v>
      </c>
      <c r="H9" s="59">
        <f>'Commodity Tonnages'!H9*Pricing!H7</f>
        <v>111.17798871200002</v>
      </c>
      <c r="I9" s="59">
        <f>'Commodity Tonnages'!I9*Pricing!I7</f>
        <v>55.277680372000006</v>
      </c>
      <c r="J9" s="59">
        <f>'Commodity Tonnages'!J9*Pricing!J7</f>
        <v>55.277680372000006</v>
      </c>
      <c r="K9" s="59">
        <f>'Commodity Tonnages'!K9*Pricing!K7</f>
        <v>206.08029928800005</v>
      </c>
      <c r="L9" s="59">
        <f>'Commodity Tonnages'!L9*Pricing!L7</f>
        <v>-135.4165589</v>
      </c>
      <c r="M9" s="117">
        <f t="shared" si="0"/>
        <v>386.24387873600006</v>
      </c>
      <c r="O9" s="126">
        <f t="shared" si="1"/>
        <v>193.12193936800003</v>
      </c>
      <c r="P9" s="134">
        <v>0.5</v>
      </c>
      <c r="Q9" s="58"/>
    </row>
    <row r="10" spans="1:17" ht="15.75" customHeight="1">
      <c r="A10" s="49">
        <f>+Pricing!A8</f>
        <v>44469</v>
      </c>
      <c r="B10" s="50"/>
      <c r="C10" s="55">
        <f>'Commodity Tonnages'!C10*Pricing!C8</f>
        <v>151.77893068800003</v>
      </c>
      <c r="D10" s="59">
        <f>'Commodity Tonnages'!D10*Pricing!D8</f>
        <v>-49.75810224000001</v>
      </c>
      <c r="E10" s="59">
        <f>'Commodity Tonnages'!E10*Pricing!E8</f>
        <v>0</v>
      </c>
      <c r="F10" s="59">
        <f>'Commodity Tonnages'!F10*Pricing!F8</f>
        <v>14.445544960000001</v>
      </c>
      <c r="G10" s="59">
        <f>'Commodity Tonnages'!G10*Pricing!G8</f>
        <v>1.5975442560000002</v>
      </c>
      <c r="H10" s="59">
        <f>'Commodity Tonnages'!H10*Pricing!H8</f>
        <v>114.61070297600003</v>
      </c>
      <c r="I10" s="59">
        <f>'Commodity Tonnages'!I10*Pricing!I8</f>
        <v>53.541431328</v>
      </c>
      <c r="J10" s="59">
        <f>'Commodity Tonnages'!J10*Pricing!J8</f>
        <v>53.541431328</v>
      </c>
      <c r="K10" s="59">
        <f>'Commodity Tonnages'!K10*Pricing!K8</f>
        <v>238.66476480000006</v>
      </c>
      <c r="L10" s="59">
        <f>'Commodity Tonnages'!L10*Pricing!L8</f>
        <v>-148.935402</v>
      </c>
      <c r="M10" s="117">
        <f t="shared" si="0"/>
        <v>429.4868460960001</v>
      </c>
      <c r="O10" s="126">
        <f t="shared" si="1"/>
        <v>214.74342304800004</v>
      </c>
      <c r="P10" s="134">
        <v>0.5</v>
      </c>
      <c r="Q10" s="58"/>
    </row>
    <row r="11" spans="1:17" ht="15.75" customHeight="1">
      <c r="A11" s="49">
        <f>+Pricing!A9</f>
        <v>44500</v>
      </c>
      <c r="B11" s="50"/>
      <c r="C11" s="55">
        <f>'Commodity Tonnages'!C11*Pricing!C9</f>
        <v>164.13791116800002</v>
      </c>
      <c r="D11" s="59">
        <f>'Commodity Tonnages'!D11*Pricing!D9</f>
        <v>-50.931779219999996</v>
      </c>
      <c r="E11" s="59">
        <f>'Commodity Tonnages'!E11*Pricing!E9</f>
        <v>0</v>
      </c>
      <c r="F11" s="59">
        <f>'Commodity Tonnages'!F11*Pricing!F9</f>
        <v>15.371599488000001</v>
      </c>
      <c r="G11" s="59">
        <f>'Commodity Tonnages'!G11*Pricing!G9</f>
        <v>1.8511627679999998</v>
      </c>
      <c r="H11" s="59">
        <f>'Commodity Tonnages'!H11*Pricing!H9</f>
        <v>137.703863472</v>
      </c>
      <c r="I11" s="59">
        <f>'Commodity Tonnages'!I11*Pricing!I9</f>
        <v>38.946705168000015</v>
      </c>
      <c r="J11" s="59">
        <f>'Commodity Tonnages'!J11*Pricing!J9</f>
        <v>38.946705168000015</v>
      </c>
      <c r="K11" s="59">
        <f>'Commodity Tonnages'!K11*Pricing!K9</f>
        <v>249.09055718400003</v>
      </c>
      <c r="L11" s="59">
        <f>'Commodity Tonnages'!L11*Pricing!L9</f>
        <v>-157.39764075</v>
      </c>
      <c r="M11" s="117">
        <f t="shared" si="0"/>
        <v>437.71908444600007</v>
      </c>
      <c r="O11" s="126">
        <f t="shared" si="1"/>
        <v>218.85954222300003</v>
      </c>
      <c r="P11" s="134">
        <v>0.5</v>
      </c>
      <c r="Q11" s="58"/>
    </row>
    <row r="12" spans="1:17" ht="15.75" customHeight="1">
      <c r="A12" s="49">
        <f>+Pricing!A10</f>
        <v>44530</v>
      </c>
      <c r="B12" s="50"/>
      <c r="C12" s="55">
        <f>'Commodity Tonnages'!C12*Pricing!C10</f>
        <v>180.54603072</v>
      </c>
      <c r="D12" s="59">
        <f>'Commodity Tonnages'!D12*Pricing!D10</f>
        <v>-81.82940472</v>
      </c>
      <c r="E12" s="59">
        <f>'Commodity Tonnages'!E12*Pricing!E10</f>
        <v>0</v>
      </c>
      <c r="F12" s="59">
        <f>'Commodity Tonnages'!F12*Pricing!F10</f>
        <v>20.732335488</v>
      </c>
      <c r="G12" s="59">
        <f>'Commodity Tonnages'!G12*Pricing!G10</f>
        <v>2.5996108319999993</v>
      </c>
      <c r="H12" s="59">
        <f>'Commodity Tonnages'!H12*Pricing!H10</f>
        <v>97.35684043200003</v>
      </c>
      <c r="I12" s="59">
        <f>'Commodity Tonnages'!I12*Pricing!I10</f>
        <v>53.18733016800001</v>
      </c>
      <c r="J12" s="59">
        <f>'Commodity Tonnages'!J12*Pricing!J10</f>
        <v>53.18733016800001</v>
      </c>
      <c r="K12" s="59">
        <f>'Commodity Tonnages'!K12*Pricing!K10</f>
        <v>277.1675556480001</v>
      </c>
      <c r="L12" s="59">
        <f>'Commodity Tonnages'!L12*Pricing!L10</f>
        <v>-204.05587649999998</v>
      </c>
      <c r="M12" s="117">
        <f t="shared" si="0"/>
        <v>398.8917522360001</v>
      </c>
      <c r="O12" s="126">
        <f t="shared" si="1"/>
        <v>199.44587611800006</v>
      </c>
      <c r="P12" s="134">
        <v>0.5</v>
      </c>
      <c r="Q12" s="58"/>
    </row>
    <row r="13" spans="1:17" ht="15.75" customHeight="1">
      <c r="A13" s="49">
        <f>+Pricing!A11</f>
        <v>44561</v>
      </c>
      <c r="B13" s="50"/>
      <c r="C13" s="55">
        <f>'Commodity Tonnages'!C13*Pricing!C11</f>
        <v>124.713132544</v>
      </c>
      <c r="D13" s="59">
        <f>'Commodity Tonnages'!D13*Pricing!D11</f>
        <v>-47.69458434</v>
      </c>
      <c r="E13" s="59">
        <f>'Commodity Tonnages'!E13*Pricing!E11</f>
        <v>0</v>
      </c>
      <c r="F13" s="59">
        <f>'Commodity Tonnages'!F13*Pricing!F11</f>
        <v>14.353474304</v>
      </c>
      <c r="G13" s="59">
        <f>'Commodity Tonnages'!G13*Pricing!G11</f>
        <v>1.794000936</v>
      </c>
      <c r="H13" s="59">
        <f>'Commodity Tonnages'!H13*Pricing!H11</f>
        <v>-16.72408933</v>
      </c>
      <c r="I13" s="59">
        <f>'Commodity Tonnages'!I13*Pricing!I11</f>
        <v>29.925796679999994</v>
      </c>
      <c r="J13" s="59">
        <f>'Commodity Tonnages'!J13*Pricing!J11</f>
        <v>29.925796679999994</v>
      </c>
      <c r="K13" s="59">
        <f>'Commodity Tonnages'!K13*Pricing!K11</f>
        <v>168.62744808</v>
      </c>
      <c r="L13" s="59">
        <f>'Commodity Tonnages'!L13*Pricing!L11</f>
        <v>-137.72840445</v>
      </c>
      <c r="M13" s="117">
        <f t="shared" si="0"/>
        <v>167.192571104</v>
      </c>
      <c r="O13" s="126">
        <f t="shared" si="1"/>
        <v>83.596285552</v>
      </c>
      <c r="P13" s="134">
        <v>0.5</v>
      </c>
      <c r="Q13" s="58"/>
    </row>
    <row r="14" spans="1:17" ht="15.75" customHeight="1">
      <c r="A14" s="49">
        <f>+Pricing!A12</f>
        <v>44592</v>
      </c>
      <c r="B14" s="50"/>
      <c r="C14" s="55">
        <f>'Commodity Tonnages'!C14*Pricing!C12</f>
        <v>279.25574144000007</v>
      </c>
      <c r="D14" s="59">
        <f>'Commodity Tonnages'!D14*Pricing!D12</f>
        <v>-142.73271999999997</v>
      </c>
      <c r="E14" s="59">
        <f>'Commodity Tonnages'!E14*Pricing!E12</f>
        <v>0</v>
      </c>
      <c r="F14" s="59">
        <f>'Commodity Tonnages'!F14*Pricing!F12</f>
        <v>17.128675200000004</v>
      </c>
      <c r="G14" s="59">
        <f>'Commodity Tonnages'!G14*Pricing!G12</f>
        <v>1.71848768</v>
      </c>
      <c r="H14" s="59">
        <f>'Commodity Tonnages'!H14*Pricing!H12</f>
        <v>-11.70416</v>
      </c>
      <c r="I14" s="59">
        <f>'Commodity Tonnages'!I14*Pricing!I12</f>
        <v>38.51063424</v>
      </c>
      <c r="J14" s="59">
        <f>'Commodity Tonnages'!J14*Pricing!J12</f>
        <v>38.51063424</v>
      </c>
      <c r="K14" s="59">
        <f>'Commodity Tonnages'!K14*Pricing!K12</f>
        <v>225.90322560000004</v>
      </c>
      <c r="L14" s="59">
        <f>'Commodity Tonnages'!L14*Pricing!L12</f>
        <v>-254.7081472</v>
      </c>
      <c r="M14" s="117">
        <f t="shared" si="0"/>
        <v>191.88237120000016</v>
      </c>
      <c r="O14" s="126">
        <f t="shared" si="1"/>
        <v>95.94118560000008</v>
      </c>
      <c r="P14" s="134">
        <v>0.5</v>
      </c>
      <c r="Q14" s="58"/>
    </row>
    <row r="15" spans="1:17" ht="15.75" customHeight="1">
      <c r="A15" s="49">
        <f>+Pricing!A13</f>
        <v>44620</v>
      </c>
      <c r="B15" s="50"/>
      <c r="C15" s="55">
        <f>'Commodity Tonnages'!C15*Pricing!C13</f>
        <v>207.32957548800002</v>
      </c>
      <c r="D15" s="59">
        <f>'Commodity Tonnages'!D15*Pricing!D13</f>
        <v>-78.56861775</v>
      </c>
      <c r="E15" s="59">
        <f>'Commodity Tonnages'!E15*Pricing!E13</f>
        <v>0</v>
      </c>
      <c r="F15" s="59">
        <f>'Commodity Tonnages'!F15*Pricing!F13</f>
        <v>13.101853632000001</v>
      </c>
      <c r="G15" s="59">
        <f>'Commodity Tonnages'!G15*Pricing!G13</f>
        <v>1.390521384</v>
      </c>
      <c r="H15" s="59">
        <f>'Commodity Tonnages'!H15*Pricing!H13</f>
        <v>-52.321567200000004</v>
      </c>
      <c r="I15" s="59">
        <f>'Commodity Tonnages'!I15*Pricing!I13</f>
        <v>35.57032486000001</v>
      </c>
      <c r="J15" s="59">
        <f>'Commodity Tonnages'!J15*Pricing!J13</f>
        <v>35.57032486000001</v>
      </c>
      <c r="K15" s="59">
        <f>'Commodity Tonnages'!K15*Pricing!K13</f>
        <v>191.29727736000004</v>
      </c>
      <c r="L15" s="59">
        <f>'Commodity Tonnages'!L15*Pricing!L13</f>
        <v>-166.38480131</v>
      </c>
      <c r="M15" s="117">
        <f t="shared" si="0"/>
        <v>186.98489132400005</v>
      </c>
      <c r="O15" s="126">
        <f t="shared" si="1"/>
        <v>93.49244566200002</v>
      </c>
      <c r="P15" s="134">
        <v>0.5</v>
      </c>
      <c r="Q15" s="58"/>
    </row>
    <row r="16" spans="1:17" ht="15.75" customHeight="1">
      <c r="A16" s="49">
        <f>+Pricing!A14</f>
        <v>44651</v>
      </c>
      <c r="B16" s="50"/>
      <c r="C16" s="55">
        <f>'Commodity Tonnages'!C16*Pricing!C14</f>
        <v>377.03037675200005</v>
      </c>
      <c r="D16" s="59">
        <f>'Commodity Tonnages'!D16*Pricing!D14</f>
        <v>-148.37439775</v>
      </c>
      <c r="E16" s="59">
        <f>'Commodity Tonnages'!E16*Pricing!E14</f>
        <v>0</v>
      </c>
      <c r="F16" s="59">
        <f>'Commodity Tonnages'!F16*Pricing!F14</f>
        <v>22.520408231999998</v>
      </c>
      <c r="G16" s="59">
        <f>'Commodity Tonnages'!G16*Pricing!G14</f>
        <v>3.3012047040000003</v>
      </c>
      <c r="H16" s="59">
        <f>'Commodity Tonnages'!H16*Pricing!H14</f>
        <v>-65.22255700000001</v>
      </c>
      <c r="I16" s="59">
        <f>'Commodity Tonnages'!I16*Pricing!I14</f>
        <v>75.13470905600002</v>
      </c>
      <c r="J16" s="59">
        <f>'Commodity Tonnages'!J16*Pricing!J14</f>
        <v>75.13470905600002</v>
      </c>
      <c r="K16" s="59">
        <f>'Commodity Tonnages'!K16*Pricing!K14</f>
        <v>310.62088152000007</v>
      </c>
      <c r="L16" s="59">
        <f>'Commodity Tonnages'!L16*Pricing!L14</f>
        <v>-279.64041183</v>
      </c>
      <c r="M16" s="117">
        <f t="shared" si="0"/>
        <v>370.50492274000015</v>
      </c>
      <c r="O16" s="126">
        <f t="shared" si="1"/>
        <v>185.25246137000008</v>
      </c>
      <c r="P16" s="134">
        <v>0.5</v>
      </c>
      <c r="Q16" s="58"/>
    </row>
    <row r="17" spans="1:17" ht="15.75" customHeight="1">
      <c r="A17" s="49">
        <f>+Pricing!A15</f>
        <v>44681</v>
      </c>
      <c r="B17" s="50"/>
      <c r="C17" s="55">
        <f>'Commodity Tonnages'!C17*Pricing!C15</f>
        <v>206.97441280000004</v>
      </c>
      <c r="D17" s="59">
        <f>'Commodity Tonnages'!D17*Pricing!D15</f>
        <v>-63.172959999999996</v>
      </c>
      <c r="E17" s="59">
        <f>'Commodity Tonnages'!E17*Pricing!E15</f>
        <v>0</v>
      </c>
      <c r="F17" s="59">
        <f>'Commodity Tonnages'!F17*Pricing!F15</f>
        <v>14.87894016</v>
      </c>
      <c r="G17" s="59">
        <f>'Commodity Tonnages'!G17*Pricing!G15</f>
        <v>2.2554368000000005</v>
      </c>
      <c r="H17" s="59">
        <f>'Commodity Tonnages'!H17*Pricing!H15</f>
        <v>-16.756544</v>
      </c>
      <c r="I17" s="59">
        <f>'Commodity Tonnages'!I17*Pricing!I15</f>
        <v>51.160043520000016</v>
      </c>
      <c r="J17" s="59">
        <f>'Commodity Tonnages'!J17*Pricing!J15</f>
        <v>51.160043520000016</v>
      </c>
      <c r="K17" s="59">
        <f>'Commodity Tonnages'!K17*Pricing!K15</f>
        <v>176.79513600000004</v>
      </c>
      <c r="L17" s="59">
        <f>'Commodity Tonnages'!L17*Pricing!L15</f>
        <v>-157.08193280000003</v>
      </c>
      <c r="M17" s="117">
        <f t="shared" si="0"/>
        <v>266.2125760000001</v>
      </c>
      <c r="O17" s="126">
        <f t="shared" si="1"/>
        <v>133.10628800000006</v>
      </c>
      <c r="P17" s="134">
        <v>0.5</v>
      </c>
      <c r="Q17" s="58"/>
    </row>
    <row r="18" spans="1:16" ht="15.75" customHeight="1">
      <c r="A18" s="53" t="s">
        <v>21</v>
      </c>
      <c r="B18" s="50"/>
      <c r="C18" s="115">
        <f aca="true" t="shared" si="2" ref="C18:L18">SUM(C6:C17)</f>
        <v>2187.340884008</v>
      </c>
      <c r="D18" s="116">
        <f t="shared" si="2"/>
        <v>-780.1218826800001</v>
      </c>
      <c r="E18" s="116">
        <f t="shared" si="2"/>
        <v>0</v>
      </c>
      <c r="F18" s="115">
        <f t="shared" si="2"/>
        <v>197.39279004000002</v>
      </c>
      <c r="G18" s="115">
        <f t="shared" si="2"/>
        <v>23.959682776</v>
      </c>
      <c r="H18" s="115">
        <f t="shared" si="2"/>
        <v>622.664816262</v>
      </c>
      <c r="I18" s="115">
        <f t="shared" si="2"/>
        <v>562.105850108</v>
      </c>
      <c r="J18" s="115">
        <f t="shared" si="2"/>
        <v>562.105850108</v>
      </c>
      <c r="K18" s="115">
        <f t="shared" si="2"/>
        <v>2685.882661904001</v>
      </c>
      <c r="L18" s="116">
        <f t="shared" si="2"/>
        <v>-2259.7408725900004</v>
      </c>
      <c r="M18" s="118">
        <f>SUM(C18:L18)</f>
        <v>3801.589779936001</v>
      </c>
      <c r="O18" s="125">
        <f>SUM(O6:O17)</f>
        <v>1900.7948899680005</v>
      </c>
      <c r="P18" s="122">
        <f>+O18/M18</f>
        <v>0.5</v>
      </c>
    </row>
    <row r="19" spans="1:15" ht="12.75">
      <c r="A19" s="50"/>
      <c r="B19" s="50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O19" s="61"/>
    </row>
    <row r="20" spans="1:15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O20" s="62"/>
    </row>
    <row r="21" spans="1:15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O21" s="63"/>
    </row>
    <row r="22" spans="1:13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3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1:13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13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3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</sheetData>
  <sheetProtection/>
  <printOptions/>
  <pageMargins left="0.5" right="0.5" top="0.75" bottom="0.75" header="0.5" footer="0.5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.57421875" style="0" customWidth="1"/>
    <col min="3" max="12" width="11.7109375" style="0" customWidth="1"/>
    <col min="13" max="13" width="2.7109375" style="0" customWidth="1"/>
    <col min="14" max="14" width="11.7109375" style="0" customWidth="1"/>
    <col min="15" max="15" width="14.8515625" style="0" bestFit="1" customWidth="1"/>
  </cols>
  <sheetData>
    <row r="1" spans="1:2" ht="12.75">
      <c r="A1" s="41" t="str">
        <f>"Multi-Family Tonnages by Commodity ("&amp;TEXT(A6,"mmmm yyyy")&amp;" through "&amp;TEXT(A17,"mmmm yyyy")&amp;")"</f>
        <v>Multi-Family Tonnages by Commodity (May 2021 through April 2022)</v>
      </c>
      <c r="B1" s="42"/>
    </row>
    <row r="2" spans="1:2" ht="12.75">
      <c r="A2" s="43" t="s">
        <v>54</v>
      </c>
      <c r="B2" s="43"/>
    </row>
    <row r="3" spans="1:14" ht="12.75">
      <c r="A3" s="42"/>
      <c r="B3" s="44"/>
      <c r="C3" s="45" t="s">
        <v>11</v>
      </c>
      <c r="D3" s="45" t="s">
        <v>12</v>
      </c>
      <c r="E3" s="45" t="s">
        <v>68</v>
      </c>
      <c r="F3" s="45" t="s">
        <v>28</v>
      </c>
      <c r="G3" s="45" t="s">
        <v>69</v>
      </c>
      <c r="H3" s="45" t="s">
        <v>14</v>
      </c>
      <c r="I3" s="45" t="s">
        <v>15</v>
      </c>
      <c r="J3" s="45" t="s">
        <v>16</v>
      </c>
      <c r="K3" s="45" t="s">
        <v>17</v>
      </c>
      <c r="L3" s="45" t="s">
        <v>18</v>
      </c>
      <c r="M3" s="45"/>
      <c r="N3" s="45" t="s">
        <v>19</v>
      </c>
    </row>
    <row r="4" spans="1:5" s="47" customFormat="1" ht="12.75">
      <c r="A4" s="46"/>
      <c r="B4" s="46"/>
      <c r="D4" s="48"/>
      <c r="E4" s="48"/>
    </row>
    <row r="5" spans="1:14" ht="12.75">
      <c r="A5" s="49"/>
      <c r="B5" s="50"/>
      <c r="C5" s="51"/>
      <c r="D5" s="51"/>
      <c r="E5" s="51"/>
      <c r="F5" s="51"/>
      <c r="G5" s="51"/>
      <c r="H5" s="51"/>
      <c r="I5" s="51"/>
      <c r="J5" s="51"/>
      <c r="L5" s="50"/>
      <c r="M5" s="47"/>
      <c r="N5" s="51" t="s">
        <v>20</v>
      </c>
    </row>
    <row r="6" spans="1:16" ht="12.75">
      <c r="A6" s="107">
        <f>Multi_Family!$C$6</f>
        <v>44317</v>
      </c>
      <c r="B6" s="50" t="s">
        <v>42</v>
      </c>
      <c r="C6" s="85">
        <f>Multi_Family!C32</f>
        <v>0.092095</v>
      </c>
      <c r="D6" s="86">
        <f>Multi_Family!C34</f>
        <v>0.7006</v>
      </c>
      <c r="E6" s="85">
        <f>Multi_Family!C35</f>
        <v>0</v>
      </c>
      <c r="F6" s="85">
        <f>Multi_Family!C30</f>
        <v>0.079665</v>
      </c>
      <c r="G6" s="85">
        <f>Multi_Family!C33</f>
        <v>0.011865</v>
      </c>
      <c r="H6" s="85">
        <f>Multi_Family!C37</f>
        <v>1.8243850000000001</v>
      </c>
      <c r="I6" s="85">
        <f>Multi_Family!C31/2</f>
        <v>0.101135</v>
      </c>
      <c r="J6" s="85">
        <f>Multi_Family!C31/2</f>
        <v>0.101135</v>
      </c>
      <c r="K6" s="85">
        <f>Multi_Family!C28</f>
        <v>1.385945</v>
      </c>
      <c r="L6" s="85">
        <f>Multi_Family!C36</f>
        <v>1.353175</v>
      </c>
      <c r="M6" s="47"/>
      <c r="N6" s="108">
        <f aca="true" t="shared" si="0" ref="N6:N17">SUM(C6:L6)</f>
        <v>5.65</v>
      </c>
      <c r="O6" s="60"/>
      <c r="P6" s="52"/>
    </row>
    <row r="7" spans="1:16" ht="12.75">
      <c r="A7" s="49">
        <f aca="true" t="shared" si="1" ref="A7:A17">EOMONTH(A6,1)</f>
        <v>44377</v>
      </c>
      <c r="B7" s="50" t="s">
        <v>43</v>
      </c>
      <c r="C7" s="85">
        <f>Multi_Family!D32</f>
        <v>0.11328499999999998</v>
      </c>
      <c r="D7" s="86">
        <f>Multi_Family!D34</f>
        <v>0.8617999999999999</v>
      </c>
      <c r="E7" s="85">
        <f>Multi_Family!D35</f>
        <v>0</v>
      </c>
      <c r="F7" s="85">
        <f>Multi_Family!D30</f>
        <v>0.09799499999999998</v>
      </c>
      <c r="G7" s="85">
        <f>Multi_Family!D33</f>
        <v>0.014594999999999997</v>
      </c>
      <c r="H7" s="85">
        <f>Multi_Family!D37</f>
        <v>2.244155</v>
      </c>
      <c r="I7" s="85">
        <f>Multi_Family!D31/2</f>
        <v>0.12440499999999999</v>
      </c>
      <c r="J7" s="85">
        <f>Multi_Family!D31/2</f>
        <v>0.12440499999999999</v>
      </c>
      <c r="K7" s="85">
        <f>Multi_Family!D28</f>
        <v>1.7048349999999997</v>
      </c>
      <c r="L7" s="85">
        <f>Multi_Family!D36</f>
        <v>1.6645249999999998</v>
      </c>
      <c r="M7" s="47"/>
      <c r="N7" s="108">
        <f t="shared" si="0"/>
        <v>6.949999999999999</v>
      </c>
      <c r="P7" s="52"/>
    </row>
    <row r="8" spans="1:16" ht="12.75">
      <c r="A8" s="49">
        <f t="shared" si="1"/>
        <v>44408</v>
      </c>
      <c r="B8" s="50" t="s">
        <v>44</v>
      </c>
      <c r="C8" s="85">
        <f>Multi_Family!E32</f>
        <v>0.096272</v>
      </c>
      <c r="D8" s="86">
        <f>Multi_Family!E34</f>
        <v>0.914037</v>
      </c>
      <c r="E8" s="85">
        <f>Multi_Family!E35</f>
        <v>0</v>
      </c>
      <c r="F8" s="85">
        <f>Multi_Family!E30</f>
        <v>0.083144</v>
      </c>
      <c r="G8" s="85">
        <f>Multi_Family!E33</f>
        <v>0.011486999999999999</v>
      </c>
      <c r="H8" s="85">
        <f>Multi_Family!E37</f>
        <v>1.909577</v>
      </c>
      <c r="I8" s="85">
        <f>Multi_Family!E31/2</f>
        <v>0.1244425</v>
      </c>
      <c r="J8" s="85">
        <f>Multi_Family!E31/2</f>
        <v>0.1244425</v>
      </c>
      <c r="K8" s="85">
        <f>Multi_Family!E28</f>
        <v>1.3833630000000001</v>
      </c>
      <c r="L8" s="85">
        <f>Multi_Family!E36</f>
        <v>0.8232349999999999</v>
      </c>
      <c r="M8" s="47"/>
      <c r="N8" s="108">
        <f t="shared" si="0"/>
        <v>5.469999999999999</v>
      </c>
      <c r="P8" s="52"/>
    </row>
    <row r="9" spans="1:16" ht="12.75">
      <c r="A9" s="49">
        <f t="shared" si="1"/>
        <v>44439</v>
      </c>
      <c r="B9" s="50" t="s">
        <v>45</v>
      </c>
      <c r="C9" s="85">
        <f>Multi_Family!F32</f>
        <v>0.09803200000000001</v>
      </c>
      <c r="D9" s="86">
        <f>Multi_Family!F34</f>
        <v>0.930747</v>
      </c>
      <c r="E9" s="85">
        <f>Multi_Family!F35</f>
        <v>0</v>
      </c>
      <c r="F9" s="85">
        <f>Multi_Family!F30</f>
        <v>0.084664</v>
      </c>
      <c r="G9" s="85">
        <f>Multi_Family!F33</f>
        <v>0.011696999999999999</v>
      </c>
      <c r="H9" s="85">
        <f>Multi_Family!F37</f>
        <v>1.9444870000000003</v>
      </c>
      <c r="I9" s="85">
        <f>Multi_Family!F31/2</f>
        <v>0.1267175</v>
      </c>
      <c r="J9" s="85">
        <f>Multi_Family!F31/2</f>
        <v>0.1267175</v>
      </c>
      <c r="K9" s="85">
        <f>Multi_Family!F28</f>
        <v>1.4086530000000002</v>
      </c>
      <c r="L9" s="85">
        <f>Multi_Family!F36</f>
        <v>0.8382850000000001</v>
      </c>
      <c r="M9" s="47"/>
      <c r="N9" s="108">
        <f t="shared" si="0"/>
        <v>5.57</v>
      </c>
      <c r="P9" s="52"/>
    </row>
    <row r="10" spans="1:16" ht="12.75">
      <c r="A10" s="49">
        <f t="shared" si="1"/>
        <v>44469</v>
      </c>
      <c r="B10" s="50" t="s">
        <v>46</v>
      </c>
      <c r="C10" s="85">
        <f>Multi_Family!G32</f>
        <v>0.10841600000000001</v>
      </c>
      <c r="D10" s="86">
        <f>Multi_Family!G34</f>
        <v>1.029336</v>
      </c>
      <c r="E10" s="85">
        <f>Multi_Family!G35</f>
        <v>0</v>
      </c>
      <c r="F10" s="85">
        <f>Multi_Family!G30</f>
        <v>0.093632</v>
      </c>
      <c r="G10" s="85">
        <f>Multi_Family!G33</f>
        <v>0.012936</v>
      </c>
      <c r="H10" s="85">
        <f>Multi_Family!G37</f>
        <v>2.150456</v>
      </c>
      <c r="I10" s="85">
        <f>Multi_Family!G31/2</f>
        <v>0.14014</v>
      </c>
      <c r="J10" s="85">
        <f>Multi_Family!G31/2</f>
        <v>0.14014</v>
      </c>
      <c r="K10" s="85">
        <f>Multi_Family!G28</f>
        <v>1.5578640000000001</v>
      </c>
      <c r="L10" s="85">
        <f>Multi_Family!G36</f>
        <v>0.92708</v>
      </c>
      <c r="M10" s="47"/>
      <c r="N10" s="108">
        <f t="shared" si="0"/>
        <v>6.160000000000001</v>
      </c>
      <c r="P10" s="52"/>
    </row>
    <row r="11" spans="1:16" ht="12.75">
      <c r="A11" s="49">
        <f t="shared" si="1"/>
        <v>44500</v>
      </c>
      <c r="B11" s="50" t="s">
        <v>47</v>
      </c>
      <c r="C11" s="85">
        <f>Multi_Family!H32</f>
        <v>0.114576</v>
      </c>
      <c r="D11" s="86">
        <f>Multi_Family!H34</f>
        <v>1.087821</v>
      </c>
      <c r="E11" s="85">
        <f>Multi_Family!H35</f>
        <v>0</v>
      </c>
      <c r="F11" s="85">
        <f>Multi_Family!H30</f>
        <v>0.098952</v>
      </c>
      <c r="G11" s="85">
        <f>Multi_Family!H33</f>
        <v>0.013670999999999999</v>
      </c>
      <c r="H11" s="85">
        <f>Multi_Family!H37</f>
        <v>2.272641</v>
      </c>
      <c r="I11" s="85">
        <f>Multi_Family!H31/2</f>
        <v>0.1481025</v>
      </c>
      <c r="J11" s="85">
        <f>Multi_Family!H31/2</f>
        <v>0.1481025</v>
      </c>
      <c r="K11" s="85">
        <f>Multi_Family!H28</f>
        <v>1.646379</v>
      </c>
      <c r="L11" s="85">
        <f>Multi_Family!H36</f>
        <v>0.9797549999999999</v>
      </c>
      <c r="M11" s="47"/>
      <c r="N11" s="108">
        <f t="shared" si="0"/>
        <v>6.509999999999999</v>
      </c>
      <c r="P11" s="52"/>
    </row>
    <row r="12" spans="1:16" ht="12.75">
      <c r="A12" s="49">
        <f t="shared" si="1"/>
        <v>44530</v>
      </c>
      <c r="B12" s="50" t="s">
        <v>48</v>
      </c>
      <c r="C12" s="85">
        <f>Multi_Family!I32</f>
        <v>0.149424</v>
      </c>
      <c r="D12" s="86">
        <f>Multi_Family!I34</f>
        <v>1.418679</v>
      </c>
      <c r="E12" s="85">
        <f>Multi_Family!I35</f>
        <v>0</v>
      </c>
      <c r="F12" s="85">
        <f>Multi_Family!I30</f>
        <v>0.129048</v>
      </c>
      <c r="G12" s="85">
        <f>Multi_Family!I33</f>
        <v>0.017828999999999998</v>
      </c>
      <c r="H12" s="85">
        <f>Multi_Family!I37</f>
        <v>2.9638590000000002</v>
      </c>
      <c r="I12" s="85">
        <f>Multi_Family!I31/2</f>
        <v>0.1931475</v>
      </c>
      <c r="J12" s="85">
        <f>Multi_Family!I31/2</f>
        <v>0.1931475</v>
      </c>
      <c r="K12" s="85">
        <f>Multi_Family!I28</f>
        <v>2.1471210000000003</v>
      </c>
      <c r="L12" s="85">
        <f>Multi_Family!I36</f>
        <v>1.277745</v>
      </c>
      <c r="M12" s="47"/>
      <c r="N12" s="108">
        <f t="shared" si="0"/>
        <v>8.49</v>
      </c>
      <c r="P12" s="52"/>
    </row>
    <row r="13" spans="1:16" ht="12.75">
      <c r="A13" s="49">
        <f t="shared" si="1"/>
        <v>44561</v>
      </c>
      <c r="B13" s="50" t="s">
        <v>49</v>
      </c>
      <c r="C13" s="85">
        <f>Multi_Family!J32</f>
        <v>0.098384</v>
      </c>
      <c r="D13" s="86">
        <f>Multi_Family!J34</f>
        <v>0.934089</v>
      </c>
      <c r="E13" s="85">
        <f>Multi_Family!J35</f>
        <v>0</v>
      </c>
      <c r="F13" s="85">
        <f>Multi_Family!J30</f>
        <v>0.084968</v>
      </c>
      <c r="G13" s="85">
        <f>Multi_Family!J33</f>
        <v>0.011739</v>
      </c>
      <c r="H13" s="85">
        <f>Multi_Family!J37</f>
        <v>1.9514690000000001</v>
      </c>
      <c r="I13" s="85">
        <f>Multi_Family!J31/2</f>
        <v>0.1271725</v>
      </c>
      <c r="J13" s="85">
        <f>Multi_Family!J31/2</f>
        <v>0.1271725</v>
      </c>
      <c r="K13" s="85">
        <f>Multi_Family!J28</f>
        <v>1.413711</v>
      </c>
      <c r="L13" s="85">
        <f>Multi_Family!J36</f>
        <v>0.8412949999999999</v>
      </c>
      <c r="M13" s="47"/>
      <c r="N13" s="108">
        <f t="shared" si="0"/>
        <v>5.59</v>
      </c>
      <c r="P13" s="52"/>
    </row>
    <row r="14" spans="1:16" ht="12.75">
      <c r="A14" s="49">
        <f t="shared" si="1"/>
        <v>44592</v>
      </c>
      <c r="B14" s="50" t="s">
        <v>50</v>
      </c>
      <c r="C14" s="85">
        <f>Multi_Family!K32</f>
        <v>0.18512</v>
      </c>
      <c r="D14" s="86">
        <f>Multi_Family!K34</f>
        <v>1.8459999999999999</v>
      </c>
      <c r="E14" s="85">
        <f>Multi_Family!K35</f>
        <v>0</v>
      </c>
      <c r="F14" s="85">
        <f>Multi_Family!K30</f>
        <v>0.15288</v>
      </c>
      <c r="G14" s="85">
        <f>Multi_Family!K33</f>
        <v>0.01976</v>
      </c>
      <c r="H14" s="85">
        <f>Multi_Family!K37</f>
        <v>3.4424</v>
      </c>
      <c r="I14" s="85">
        <f>Multi_Family!K31/2</f>
        <v>0.25584</v>
      </c>
      <c r="J14" s="85">
        <f>Multi_Family!K31/2</f>
        <v>0.25584</v>
      </c>
      <c r="K14" s="85">
        <f>Multi_Family!K28</f>
        <v>2.7144000000000004</v>
      </c>
      <c r="L14" s="85">
        <f>Multi_Family!K36</f>
        <v>1.52776</v>
      </c>
      <c r="M14" s="47"/>
      <c r="N14" s="108">
        <f t="shared" si="0"/>
        <v>10.400000000000002</v>
      </c>
      <c r="P14" s="52"/>
    </row>
    <row r="15" spans="1:16" ht="12.75">
      <c r="A15" s="49">
        <f t="shared" si="1"/>
        <v>44620</v>
      </c>
      <c r="B15" s="50" t="s">
        <v>51</v>
      </c>
      <c r="C15" s="85">
        <f>Multi_Family!L32</f>
        <v>0.120862</v>
      </c>
      <c r="D15" s="86">
        <f>Multi_Family!L34</f>
        <v>1.205225</v>
      </c>
      <c r="E15" s="85">
        <f>Multi_Family!L35</f>
        <v>0</v>
      </c>
      <c r="F15" s="85">
        <f>Multi_Family!L30</f>
        <v>0.099813</v>
      </c>
      <c r="G15" s="85">
        <f>Multi_Family!L33</f>
        <v>0.012901</v>
      </c>
      <c r="H15" s="85">
        <f>Multi_Family!L37</f>
        <v>2.24749</v>
      </c>
      <c r="I15" s="85">
        <f>Multi_Family!L31/2</f>
        <v>0.16703400000000002</v>
      </c>
      <c r="J15" s="85">
        <f>Multi_Family!L31/2</f>
        <v>0.16703400000000002</v>
      </c>
      <c r="K15" s="85">
        <f>Multi_Family!L28</f>
        <v>1.7721900000000002</v>
      </c>
      <c r="L15" s="85">
        <f>Multi_Family!L36</f>
        <v>0.997451</v>
      </c>
      <c r="M15" s="47"/>
      <c r="N15" s="108">
        <f t="shared" si="0"/>
        <v>6.79</v>
      </c>
      <c r="P15" s="52"/>
    </row>
    <row r="16" spans="1:16" ht="12.75">
      <c r="A16" s="49">
        <f t="shared" si="1"/>
        <v>44651</v>
      </c>
      <c r="B16" s="50" t="s">
        <v>52</v>
      </c>
      <c r="C16" s="85">
        <f>Multi_Family!M32</f>
        <v>0.202742</v>
      </c>
      <c r="D16" s="86">
        <f>Multi_Family!M34</f>
        <v>2.021725</v>
      </c>
      <c r="E16" s="85">
        <f>Multi_Family!M35</f>
        <v>0</v>
      </c>
      <c r="F16" s="85">
        <f>Multi_Family!M30</f>
        <v>0.167433</v>
      </c>
      <c r="G16" s="85">
        <f>Multi_Family!M33</f>
        <v>0.021641</v>
      </c>
      <c r="H16" s="85">
        <f>Multi_Family!M37</f>
        <v>3.77009</v>
      </c>
      <c r="I16" s="85">
        <f>Multi_Family!M31/2</f>
        <v>0.280194</v>
      </c>
      <c r="J16" s="85">
        <f>Multi_Family!M31/2</f>
        <v>0.280194</v>
      </c>
      <c r="K16" s="85">
        <f>Multi_Family!M28</f>
        <v>2.9727900000000003</v>
      </c>
      <c r="L16" s="85">
        <f>Multi_Family!M36</f>
        <v>1.673191</v>
      </c>
      <c r="M16" s="47"/>
      <c r="N16" s="108">
        <f t="shared" si="0"/>
        <v>11.39</v>
      </c>
      <c r="P16" s="52"/>
    </row>
    <row r="17" spans="1:16" ht="12.75">
      <c r="A17" s="49">
        <f t="shared" si="1"/>
        <v>44681</v>
      </c>
      <c r="B17" s="50" t="s">
        <v>53</v>
      </c>
      <c r="C17" s="85">
        <f>Multi_Family!N32</f>
        <v>0.11392000000000001</v>
      </c>
      <c r="D17" s="86">
        <f>Multi_Family!N34</f>
        <v>1.136</v>
      </c>
      <c r="E17" s="85">
        <f>Multi_Family!N35</f>
        <v>0</v>
      </c>
      <c r="F17" s="85">
        <f>Multi_Family!N30</f>
        <v>0.09408</v>
      </c>
      <c r="G17" s="85">
        <f>Multi_Family!N33</f>
        <v>0.01216</v>
      </c>
      <c r="H17" s="85">
        <f>Multi_Family!N37</f>
        <v>2.1184000000000003</v>
      </c>
      <c r="I17" s="85">
        <f>Multi_Family!N31/2</f>
        <v>0.15744000000000002</v>
      </c>
      <c r="J17" s="85">
        <f>Multi_Family!N31/2</f>
        <v>0.15744000000000002</v>
      </c>
      <c r="K17" s="85">
        <f>Multi_Family!N28</f>
        <v>1.6704</v>
      </c>
      <c r="L17" s="85">
        <f>Multi_Family!N36</f>
        <v>0.9401600000000001</v>
      </c>
      <c r="M17" s="47"/>
      <c r="N17" s="108">
        <f t="shared" si="0"/>
        <v>6.4</v>
      </c>
      <c r="P17" s="52"/>
    </row>
    <row r="18" spans="1:15" ht="12.75">
      <c r="A18" s="53" t="s">
        <v>21</v>
      </c>
      <c r="B18" s="50"/>
      <c r="C18" s="119">
        <f aca="true" t="shared" si="2" ref="C18:L18">SUM(C6:C17)</f>
        <v>1.493128</v>
      </c>
      <c r="D18" s="119">
        <f t="shared" si="2"/>
        <v>14.086058999999999</v>
      </c>
      <c r="E18" s="119">
        <f t="shared" si="2"/>
        <v>0</v>
      </c>
      <c r="F18" s="119">
        <f t="shared" si="2"/>
        <v>1.266274</v>
      </c>
      <c r="G18" s="119">
        <f t="shared" si="2"/>
        <v>0.172281</v>
      </c>
      <c r="H18" s="119">
        <f t="shared" si="2"/>
        <v>28.839409</v>
      </c>
      <c r="I18" s="119">
        <f t="shared" si="2"/>
        <v>1.9457705</v>
      </c>
      <c r="J18" s="119">
        <f t="shared" si="2"/>
        <v>1.9457705</v>
      </c>
      <c r="K18" s="119">
        <f t="shared" si="2"/>
        <v>21.777651000000002</v>
      </c>
      <c r="L18" s="119">
        <f t="shared" si="2"/>
        <v>13.843657000000002</v>
      </c>
      <c r="M18" s="47"/>
      <c r="N18" s="120">
        <f>SUM(N6:N17)</f>
        <v>85.37000000000002</v>
      </c>
      <c r="O18" s="51"/>
    </row>
    <row r="19" spans="1:14" ht="12.7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7"/>
      <c r="N19" s="51"/>
    </row>
    <row r="20" spans="1:14" ht="12.75">
      <c r="A20" s="4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47"/>
      <c r="N20" s="51"/>
    </row>
    <row r="21" spans="1:14" ht="12.7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7"/>
      <c r="N21" s="51"/>
    </row>
    <row r="22" spans="1:14" ht="12.7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47"/>
      <c r="N22" s="51"/>
    </row>
    <row r="23" spans="1:14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7"/>
      <c r="N23" s="51"/>
    </row>
    <row r="24" spans="1:14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47"/>
      <c r="N24" s="51"/>
    </row>
    <row r="25" spans="1:14" ht="12.75">
      <c r="A25" s="50"/>
      <c r="B25" s="50"/>
      <c r="C25" s="50"/>
      <c r="E25" s="50"/>
      <c r="F25" s="50"/>
      <c r="G25" s="50"/>
      <c r="H25" s="50"/>
      <c r="I25" s="50"/>
      <c r="J25" s="50"/>
      <c r="K25" s="50"/>
      <c r="L25" s="50"/>
      <c r="M25" s="47"/>
      <c r="N25" s="51"/>
    </row>
    <row r="26" spans="1:14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47"/>
      <c r="N26" s="51"/>
    </row>
    <row r="27" spans="1:14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47"/>
      <c r="N27" s="51"/>
    </row>
    <row r="28" spans="1:14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47"/>
      <c r="N28" s="50"/>
    </row>
    <row r="29" spans="1:14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47"/>
      <c r="N29" s="50"/>
    </row>
    <row r="30" spans="1:14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7"/>
      <c r="N30" s="50"/>
    </row>
    <row r="31" spans="1:14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7"/>
      <c r="N31" s="50"/>
    </row>
    <row r="32" spans="1:14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47"/>
      <c r="N32" s="50"/>
    </row>
    <row r="33" spans="1:14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47"/>
      <c r="N33" s="50"/>
    </row>
    <row r="34" spans="1:14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47"/>
      <c r="N34" s="50"/>
    </row>
    <row r="35" spans="1:14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7"/>
      <c r="N35" s="50"/>
    </row>
    <row r="36" spans="1:14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47"/>
      <c r="N36" s="50"/>
    </row>
    <row r="37" spans="1:14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47"/>
      <c r="N37" s="50"/>
    </row>
    <row r="38" spans="1:14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47"/>
      <c r="N38" s="50"/>
    </row>
    <row r="39" spans="1:14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1:14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1:14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14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1:14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1:14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</sheetData>
  <sheetProtection/>
  <printOptions/>
  <pageMargins left="0.25" right="0.25" top="0.75" bottom="0.75" header="0.3" footer="0.3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.28125" style="112" bestFit="1" customWidth="1"/>
    <col min="3" max="12" width="11.7109375" style="0" customWidth="1"/>
  </cols>
  <sheetData>
    <row r="1" spans="1:2" ht="12.75">
      <c r="A1" s="41" t="str">
        <f>"Commodity Pricing ("&amp;TEXT(A4,"mmmm yyyy")&amp;" through "&amp;TEXT(A15,"mmmm yyyy")&amp;")"</f>
        <v>Commodity Pricing (May 2021 through April 2022)</v>
      </c>
      <c r="B1" s="109"/>
    </row>
    <row r="2" spans="1:2" ht="12.75">
      <c r="A2" s="43" t="s">
        <v>55</v>
      </c>
      <c r="B2" s="110"/>
    </row>
    <row r="3" spans="2:13" ht="12.75">
      <c r="B3" s="111"/>
      <c r="C3" s="45" t="s">
        <v>11</v>
      </c>
      <c r="D3" s="45" t="s">
        <v>12</v>
      </c>
      <c r="E3" s="45" t="s">
        <v>68</v>
      </c>
      <c r="F3" s="45" t="s">
        <v>28</v>
      </c>
      <c r="G3" s="45" t="s">
        <v>69</v>
      </c>
      <c r="H3" s="45" t="s">
        <v>14</v>
      </c>
      <c r="I3" s="45" t="s">
        <v>15</v>
      </c>
      <c r="J3" s="45" t="s">
        <v>16</v>
      </c>
      <c r="K3" s="45" t="s">
        <v>17</v>
      </c>
      <c r="L3" s="45" t="s">
        <v>18</v>
      </c>
      <c r="M3" s="45"/>
    </row>
    <row r="4" spans="1:13" ht="15.75" customHeight="1">
      <c r="A4" s="107">
        <f>Multi_Family!$C$6</f>
        <v>44317</v>
      </c>
      <c r="B4" s="111" t="s">
        <v>42</v>
      </c>
      <c r="C4" s="121">
        <f>Multi_Family!C74</f>
        <v>1189.808</v>
      </c>
      <c r="D4" s="121">
        <f>Multi_Family!C76</f>
        <v>-24.73</v>
      </c>
      <c r="E4" s="121">
        <f>Multi_Family!C77</f>
        <v>0</v>
      </c>
      <c r="F4" s="121">
        <f>Multi_Family!C72</f>
        <v>176.12800000000001</v>
      </c>
      <c r="G4" s="135">
        <f>Multi_Family!C75</f>
        <v>142.04000000000002</v>
      </c>
      <c r="H4" s="121">
        <f>Multi_Family!C79</f>
        <v>46.64</v>
      </c>
      <c r="I4" s="121">
        <f>Multi_Family!C73</f>
        <v>299.3691620111732</v>
      </c>
      <c r="J4" s="121">
        <f>Multi_Family!C73</f>
        <v>299.3691620111732</v>
      </c>
      <c r="K4" s="121">
        <f>Multi_Family!C70</f>
        <v>131.504</v>
      </c>
      <c r="L4" s="121">
        <f>Multi_Family!C78</f>
        <v>-155.82</v>
      </c>
      <c r="M4" s="127"/>
    </row>
    <row r="5" spans="1:13" ht="15.75" customHeight="1">
      <c r="A5" s="49">
        <f aca="true" t="shared" si="0" ref="A5:A15">EOMONTH(A4,1)</f>
        <v>44377</v>
      </c>
      <c r="B5" s="111" t="s">
        <v>43</v>
      </c>
      <c r="C5" s="121">
        <f>Multi_Family!D74</f>
        <v>1217.48</v>
      </c>
      <c r="D5" s="121">
        <f>Multi_Family!D76</f>
        <v>-9.94</v>
      </c>
      <c r="E5" s="121">
        <f>Multi_Family!D77</f>
        <v>0</v>
      </c>
      <c r="F5" s="121">
        <f>Multi_Family!D72</f>
        <v>209.168</v>
      </c>
      <c r="G5" s="135">
        <f>Multi_Family!D75</f>
        <v>165.69600000000003</v>
      </c>
      <c r="H5" s="121">
        <f>Multi_Family!D79</f>
        <v>64.08800000000001</v>
      </c>
      <c r="I5" s="121">
        <f>Multi_Family!D73</f>
        <v>444.90221229050275</v>
      </c>
      <c r="J5" s="121">
        <f>Multi_Family!D73</f>
        <v>444.90221229050275</v>
      </c>
      <c r="K5" s="121">
        <f>Multi_Family!D70</f>
        <v>154.096</v>
      </c>
      <c r="L5" s="121">
        <f>Multi_Family!D78</f>
        <v>-163.55</v>
      </c>
      <c r="M5" s="127"/>
    </row>
    <row r="6" spans="1:13" ht="15.75" customHeight="1">
      <c r="A6" s="49">
        <f t="shared" si="0"/>
        <v>44408</v>
      </c>
      <c r="B6" s="112" t="s">
        <v>44</v>
      </c>
      <c r="C6" s="121">
        <f>Multi_Family!E74</f>
        <v>1261.632</v>
      </c>
      <c r="D6" s="121">
        <f>Multi_Family!E76</f>
        <v>-46.2</v>
      </c>
      <c r="E6" s="121">
        <f>Multi_Family!E77</f>
        <v>0</v>
      </c>
      <c r="F6" s="121">
        <f>Multi_Family!E72</f>
        <v>189.88</v>
      </c>
      <c r="G6" s="135">
        <f>Multi_Family!E75</f>
        <v>150.072</v>
      </c>
      <c r="H6" s="121">
        <f>Multi_Family!E79</f>
        <v>50.080000000000005</v>
      </c>
      <c r="I6" s="121">
        <f>Multi_Family!E73</f>
        <v>363.43238681318684</v>
      </c>
      <c r="J6" s="121">
        <f>Multi_Family!E73</f>
        <v>363.43238681318684</v>
      </c>
      <c r="K6" s="121">
        <f>Multi_Family!E70</f>
        <v>142.168</v>
      </c>
      <c r="L6" s="121">
        <f>Multi_Family!E78</f>
        <v>-164.36</v>
      </c>
      <c r="M6" s="127"/>
    </row>
    <row r="7" spans="1:13" ht="15.75" customHeight="1">
      <c r="A7" s="49">
        <f t="shared" si="0"/>
        <v>44439</v>
      </c>
      <c r="B7" s="112" t="s">
        <v>45</v>
      </c>
      <c r="C7" s="121">
        <f>Multi_Family!F74</f>
        <v>1291.592</v>
      </c>
      <c r="D7" s="121">
        <f>Multi_Family!F76</f>
        <v>-52.58</v>
      </c>
      <c r="E7" s="121">
        <f>Multi_Family!F77</f>
        <v>0</v>
      </c>
      <c r="F7" s="121">
        <f>Multi_Family!F72</f>
        <v>171.784</v>
      </c>
      <c r="G7" s="135">
        <f>Multi_Family!F75</f>
        <v>138.856</v>
      </c>
      <c r="H7" s="121">
        <f>Multi_Family!F79</f>
        <v>57.176</v>
      </c>
      <c r="I7" s="121">
        <f>Multi_Family!F73</f>
        <v>436.2276747252747</v>
      </c>
      <c r="J7" s="121">
        <f>Multi_Family!F73</f>
        <v>436.2276747252747</v>
      </c>
      <c r="K7" s="121">
        <f>Multi_Family!F70</f>
        <v>146.29600000000002</v>
      </c>
      <c r="L7" s="121">
        <f>Multi_Family!F78</f>
        <v>-161.54</v>
      </c>
      <c r="M7" s="127"/>
    </row>
    <row r="8" spans="1:13" ht="15.75" customHeight="1">
      <c r="A8" s="49">
        <f t="shared" si="0"/>
        <v>44469</v>
      </c>
      <c r="B8" s="112" t="s">
        <v>46</v>
      </c>
      <c r="C8" s="121">
        <f>Multi_Family!G74</f>
        <v>1399.968</v>
      </c>
      <c r="D8" s="121">
        <f>Multi_Family!G76</f>
        <v>-48.34</v>
      </c>
      <c r="E8" s="121">
        <f>Multi_Family!G77</f>
        <v>0</v>
      </c>
      <c r="F8" s="121">
        <f>Multi_Family!G72</f>
        <v>154.28</v>
      </c>
      <c r="G8" s="135">
        <f>Multi_Family!G75</f>
        <v>123.49600000000001</v>
      </c>
      <c r="H8" s="121">
        <f>Multi_Family!G79</f>
        <v>53.29600000000001</v>
      </c>
      <c r="I8" s="121">
        <f>Multi_Family!G73</f>
        <v>382.0567384615385</v>
      </c>
      <c r="J8" s="121">
        <f>Multi_Family!G73</f>
        <v>382.0567384615385</v>
      </c>
      <c r="K8" s="121">
        <f>Multi_Family!G70</f>
        <v>153.20000000000002</v>
      </c>
      <c r="L8" s="121">
        <f>Multi_Family!G78</f>
        <v>-160.65</v>
      </c>
      <c r="M8" s="127"/>
    </row>
    <row r="9" spans="1:13" ht="15.75" customHeight="1">
      <c r="A9" s="49">
        <f t="shared" si="0"/>
        <v>44500</v>
      </c>
      <c r="B9" s="112" t="s">
        <v>47</v>
      </c>
      <c r="C9" s="121">
        <f>Multi_Family!H74</f>
        <v>1432.5680000000002</v>
      </c>
      <c r="D9" s="121">
        <f>Multi_Family!H76</f>
        <v>-46.82</v>
      </c>
      <c r="E9" s="121">
        <f>Multi_Family!H77</f>
        <v>0</v>
      </c>
      <c r="F9" s="121">
        <f>Multi_Family!H72</f>
        <v>155.34400000000002</v>
      </c>
      <c r="G9" s="135">
        <f>Multi_Family!H75</f>
        <v>135.408</v>
      </c>
      <c r="H9" s="121">
        <f>Multi_Family!H79</f>
        <v>60.592</v>
      </c>
      <c r="I9" s="121">
        <f>Multi_Family!H73</f>
        <v>262.97128791208803</v>
      </c>
      <c r="J9" s="121">
        <f>Multi_Family!H73</f>
        <v>262.97128791208803</v>
      </c>
      <c r="K9" s="121">
        <f>Multi_Family!H70</f>
        <v>151.29600000000002</v>
      </c>
      <c r="L9" s="121">
        <f>Multi_Family!H78</f>
        <v>-160.65</v>
      </c>
      <c r="M9" s="127"/>
    </row>
    <row r="10" spans="1:13" ht="15.75" customHeight="1">
      <c r="A10" s="49">
        <f t="shared" si="0"/>
        <v>44530</v>
      </c>
      <c r="B10" s="112" t="s">
        <v>48</v>
      </c>
      <c r="C10" s="121">
        <f>Multi_Family!I74</f>
        <v>1208.28</v>
      </c>
      <c r="D10" s="121">
        <f>Multi_Family!I76</f>
        <v>-57.68</v>
      </c>
      <c r="E10" s="121">
        <f>Multi_Family!G77</f>
        <v>0</v>
      </c>
      <c r="F10" s="121">
        <f>Multi_Family!I72</f>
        <v>160.656</v>
      </c>
      <c r="G10" s="135">
        <f>Multi_Family!I75</f>
        <v>145.808</v>
      </c>
      <c r="H10" s="121">
        <f>Multi_Family!I79</f>
        <v>32.848000000000006</v>
      </c>
      <c r="I10" s="121">
        <f>Multi_Family!I73</f>
        <v>275.3715692307693</v>
      </c>
      <c r="J10" s="121">
        <f>Multi_Family!I73</f>
        <v>275.3715692307693</v>
      </c>
      <c r="K10" s="121">
        <f>Multi_Family!I70</f>
        <v>129.08800000000002</v>
      </c>
      <c r="L10" s="121">
        <f>Multi_Family!I78</f>
        <v>-159.7</v>
      </c>
      <c r="M10" s="127"/>
    </row>
    <row r="11" spans="1:13" ht="15.75" customHeight="1">
      <c r="A11" s="49">
        <f t="shared" si="0"/>
        <v>44561</v>
      </c>
      <c r="B11" s="112" t="s">
        <v>49</v>
      </c>
      <c r="C11" s="121">
        <f>Multi_Family!J74</f>
        <v>1267.616</v>
      </c>
      <c r="D11" s="121">
        <f>Multi_Family!J76</f>
        <v>-51.06</v>
      </c>
      <c r="E11" s="121">
        <f>Multi_Family!J77</f>
        <v>0</v>
      </c>
      <c r="F11" s="121">
        <f>Multi_Family!J72</f>
        <v>168.928</v>
      </c>
      <c r="G11" s="135">
        <f>Multi_Family!J75</f>
        <v>152.824</v>
      </c>
      <c r="H11" s="121">
        <f>Multi_Family!J79</f>
        <v>-8.57</v>
      </c>
      <c r="I11" s="121">
        <f>Multi_Family!J73</f>
        <v>235.3165714285714</v>
      </c>
      <c r="J11" s="121">
        <f>Multi_Family!J73</f>
        <v>235.3165714285714</v>
      </c>
      <c r="K11" s="121">
        <f>Multi_Family!J70</f>
        <v>119.28</v>
      </c>
      <c r="L11" s="121">
        <f>Multi_Family!J78</f>
        <v>-163.71</v>
      </c>
      <c r="M11" s="127"/>
    </row>
    <row r="12" spans="1:13" ht="15.75" customHeight="1">
      <c r="A12" s="49">
        <f t="shared" si="0"/>
        <v>44592</v>
      </c>
      <c r="B12" s="112" t="s">
        <v>50</v>
      </c>
      <c r="C12" s="121">
        <f>Multi_Family!K74</f>
        <v>1508.5120000000002</v>
      </c>
      <c r="D12" s="121">
        <f>Multi_Family!K76</f>
        <v>-77.32</v>
      </c>
      <c r="E12" s="121">
        <f>Multi_Family!K77</f>
        <v>0</v>
      </c>
      <c r="F12" s="121">
        <f>Multi_Family!K72</f>
        <v>112.04000000000002</v>
      </c>
      <c r="G12" s="135">
        <f>Multi_Family!K75</f>
        <v>86.968</v>
      </c>
      <c r="H12" s="121">
        <f>Multi_Family!K79</f>
        <v>-3.4</v>
      </c>
      <c r="I12" s="121">
        <f>Multi_Family!K73</f>
        <v>150.52624390243903</v>
      </c>
      <c r="J12" s="121">
        <f>Multi_Family!K73</f>
        <v>150.52624390243903</v>
      </c>
      <c r="K12" s="121">
        <f>Multi_Family!K70</f>
        <v>83.224</v>
      </c>
      <c r="L12" s="121">
        <f>Multi_Family!K78</f>
        <v>-166.72</v>
      </c>
      <c r="M12" s="127"/>
    </row>
    <row r="13" spans="1:13" ht="15.75" customHeight="1">
      <c r="A13" s="49">
        <f t="shared" si="0"/>
        <v>44620</v>
      </c>
      <c r="B13" s="112" t="s">
        <v>51</v>
      </c>
      <c r="C13" s="121">
        <f>Multi_Family!L74</f>
        <v>1715.4240000000002</v>
      </c>
      <c r="D13" s="121">
        <f>Multi_Family!L76</f>
        <v>-65.19</v>
      </c>
      <c r="E13" s="121">
        <f>Multi_Family!L77</f>
        <v>0</v>
      </c>
      <c r="F13" s="121">
        <f>Multi_Family!L72</f>
        <v>131.264</v>
      </c>
      <c r="G13" s="135">
        <f>Multi_Family!L75</f>
        <v>107.78399999999999</v>
      </c>
      <c r="H13" s="121">
        <f>Multi_Family!L79</f>
        <v>-23.28</v>
      </c>
      <c r="I13" s="121">
        <f>Multi_Family!L73</f>
        <v>212.95260162601627</v>
      </c>
      <c r="J13" s="121">
        <f>Multi_Family!L73</f>
        <v>212.95260162601627</v>
      </c>
      <c r="K13" s="121">
        <f>Multi_Family!L70</f>
        <v>107.94400000000002</v>
      </c>
      <c r="L13" s="121">
        <f>Multi_Family!L78</f>
        <v>-166.81</v>
      </c>
      <c r="M13" s="127"/>
    </row>
    <row r="14" spans="1:13" ht="15.75" customHeight="1">
      <c r="A14" s="49">
        <f t="shared" si="0"/>
        <v>44651</v>
      </c>
      <c r="B14" s="112" t="s">
        <v>52</v>
      </c>
      <c r="C14" s="121">
        <f>Multi_Family!M74</f>
        <v>1859.6560000000002</v>
      </c>
      <c r="D14" s="121">
        <f>Multi_Family!M76</f>
        <v>-73.39</v>
      </c>
      <c r="E14" s="121">
        <f>Multi_Family!M77</f>
        <v>0</v>
      </c>
      <c r="F14" s="121">
        <f>Multi_Family!M72</f>
        <v>134.504</v>
      </c>
      <c r="G14" s="135">
        <f>Multi_Family!M75</f>
        <v>152.544</v>
      </c>
      <c r="H14" s="121">
        <f>Multi_Family!M79</f>
        <v>-17.3</v>
      </c>
      <c r="I14" s="121">
        <f>Multi_Family!M73</f>
        <v>268.1524552845529</v>
      </c>
      <c r="J14" s="121">
        <f>Multi_Family!M73</f>
        <v>268.1524552845529</v>
      </c>
      <c r="K14" s="121">
        <f>Multi_Family!M70</f>
        <v>104.48800000000001</v>
      </c>
      <c r="L14" s="121">
        <f>Multi_Family!M78</f>
        <v>-167.13</v>
      </c>
      <c r="M14" s="127"/>
    </row>
    <row r="15" spans="1:13" ht="15.75" customHeight="1">
      <c r="A15" s="49">
        <f t="shared" si="0"/>
        <v>44681</v>
      </c>
      <c r="B15" s="112" t="s">
        <v>53</v>
      </c>
      <c r="C15" s="121">
        <f>Multi_Family!N74</f>
        <v>1816.8400000000001</v>
      </c>
      <c r="D15" s="121">
        <f>Multi_Family!N76</f>
        <v>-55.61</v>
      </c>
      <c r="E15" s="121">
        <f>Multi_Family!N77</f>
        <v>0</v>
      </c>
      <c r="F15" s="121">
        <f>Multi_Family!N72</f>
        <v>158.15200000000002</v>
      </c>
      <c r="G15" s="135">
        <f>Multi_Family!N75</f>
        <v>185.48000000000002</v>
      </c>
      <c r="H15" s="121">
        <f>Multi_Family!N79</f>
        <v>-7.91</v>
      </c>
      <c r="I15" s="121">
        <f>Multi_Family!N73</f>
        <v>324.9494634146342</v>
      </c>
      <c r="J15" s="121">
        <f>Multi_Family!N73</f>
        <v>324.9494634146342</v>
      </c>
      <c r="K15" s="121">
        <f>Multi_Family!N70</f>
        <v>105.84000000000002</v>
      </c>
      <c r="L15" s="121">
        <f>Multi_Family!N78</f>
        <v>-167.08</v>
      </c>
      <c r="M15" s="127"/>
    </row>
    <row r="16" spans="1:13" ht="12.75">
      <c r="A16" s="50"/>
      <c r="C16" s="51"/>
      <c r="D16" s="51"/>
      <c r="E16" s="51"/>
      <c r="F16" s="51"/>
      <c r="G16" s="51"/>
      <c r="H16" s="51"/>
      <c r="I16" s="51"/>
      <c r="J16" s="51"/>
      <c r="K16" s="51"/>
      <c r="L16" s="50"/>
      <c r="M16" s="51"/>
    </row>
    <row r="17" spans="1:14" ht="12.75">
      <c r="A17" s="53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 t="s">
        <v>20</v>
      </c>
    </row>
    <row r="18" spans="1:13" ht="12.75">
      <c r="A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1:13" ht="12.75">
      <c r="A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12.75">
      <c r="A20" s="50"/>
      <c r="C20" s="50"/>
      <c r="D20" s="50"/>
      <c r="F20" s="50"/>
      <c r="G20" s="50"/>
      <c r="H20" s="50"/>
      <c r="I20" s="50"/>
      <c r="J20" s="50"/>
      <c r="K20" s="50"/>
      <c r="L20" s="50"/>
      <c r="M20" s="51"/>
    </row>
    <row r="21" spans="1:13" ht="12.75">
      <c r="A21" s="50"/>
      <c r="C21" s="50"/>
      <c r="D21" s="50"/>
      <c r="F21" s="50"/>
      <c r="G21" s="50"/>
      <c r="H21" s="50"/>
      <c r="I21" s="50"/>
      <c r="J21" s="50"/>
      <c r="K21" s="50"/>
      <c r="L21" s="50"/>
      <c r="M21" s="51"/>
    </row>
    <row r="22" spans="1:13" ht="12.75">
      <c r="A22" s="50"/>
      <c r="C22" s="50"/>
      <c r="D22" s="50"/>
      <c r="G22" s="50"/>
      <c r="H22" s="50"/>
      <c r="I22" s="50"/>
      <c r="J22" s="50"/>
      <c r="K22" s="50"/>
      <c r="L22" s="50"/>
      <c r="M22" s="51"/>
    </row>
    <row r="23" spans="1:13" ht="12.75">
      <c r="A23" s="50"/>
      <c r="C23" s="50"/>
      <c r="D23" s="50"/>
      <c r="F23" s="50"/>
      <c r="G23" s="50"/>
      <c r="H23" s="50"/>
      <c r="I23" s="50"/>
      <c r="J23" s="50"/>
      <c r="K23" s="50"/>
      <c r="L23" s="50"/>
      <c r="M23" s="51"/>
    </row>
    <row r="24" spans="1:13" ht="12.75">
      <c r="A24" s="50"/>
      <c r="C24" s="50"/>
      <c r="D24" s="50"/>
      <c r="F24" s="50"/>
      <c r="G24" s="50"/>
      <c r="H24" s="50"/>
      <c r="I24" s="50"/>
      <c r="J24" s="50"/>
      <c r="K24" s="50"/>
      <c r="L24" s="50"/>
      <c r="M24" s="51"/>
    </row>
    <row r="25" spans="1:13" ht="12.75">
      <c r="A25" s="50"/>
      <c r="C25" s="50"/>
      <c r="D25" s="50"/>
      <c r="F25" s="50"/>
      <c r="G25" s="50"/>
      <c r="H25" s="50"/>
      <c r="I25" s="50"/>
      <c r="J25" s="50"/>
      <c r="K25" s="50"/>
      <c r="L25" s="50"/>
      <c r="M25" s="51"/>
    </row>
    <row r="26" spans="1:13" ht="12.75">
      <c r="A26" s="50"/>
      <c r="C26" s="50"/>
      <c r="D26" s="50"/>
      <c r="F26" s="50"/>
      <c r="G26" s="50"/>
      <c r="H26" s="50"/>
      <c r="I26" s="50"/>
      <c r="J26" s="50"/>
      <c r="K26" s="50"/>
      <c r="L26" s="50"/>
      <c r="M26" s="51"/>
    </row>
    <row r="27" spans="1:13" ht="12.75">
      <c r="A27" s="50"/>
      <c r="C27" s="50"/>
      <c r="D27" s="50"/>
      <c r="F27" s="50"/>
      <c r="G27" s="50"/>
      <c r="H27" s="50"/>
      <c r="I27" s="50"/>
      <c r="J27" s="50"/>
      <c r="K27" s="50"/>
      <c r="L27" s="50"/>
      <c r="M27" s="51"/>
    </row>
    <row r="28" spans="1:13" ht="12.75">
      <c r="A28" s="50"/>
      <c r="C28" s="50"/>
      <c r="D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50"/>
      <c r="C29" s="50"/>
      <c r="D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50"/>
      <c r="C30" s="50"/>
      <c r="D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C31" s="50"/>
      <c r="D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75">
      <c r="A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.75">
      <c r="A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.75">
      <c r="A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.75">
      <c r="A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2.75">
      <c r="A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2.75">
      <c r="A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>
      <c r="A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>
      <c r="A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2.75">
      <c r="A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2.75">
      <c r="A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2.75">
      <c r="A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2.75">
      <c r="A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2.75">
      <c r="A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2.75">
      <c r="A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2.75">
      <c r="A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2.75">
      <c r="A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2.75">
      <c r="A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2.75">
      <c r="A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2.75">
      <c r="A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2.75">
      <c r="A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2.75">
      <c r="A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2.75">
      <c r="A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>
      <c r="A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2.75">
      <c r="A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>
      <c r="A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</sheetData>
  <sheetProtection/>
  <printOptions/>
  <pageMargins left="0.5" right="0.5" top="0.75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06"/>
  <sheetViews>
    <sheetView zoomScalePageLayoutView="0" workbookViewId="0" topLeftCell="A1">
      <pane xSplit="2" ySplit="6" topLeftCell="C7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A1" sqref="A1"/>
    </sheetView>
  </sheetViews>
  <sheetFormatPr defaultColWidth="9.140625" defaultRowHeight="12.75"/>
  <cols>
    <col min="1" max="1" width="6.00390625" style="50" customWidth="1"/>
    <col min="2" max="2" width="17.8515625" style="50" customWidth="1"/>
    <col min="3" max="4" width="9.8515625" style="50" customWidth="1"/>
    <col min="5" max="5" width="11.28125" style="50" customWidth="1"/>
    <col min="6" max="7" width="9.57421875" style="50" customWidth="1"/>
    <col min="8" max="8" width="9.8515625" style="50" customWidth="1"/>
    <col min="9" max="9" width="10.421875" style="50" customWidth="1"/>
    <col min="10" max="10" width="10.7109375" style="50" customWidth="1"/>
    <col min="11" max="14" width="9.140625" style="50" customWidth="1"/>
    <col min="15" max="15" width="10.7109375" style="50" bestFit="1" customWidth="1"/>
    <col min="16" max="16" width="9.140625" style="50" customWidth="1"/>
    <col min="17" max="18" width="9.7109375" style="50" bestFit="1" customWidth="1"/>
    <col min="19" max="16384" width="9.140625" style="50" customWidth="1"/>
  </cols>
  <sheetData>
    <row r="1" ht="11.25"/>
    <row r="2" spans="2:3" ht="11.25">
      <c r="B2" s="124" t="str">
        <f>+'WUTC_AW of Kent (SeaTac)_MF'!A1</f>
        <v>Rabanco Ltd (dba Allied Waste of Seatac)</v>
      </c>
      <c r="C2" s="65"/>
    </row>
    <row r="3" ht="11.25">
      <c r="C3" s="65"/>
    </row>
    <row r="4" spans="3:10" ht="11.25">
      <c r="C4" s="66"/>
      <c r="D4" s="66"/>
      <c r="E4" s="66"/>
      <c r="F4" s="66"/>
      <c r="G4" s="66"/>
      <c r="H4" s="67"/>
      <c r="I4" s="67"/>
      <c r="J4" s="64"/>
    </row>
    <row r="5" spans="3:10" ht="11.25">
      <c r="C5" s="66"/>
      <c r="D5" s="66"/>
      <c r="E5" s="66"/>
      <c r="F5" s="66"/>
      <c r="G5" s="66"/>
      <c r="H5" s="67"/>
      <c r="I5" s="67"/>
      <c r="J5" s="66"/>
    </row>
    <row r="6" spans="3:14" ht="9.75" customHeight="1">
      <c r="C6" s="103">
        <v>44317</v>
      </c>
      <c r="D6" s="68">
        <f aca="true" t="shared" si="0" ref="D6:N6">EOMONTH(C6,1)</f>
        <v>44377</v>
      </c>
      <c r="E6" s="68">
        <f t="shared" si="0"/>
        <v>44408</v>
      </c>
      <c r="F6" s="68">
        <f t="shared" si="0"/>
        <v>44439</v>
      </c>
      <c r="G6" s="68">
        <f t="shared" si="0"/>
        <v>44469</v>
      </c>
      <c r="H6" s="68">
        <f t="shared" si="0"/>
        <v>44500</v>
      </c>
      <c r="I6" s="68">
        <f t="shared" si="0"/>
        <v>44530</v>
      </c>
      <c r="J6" s="68">
        <f t="shared" si="0"/>
        <v>44561</v>
      </c>
      <c r="K6" s="68">
        <f t="shared" si="0"/>
        <v>44592</v>
      </c>
      <c r="L6" s="68">
        <f t="shared" si="0"/>
        <v>44620</v>
      </c>
      <c r="M6" s="68">
        <f t="shared" si="0"/>
        <v>44651</v>
      </c>
      <c r="N6" s="68">
        <f t="shared" si="0"/>
        <v>44681</v>
      </c>
    </row>
    <row r="7" spans="1:28" s="51" customFormat="1" ht="11.25">
      <c r="A7" s="69" t="s">
        <v>22</v>
      </c>
      <c r="C7" s="104">
        <v>5.65</v>
      </c>
      <c r="D7" s="104">
        <v>6.949999999999999</v>
      </c>
      <c r="E7" s="104">
        <v>5.47</v>
      </c>
      <c r="F7" s="104">
        <v>5.57</v>
      </c>
      <c r="G7" s="104">
        <v>6.16</v>
      </c>
      <c r="H7" s="104">
        <v>6.51</v>
      </c>
      <c r="I7" s="104">
        <v>8.49</v>
      </c>
      <c r="J7" s="104">
        <v>5.59</v>
      </c>
      <c r="K7" s="104">
        <v>10.4</v>
      </c>
      <c r="L7" s="104">
        <v>6.79</v>
      </c>
      <c r="M7" s="104">
        <v>11.39</v>
      </c>
      <c r="N7" s="104">
        <v>6.4</v>
      </c>
      <c r="R7" s="50"/>
      <c r="S7" s="50"/>
      <c r="T7" s="50"/>
      <c r="U7" s="50"/>
      <c r="V7" s="50"/>
      <c r="W7" s="73"/>
      <c r="X7" s="73"/>
      <c r="Y7" s="73"/>
      <c r="Z7" s="73"/>
      <c r="AA7" s="73"/>
      <c r="AB7" s="73"/>
    </row>
    <row r="8" spans="1:14" ht="11.25">
      <c r="A8" s="50" t="s">
        <v>23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</row>
    <row r="9" spans="1:14" ht="11.25">
      <c r="A9" s="50" t="s">
        <v>24</v>
      </c>
      <c r="C9" s="71">
        <f aca="true" t="shared" si="1" ref="C9:N9">+C7*C8</f>
        <v>0</v>
      </c>
      <c r="D9" s="71">
        <f t="shared" si="1"/>
        <v>0</v>
      </c>
      <c r="E9" s="71">
        <f t="shared" si="1"/>
        <v>0</v>
      </c>
      <c r="F9" s="71">
        <f t="shared" si="1"/>
        <v>0</v>
      </c>
      <c r="G9" s="71">
        <f t="shared" si="1"/>
        <v>0</v>
      </c>
      <c r="H9" s="71">
        <f t="shared" si="1"/>
        <v>0</v>
      </c>
      <c r="I9" s="71">
        <f t="shared" si="1"/>
        <v>0</v>
      </c>
      <c r="J9" s="71">
        <f t="shared" si="1"/>
        <v>0</v>
      </c>
      <c r="K9" s="71">
        <f t="shared" si="1"/>
        <v>0</v>
      </c>
      <c r="L9" s="71">
        <f t="shared" si="1"/>
        <v>0</v>
      </c>
      <c r="M9" s="71">
        <f t="shared" si="1"/>
        <v>0</v>
      </c>
      <c r="N9" s="71">
        <f t="shared" si="1"/>
        <v>0</v>
      </c>
    </row>
    <row r="10" spans="1:14" ht="11.25">
      <c r="A10" s="64" t="s">
        <v>25</v>
      </c>
      <c r="C10" s="72">
        <f aca="true" t="shared" si="2" ref="C10:N10">+C7-C9</f>
        <v>5.65</v>
      </c>
      <c r="D10" s="72">
        <f t="shared" si="2"/>
        <v>6.949999999999999</v>
      </c>
      <c r="E10" s="72">
        <f t="shared" si="2"/>
        <v>5.47</v>
      </c>
      <c r="F10" s="72">
        <f t="shared" si="2"/>
        <v>5.57</v>
      </c>
      <c r="G10" s="72">
        <f t="shared" si="2"/>
        <v>6.16</v>
      </c>
      <c r="H10" s="72">
        <f t="shared" si="2"/>
        <v>6.51</v>
      </c>
      <c r="I10" s="72">
        <f t="shared" si="2"/>
        <v>8.49</v>
      </c>
      <c r="J10" s="72">
        <f t="shared" si="2"/>
        <v>5.59</v>
      </c>
      <c r="K10" s="72">
        <f t="shared" si="2"/>
        <v>10.4</v>
      </c>
      <c r="L10" s="72">
        <f t="shared" si="2"/>
        <v>6.79</v>
      </c>
      <c r="M10" s="72">
        <f t="shared" si="2"/>
        <v>11.39</v>
      </c>
      <c r="N10" s="72">
        <f t="shared" si="2"/>
        <v>6.4</v>
      </c>
    </row>
    <row r="11" ht="11.25"/>
    <row r="12" ht="11.25">
      <c r="A12" s="64" t="s">
        <v>26</v>
      </c>
    </row>
    <row r="13" spans="2:14" s="73" customFormat="1" ht="11.25">
      <c r="B13" s="73" t="s">
        <v>13</v>
      </c>
      <c r="C13" s="105">
        <v>0</v>
      </c>
      <c r="D13" s="105">
        <f>+C13</f>
        <v>0</v>
      </c>
      <c r="E13" s="105">
        <v>0</v>
      </c>
      <c r="F13" s="105">
        <f aca="true" t="shared" si="3" ref="F13:M13">+E13</f>
        <v>0</v>
      </c>
      <c r="G13" s="105">
        <f t="shared" si="3"/>
        <v>0</v>
      </c>
      <c r="H13" s="105">
        <f t="shared" si="3"/>
        <v>0</v>
      </c>
      <c r="I13" s="105">
        <f t="shared" si="3"/>
        <v>0</v>
      </c>
      <c r="J13" s="105">
        <f t="shared" si="3"/>
        <v>0</v>
      </c>
      <c r="K13" s="105">
        <v>0</v>
      </c>
      <c r="L13" s="105">
        <f t="shared" si="3"/>
        <v>0</v>
      </c>
      <c r="M13" s="105">
        <f t="shared" si="3"/>
        <v>0</v>
      </c>
      <c r="N13" s="105">
        <v>0</v>
      </c>
    </row>
    <row r="14" spans="2:14" s="73" customFormat="1" ht="11.25">
      <c r="B14" s="73" t="s">
        <v>17</v>
      </c>
      <c r="C14" s="105">
        <v>0.2453</v>
      </c>
      <c r="D14" s="105">
        <f aca="true" t="shared" si="4" ref="D14:N23">+C14</f>
        <v>0.2453</v>
      </c>
      <c r="E14" s="105">
        <v>0.2529</v>
      </c>
      <c r="F14" s="105">
        <f t="shared" si="4"/>
        <v>0.2529</v>
      </c>
      <c r="G14" s="105">
        <f t="shared" si="4"/>
        <v>0.2529</v>
      </c>
      <c r="H14" s="105">
        <f t="shared" si="4"/>
        <v>0.2529</v>
      </c>
      <c r="I14" s="105">
        <f t="shared" si="4"/>
        <v>0.2529</v>
      </c>
      <c r="J14" s="105">
        <f t="shared" si="4"/>
        <v>0.2529</v>
      </c>
      <c r="K14" s="105">
        <v>0.261</v>
      </c>
      <c r="L14" s="105">
        <f t="shared" si="4"/>
        <v>0.261</v>
      </c>
      <c r="M14" s="105">
        <f t="shared" si="4"/>
        <v>0.261</v>
      </c>
      <c r="N14" s="105">
        <f t="shared" si="4"/>
        <v>0.261</v>
      </c>
    </row>
    <row r="15" spans="2:14" s="73" customFormat="1" ht="11.25">
      <c r="B15" s="73" t="s">
        <v>27</v>
      </c>
      <c r="C15" s="105">
        <v>0</v>
      </c>
      <c r="D15" s="105">
        <f t="shared" si="4"/>
        <v>0</v>
      </c>
      <c r="E15" s="105">
        <v>0</v>
      </c>
      <c r="F15" s="105">
        <f t="shared" si="4"/>
        <v>0</v>
      </c>
      <c r="G15" s="105">
        <f t="shared" si="4"/>
        <v>0</v>
      </c>
      <c r="H15" s="105">
        <f t="shared" si="4"/>
        <v>0</v>
      </c>
      <c r="I15" s="105">
        <f t="shared" si="4"/>
        <v>0</v>
      </c>
      <c r="J15" s="105">
        <f t="shared" si="4"/>
        <v>0</v>
      </c>
      <c r="K15" s="105">
        <v>0</v>
      </c>
      <c r="L15" s="105">
        <f t="shared" si="4"/>
        <v>0</v>
      </c>
      <c r="M15" s="105">
        <f t="shared" si="4"/>
        <v>0</v>
      </c>
      <c r="N15" s="105">
        <f t="shared" si="4"/>
        <v>0</v>
      </c>
    </row>
    <row r="16" spans="2:14" s="73" customFormat="1" ht="11.25">
      <c r="B16" s="73" t="s">
        <v>28</v>
      </c>
      <c r="C16" s="105">
        <v>0.0141</v>
      </c>
      <c r="D16" s="105">
        <f t="shared" si="4"/>
        <v>0.0141</v>
      </c>
      <c r="E16" s="105">
        <v>0.0152</v>
      </c>
      <c r="F16" s="105">
        <f t="shared" si="4"/>
        <v>0.0152</v>
      </c>
      <c r="G16" s="105">
        <f t="shared" si="4"/>
        <v>0.0152</v>
      </c>
      <c r="H16" s="105">
        <f t="shared" si="4"/>
        <v>0.0152</v>
      </c>
      <c r="I16" s="105">
        <f t="shared" si="4"/>
        <v>0.0152</v>
      </c>
      <c r="J16" s="105">
        <f t="shared" si="4"/>
        <v>0.0152</v>
      </c>
      <c r="K16" s="105">
        <v>0.0147</v>
      </c>
      <c r="L16" s="105">
        <f t="shared" si="4"/>
        <v>0.0147</v>
      </c>
      <c r="M16" s="105">
        <f t="shared" si="4"/>
        <v>0.0147</v>
      </c>
      <c r="N16" s="105">
        <f t="shared" si="4"/>
        <v>0.0147</v>
      </c>
    </row>
    <row r="17" spans="2:14" s="73" customFormat="1" ht="11.25">
      <c r="B17" s="73" t="s">
        <v>29</v>
      </c>
      <c r="C17" s="105">
        <v>0.0358</v>
      </c>
      <c r="D17" s="105">
        <f t="shared" si="4"/>
        <v>0.0358</v>
      </c>
      <c r="E17" s="105">
        <v>0.0455</v>
      </c>
      <c r="F17" s="105">
        <f t="shared" si="4"/>
        <v>0.0455</v>
      </c>
      <c r="G17" s="105">
        <f t="shared" si="4"/>
        <v>0.0455</v>
      </c>
      <c r="H17" s="105">
        <f t="shared" si="4"/>
        <v>0.0455</v>
      </c>
      <c r="I17" s="105">
        <f t="shared" si="4"/>
        <v>0.0455</v>
      </c>
      <c r="J17" s="105">
        <f t="shared" si="4"/>
        <v>0.0455</v>
      </c>
      <c r="K17" s="105">
        <v>0.0492</v>
      </c>
      <c r="L17" s="105">
        <f t="shared" si="4"/>
        <v>0.0492</v>
      </c>
      <c r="M17" s="105">
        <f t="shared" si="4"/>
        <v>0.0492</v>
      </c>
      <c r="N17" s="105">
        <f t="shared" si="4"/>
        <v>0.0492</v>
      </c>
    </row>
    <row r="18" spans="2:14" s="73" customFormat="1" ht="11.25">
      <c r="B18" s="73" t="s">
        <v>30</v>
      </c>
      <c r="C18" s="105">
        <v>0.0163</v>
      </c>
      <c r="D18" s="105">
        <f t="shared" si="4"/>
        <v>0.0163</v>
      </c>
      <c r="E18" s="105">
        <v>0.0176</v>
      </c>
      <c r="F18" s="105">
        <f t="shared" si="4"/>
        <v>0.0176</v>
      </c>
      <c r="G18" s="105">
        <f t="shared" si="4"/>
        <v>0.0176</v>
      </c>
      <c r="H18" s="105">
        <f t="shared" si="4"/>
        <v>0.0176</v>
      </c>
      <c r="I18" s="105">
        <f t="shared" si="4"/>
        <v>0.0176</v>
      </c>
      <c r="J18" s="105">
        <f t="shared" si="4"/>
        <v>0.0176</v>
      </c>
      <c r="K18" s="105">
        <v>0.0178</v>
      </c>
      <c r="L18" s="105">
        <f t="shared" si="4"/>
        <v>0.0178</v>
      </c>
      <c r="M18" s="105">
        <f t="shared" si="4"/>
        <v>0.0178</v>
      </c>
      <c r="N18" s="105">
        <f t="shared" si="4"/>
        <v>0.0178</v>
      </c>
    </row>
    <row r="19" spans="2:14" s="73" customFormat="1" ht="11.25">
      <c r="B19" s="50" t="s">
        <v>31</v>
      </c>
      <c r="C19" s="105">
        <v>0.0021</v>
      </c>
      <c r="D19" s="105">
        <f t="shared" si="4"/>
        <v>0.0021</v>
      </c>
      <c r="E19" s="105">
        <v>0.0021</v>
      </c>
      <c r="F19" s="105">
        <f t="shared" si="4"/>
        <v>0.0021</v>
      </c>
      <c r="G19" s="105">
        <f t="shared" si="4"/>
        <v>0.0021</v>
      </c>
      <c r="H19" s="105">
        <f t="shared" si="4"/>
        <v>0.0021</v>
      </c>
      <c r="I19" s="105">
        <f t="shared" si="4"/>
        <v>0.0021</v>
      </c>
      <c r="J19" s="105">
        <f t="shared" si="4"/>
        <v>0.0021</v>
      </c>
      <c r="K19" s="105">
        <v>0.0019</v>
      </c>
      <c r="L19" s="105">
        <f t="shared" si="4"/>
        <v>0.0019</v>
      </c>
      <c r="M19" s="105">
        <f t="shared" si="4"/>
        <v>0.0019</v>
      </c>
      <c r="N19" s="105">
        <f t="shared" si="4"/>
        <v>0.0019</v>
      </c>
    </row>
    <row r="20" spans="2:14" s="73" customFormat="1" ht="11.25">
      <c r="B20" s="50" t="s">
        <v>12</v>
      </c>
      <c r="C20" s="105">
        <v>0.124</v>
      </c>
      <c r="D20" s="105">
        <f t="shared" si="4"/>
        <v>0.124</v>
      </c>
      <c r="E20" s="105">
        <v>0.1671</v>
      </c>
      <c r="F20" s="105">
        <f t="shared" si="4"/>
        <v>0.1671</v>
      </c>
      <c r="G20" s="105">
        <f t="shared" si="4"/>
        <v>0.1671</v>
      </c>
      <c r="H20" s="105">
        <f t="shared" si="4"/>
        <v>0.1671</v>
      </c>
      <c r="I20" s="105">
        <f t="shared" si="4"/>
        <v>0.1671</v>
      </c>
      <c r="J20" s="105">
        <f t="shared" si="4"/>
        <v>0.1671</v>
      </c>
      <c r="K20" s="105">
        <v>0.1775</v>
      </c>
      <c r="L20" s="105">
        <f t="shared" si="4"/>
        <v>0.1775</v>
      </c>
      <c r="M20" s="105">
        <f t="shared" si="4"/>
        <v>0.1775</v>
      </c>
      <c r="N20" s="105">
        <f t="shared" si="4"/>
        <v>0.1775</v>
      </c>
    </row>
    <row r="21" spans="2:14" s="73" customFormat="1" ht="11.25">
      <c r="B21" s="73" t="s">
        <v>32</v>
      </c>
      <c r="C21" s="105">
        <v>0</v>
      </c>
      <c r="D21" s="105">
        <f t="shared" si="4"/>
        <v>0</v>
      </c>
      <c r="E21" s="105">
        <v>0</v>
      </c>
      <c r="F21" s="105">
        <f t="shared" si="4"/>
        <v>0</v>
      </c>
      <c r="G21" s="105">
        <f t="shared" si="4"/>
        <v>0</v>
      </c>
      <c r="H21" s="105">
        <f t="shared" si="4"/>
        <v>0</v>
      </c>
      <c r="I21" s="105">
        <f t="shared" si="4"/>
        <v>0</v>
      </c>
      <c r="J21" s="105">
        <f t="shared" si="4"/>
        <v>0</v>
      </c>
      <c r="K21" s="105">
        <v>0</v>
      </c>
      <c r="L21" s="105">
        <f t="shared" si="4"/>
        <v>0</v>
      </c>
      <c r="M21" s="105">
        <f t="shared" si="4"/>
        <v>0</v>
      </c>
      <c r="N21" s="105">
        <f t="shared" si="4"/>
        <v>0</v>
      </c>
    </row>
    <row r="22" spans="2:14" s="73" customFormat="1" ht="11.25">
      <c r="B22" s="73" t="s">
        <v>33</v>
      </c>
      <c r="C22" s="105">
        <v>0.2395</v>
      </c>
      <c r="D22" s="105">
        <f t="shared" si="4"/>
        <v>0.2395</v>
      </c>
      <c r="E22" s="105">
        <v>0.1505</v>
      </c>
      <c r="F22" s="105">
        <f t="shared" si="4"/>
        <v>0.1505</v>
      </c>
      <c r="G22" s="105">
        <f t="shared" si="4"/>
        <v>0.1505</v>
      </c>
      <c r="H22" s="105">
        <f t="shared" si="4"/>
        <v>0.1505</v>
      </c>
      <c r="I22" s="105">
        <f t="shared" si="4"/>
        <v>0.1505</v>
      </c>
      <c r="J22" s="105">
        <f t="shared" si="4"/>
        <v>0.1505</v>
      </c>
      <c r="K22" s="105">
        <v>0.1469</v>
      </c>
      <c r="L22" s="105">
        <f t="shared" si="4"/>
        <v>0.1469</v>
      </c>
      <c r="M22" s="105">
        <f t="shared" si="4"/>
        <v>0.1469</v>
      </c>
      <c r="N22" s="105">
        <f t="shared" si="4"/>
        <v>0.1469</v>
      </c>
    </row>
    <row r="23" spans="2:14" s="73" customFormat="1" ht="11.25">
      <c r="B23" s="73" t="s">
        <v>34</v>
      </c>
      <c r="C23" s="106">
        <v>0.3229</v>
      </c>
      <c r="D23" s="105">
        <f t="shared" si="4"/>
        <v>0.3229</v>
      </c>
      <c r="E23" s="105">
        <v>0.3491</v>
      </c>
      <c r="F23" s="105">
        <f t="shared" si="4"/>
        <v>0.3491</v>
      </c>
      <c r="G23" s="105">
        <f t="shared" si="4"/>
        <v>0.3491</v>
      </c>
      <c r="H23" s="105">
        <f t="shared" si="4"/>
        <v>0.3491</v>
      </c>
      <c r="I23" s="105">
        <f t="shared" si="4"/>
        <v>0.3491</v>
      </c>
      <c r="J23" s="105">
        <f t="shared" si="4"/>
        <v>0.3491</v>
      </c>
      <c r="K23" s="105">
        <v>0.331</v>
      </c>
      <c r="L23" s="105">
        <f t="shared" si="4"/>
        <v>0.331</v>
      </c>
      <c r="M23" s="105">
        <f t="shared" si="4"/>
        <v>0.331</v>
      </c>
      <c r="N23" s="105">
        <f t="shared" si="4"/>
        <v>0.331</v>
      </c>
    </row>
    <row r="24" spans="3:14" ht="11.25">
      <c r="C24" s="74">
        <v>1</v>
      </c>
      <c r="D24" s="74">
        <v>1</v>
      </c>
      <c r="E24" s="74">
        <v>1</v>
      </c>
      <c r="F24" s="74">
        <v>1</v>
      </c>
      <c r="G24" s="74">
        <v>1</v>
      </c>
      <c r="H24" s="74">
        <v>1</v>
      </c>
      <c r="I24" s="74">
        <v>1</v>
      </c>
      <c r="J24" s="74">
        <v>1</v>
      </c>
      <c r="K24" s="74">
        <v>1</v>
      </c>
      <c r="L24" s="74">
        <v>1</v>
      </c>
      <c r="M24" s="74">
        <v>1</v>
      </c>
      <c r="N24" s="74">
        <v>1</v>
      </c>
    </row>
    <row r="26" ht="11.25">
      <c r="A26" s="64" t="s">
        <v>35</v>
      </c>
    </row>
    <row r="27" spans="2:14" ht="11.25">
      <c r="B27" s="50" t="s">
        <v>13</v>
      </c>
      <c r="C27" s="60">
        <f aca="true" t="shared" si="5" ref="C27:C37">+C$10*C13</f>
        <v>0</v>
      </c>
      <c r="D27" s="60">
        <f aca="true" t="shared" si="6" ref="D27:N27">+D$10*D13</f>
        <v>0</v>
      </c>
      <c r="E27" s="60">
        <f t="shared" si="6"/>
        <v>0</v>
      </c>
      <c r="F27" s="60">
        <f t="shared" si="6"/>
        <v>0</v>
      </c>
      <c r="G27" s="60">
        <f t="shared" si="6"/>
        <v>0</v>
      </c>
      <c r="H27" s="60">
        <f t="shared" si="6"/>
        <v>0</v>
      </c>
      <c r="I27" s="60">
        <f t="shared" si="6"/>
        <v>0</v>
      </c>
      <c r="J27" s="60">
        <f t="shared" si="6"/>
        <v>0</v>
      </c>
      <c r="K27" s="60">
        <f t="shared" si="6"/>
        <v>0</v>
      </c>
      <c r="L27" s="60">
        <f t="shared" si="6"/>
        <v>0</v>
      </c>
      <c r="M27" s="60">
        <f t="shared" si="6"/>
        <v>0</v>
      </c>
      <c r="N27" s="60">
        <f t="shared" si="6"/>
        <v>0</v>
      </c>
    </row>
    <row r="28" spans="2:14" ht="11.25">
      <c r="B28" s="50" t="s">
        <v>17</v>
      </c>
      <c r="C28" s="60">
        <f t="shared" si="5"/>
        <v>1.385945</v>
      </c>
      <c r="D28" s="60">
        <f aca="true" t="shared" si="7" ref="D28:N28">+D$10*D14</f>
        <v>1.7048349999999997</v>
      </c>
      <c r="E28" s="60">
        <f t="shared" si="7"/>
        <v>1.3833630000000001</v>
      </c>
      <c r="F28" s="60">
        <f t="shared" si="7"/>
        <v>1.4086530000000002</v>
      </c>
      <c r="G28" s="60">
        <f t="shared" si="7"/>
        <v>1.5578640000000001</v>
      </c>
      <c r="H28" s="60">
        <f t="shared" si="7"/>
        <v>1.646379</v>
      </c>
      <c r="I28" s="60">
        <f t="shared" si="7"/>
        <v>2.1471210000000003</v>
      </c>
      <c r="J28" s="60">
        <f t="shared" si="7"/>
        <v>1.413711</v>
      </c>
      <c r="K28" s="60">
        <f t="shared" si="7"/>
        <v>2.7144000000000004</v>
      </c>
      <c r="L28" s="60">
        <f t="shared" si="7"/>
        <v>1.7721900000000002</v>
      </c>
      <c r="M28" s="60">
        <f t="shared" si="7"/>
        <v>2.9727900000000003</v>
      </c>
      <c r="N28" s="60">
        <f t="shared" si="7"/>
        <v>1.6704</v>
      </c>
    </row>
    <row r="29" spans="2:14" ht="11.25">
      <c r="B29" s="50" t="s">
        <v>27</v>
      </c>
      <c r="C29" s="60">
        <f t="shared" si="5"/>
        <v>0</v>
      </c>
      <c r="D29" s="60">
        <f aca="true" t="shared" si="8" ref="D29:N29">+D$10*D15</f>
        <v>0</v>
      </c>
      <c r="E29" s="60">
        <f t="shared" si="8"/>
        <v>0</v>
      </c>
      <c r="F29" s="60">
        <f t="shared" si="8"/>
        <v>0</v>
      </c>
      <c r="G29" s="60">
        <f t="shared" si="8"/>
        <v>0</v>
      </c>
      <c r="H29" s="60">
        <f t="shared" si="8"/>
        <v>0</v>
      </c>
      <c r="I29" s="60">
        <f t="shared" si="8"/>
        <v>0</v>
      </c>
      <c r="J29" s="60">
        <f t="shared" si="8"/>
        <v>0</v>
      </c>
      <c r="K29" s="60">
        <f t="shared" si="8"/>
        <v>0</v>
      </c>
      <c r="L29" s="60">
        <f t="shared" si="8"/>
        <v>0</v>
      </c>
      <c r="M29" s="60">
        <f t="shared" si="8"/>
        <v>0</v>
      </c>
      <c r="N29" s="60">
        <f t="shared" si="8"/>
        <v>0</v>
      </c>
    </row>
    <row r="30" spans="2:14" ht="11.25">
      <c r="B30" s="50" t="s">
        <v>28</v>
      </c>
      <c r="C30" s="60">
        <f t="shared" si="5"/>
        <v>0.079665</v>
      </c>
      <c r="D30" s="60">
        <f aca="true" t="shared" si="9" ref="D30:N30">+D$10*D16</f>
        <v>0.09799499999999998</v>
      </c>
      <c r="E30" s="60">
        <f t="shared" si="9"/>
        <v>0.083144</v>
      </c>
      <c r="F30" s="60">
        <f t="shared" si="9"/>
        <v>0.084664</v>
      </c>
      <c r="G30" s="60">
        <f t="shared" si="9"/>
        <v>0.093632</v>
      </c>
      <c r="H30" s="60">
        <f t="shared" si="9"/>
        <v>0.098952</v>
      </c>
      <c r="I30" s="60">
        <f t="shared" si="9"/>
        <v>0.129048</v>
      </c>
      <c r="J30" s="60">
        <f t="shared" si="9"/>
        <v>0.084968</v>
      </c>
      <c r="K30" s="60">
        <f t="shared" si="9"/>
        <v>0.15288</v>
      </c>
      <c r="L30" s="60">
        <f t="shared" si="9"/>
        <v>0.099813</v>
      </c>
      <c r="M30" s="60">
        <f t="shared" si="9"/>
        <v>0.167433</v>
      </c>
      <c r="N30" s="60">
        <f t="shared" si="9"/>
        <v>0.09408</v>
      </c>
    </row>
    <row r="31" spans="2:14" ht="11.25">
      <c r="B31" s="50" t="s">
        <v>29</v>
      </c>
      <c r="C31" s="60">
        <f t="shared" si="5"/>
        <v>0.20227</v>
      </c>
      <c r="D31" s="60">
        <f aca="true" t="shared" si="10" ref="D31:N31">+D$10*D17</f>
        <v>0.24880999999999998</v>
      </c>
      <c r="E31" s="60">
        <f t="shared" si="10"/>
        <v>0.248885</v>
      </c>
      <c r="F31" s="60">
        <f t="shared" si="10"/>
        <v>0.253435</v>
      </c>
      <c r="G31" s="60">
        <f t="shared" si="10"/>
        <v>0.28028</v>
      </c>
      <c r="H31" s="60">
        <f t="shared" si="10"/>
        <v>0.296205</v>
      </c>
      <c r="I31" s="60">
        <f t="shared" si="10"/>
        <v>0.386295</v>
      </c>
      <c r="J31" s="60">
        <f t="shared" si="10"/>
        <v>0.254345</v>
      </c>
      <c r="K31" s="60">
        <f t="shared" si="10"/>
        <v>0.51168</v>
      </c>
      <c r="L31" s="60">
        <f t="shared" si="10"/>
        <v>0.33406800000000003</v>
      </c>
      <c r="M31" s="60">
        <f t="shared" si="10"/>
        <v>0.560388</v>
      </c>
      <c r="N31" s="60">
        <f t="shared" si="10"/>
        <v>0.31488000000000005</v>
      </c>
    </row>
    <row r="32" spans="2:14" ht="11.25">
      <c r="B32" s="50" t="s">
        <v>30</v>
      </c>
      <c r="C32" s="60">
        <f t="shared" si="5"/>
        <v>0.092095</v>
      </c>
      <c r="D32" s="60">
        <f aca="true" t="shared" si="11" ref="D32:N32">+D$10*D18</f>
        <v>0.11328499999999998</v>
      </c>
      <c r="E32" s="60">
        <f t="shared" si="11"/>
        <v>0.096272</v>
      </c>
      <c r="F32" s="60">
        <f t="shared" si="11"/>
        <v>0.09803200000000001</v>
      </c>
      <c r="G32" s="60">
        <f t="shared" si="11"/>
        <v>0.10841600000000001</v>
      </c>
      <c r="H32" s="60">
        <f t="shared" si="11"/>
        <v>0.114576</v>
      </c>
      <c r="I32" s="60">
        <f t="shared" si="11"/>
        <v>0.149424</v>
      </c>
      <c r="J32" s="60">
        <f t="shared" si="11"/>
        <v>0.098384</v>
      </c>
      <c r="K32" s="60">
        <f t="shared" si="11"/>
        <v>0.18512</v>
      </c>
      <c r="L32" s="60">
        <f t="shared" si="11"/>
        <v>0.120862</v>
      </c>
      <c r="M32" s="60">
        <f t="shared" si="11"/>
        <v>0.202742</v>
      </c>
      <c r="N32" s="60">
        <f t="shared" si="11"/>
        <v>0.11392000000000001</v>
      </c>
    </row>
    <row r="33" spans="2:14" ht="11.25">
      <c r="B33" s="50" t="s">
        <v>31</v>
      </c>
      <c r="C33" s="60">
        <f t="shared" si="5"/>
        <v>0.011865</v>
      </c>
      <c r="D33" s="60">
        <f aca="true" t="shared" si="12" ref="D33:N33">+D$10*D19</f>
        <v>0.014594999999999997</v>
      </c>
      <c r="E33" s="60">
        <f t="shared" si="12"/>
        <v>0.011486999999999999</v>
      </c>
      <c r="F33" s="60">
        <f t="shared" si="12"/>
        <v>0.011696999999999999</v>
      </c>
      <c r="G33" s="60">
        <f t="shared" si="12"/>
        <v>0.012936</v>
      </c>
      <c r="H33" s="60">
        <f t="shared" si="12"/>
        <v>0.013670999999999999</v>
      </c>
      <c r="I33" s="60">
        <f t="shared" si="12"/>
        <v>0.017828999999999998</v>
      </c>
      <c r="J33" s="60">
        <f t="shared" si="12"/>
        <v>0.011739</v>
      </c>
      <c r="K33" s="60">
        <f t="shared" si="12"/>
        <v>0.01976</v>
      </c>
      <c r="L33" s="60">
        <f t="shared" si="12"/>
        <v>0.012901</v>
      </c>
      <c r="M33" s="60">
        <f t="shared" si="12"/>
        <v>0.021641</v>
      </c>
      <c r="N33" s="60">
        <f t="shared" si="12"/>
        <v>0.01216</v>
      </c>
    </row>
    <row r="34" spans="2:14" ht="11.25">
      <c r="B34" s="50" t="s">
        <v>12</v>
      </c>
      <c r="C34" s="60">
        <f t="shared" si="5"/>
        <v>0.7006</v>
      </c>
      <c r="D34" s="60">
        <f aca="true" t="shared" si="13" ref="D34:N34">+D$10*D20</f>
        <v>0.8617999999999999</v>
      </c>
      <c r="E34" s="60">
        <f t="shared" si="13"/>
        <v>0.914037</v>
      </c>
      <c r="F34" s="60">
        <f t="shared" si="13"/>
        <v>0.930747</v>
      </c>
      <c r="G34" s="60">
        <f t="shared" si="13"/>
        <v>1.029336</v>
      </c>
      <c r="H34" s="60">
        <f t="shared" si="13"/>
        <v>1.087821</v>
      </c>
      <c r="I34" s="60">
        <f t="shared" si="13"/>
        <v>1.418679</v>
      </c>
      <c r="J34" s="60">
        <f t="shared" si="13"/>
        <v>0.934089</v>
      </c>
      <c r="K34" s="60">
        <f t="shared" si="13"/>
        <v>1.8459999999999999</v>
      </c>
      <c r="L34" s="60">
        <f t="shared" si="13"/>
        <v>1.205225</v>
      </c>
      <c r="M34" s="60">
        <f t="shared" si="13"/>
        <v>2.021725</v>
      </c>
      <c r="N34" s="60">
        <f t="shared" si="13"/>
        <v>1.136</v>
      </c>
    </row>
    <row r="35" spans="2:14" ht="11.25">
      <c r="B35" s="50" t="s">
        <v>32</v>
      </c>
      <c r="C35" s="60">
        <f t="shared" si="5"/>
        <v>0</v>
      </c>
      <c r="D35" s="60">
        <f aca="true" t="shared" si="14" ref="D35:N35">+D$10*D21</f>
        <v>0</v>
      </c>
      <c r="E35" s="60">
        <f t="shared" si="14"/>
        <v>0</v>
      </c>
      <c r="F35" s="60">
        <f t="shared" si="14"/>
        <v>0</v>
      </c>
      <c r="G35" s="60">
        <f t="shared" si="14"/>
        <v>0</v>
      </c>
      <c r="H35" s="60">
        <f t="shared" si="14"/>
        <v>0</v>
      </c>
      <c r="I35" s="60">
        <f t="shared" si="14"/>
        <v>0</v>
      </c>
      <c r="J35" s="60">
        <f t="shared" si="14"/>
        <v>0</v>
      </c>
      <c r="K35" s="60">
        <f t="shared" si="14"/>
        <v>0</v>
      </c>
      <c r="L35" s="60">
        <f t="shared" si="14"/>
        <v>0</v>
      </c>
      <c r="M35" s="60">
        <f t="shared" si="14"/>
        <v>0</v>
      </c>
      <c r="N35" s="60">
        <f t="shared" si="14"/>
        <v>0</v>
      </c>
    </row>
    <row r="36" spans="2:14" ht="11.25">
      <c r="B36" s="50" t="s">
        <v>33</v>
      </c>
      <c r="C36" s="60">
        <f t="shared" si="5"/>
        <v>1.353175</v>
      </c>
      <c r="D36" s="60">
        <f aca="true" t="shared" si="15" ref="D36:N36">+D$10*D22</f>
        <v>1.6645249999999998</v>
      </c>
      <c r="E36" s="60">
        <f t="shared" si="15"/>
        <v>0.8232349999999999</v>
      </c>
      <c r="F36" s="60">
        <f t="shared" si="15"/>
        <v>0.8382850000000001</v>
      </c>
      <c r="G36" s="60">
        <f t="shared" si="15"/>
        <v>0.92708</v>
      </c>
      <c r="H36" s="60">
        <f t="shared" si="15"/>
        <v>0.9797549999999999</v>
      </c>
      <c r="I36" s="60">
        <f t="shared" si="15"/>
        <v>1.277745</v>
      </c>
      <c r="J36" s="60">
        <f t="shared" si="15"/>
        <v>0.8412949999999999</v>
      </c>
      <c r="K36" s="60">
        <f t="shared" si="15"/>
        <v>1.52776</v>
      </c>
      <c r="L36" s="60">
        <f t="shared" si="15"/>
        <v>0.997451</v>
      </c>
      <c r="M36" s="60">
        <f t="shared" si="15"/>
        <v>1.673191</v>
      </c>
      <c r="N36" s="60">
        <f t="shared" si="15"/>
        <v>0.9401600000000001</v>
      </c>
    </row>
    <row r="37" spans="2:14" ht="11.25">
      <c r="B37" s="50" t="s">
        <v>34</v>
      </c>
      <c r="C37" s="71">
        <f t="shared" si="5"/>
        <v>1.8243850000000001</v>
      </c>
      <c r="D37" s="71">
        <f aca="true" t="shared" si="16" ref="D37:N37">+D$10*D23</f>
        <v>2.244155</v>
      </c>
      <c r="E37" s="71">
        <f t="shared" si="16"/>
        <v>1.909577</v>
      </c>
      <c r="F37" s="71">
        <f t="shared" si="16"/>
        <v>1.9444870000000003</v>
      </c>
      <c r="G37" s="71">
        <f t="shared" si="16"/>
        <v>2.150456</v>
      </c>
      <c r="H37" s="71">
        <f t="shared" si="16"/>
        <v>2.272641</v>
      </c>
      <c r="I37" s="71">
        <f t="shared" si="16"/>
        <v>2.9638590000000002</v>
      </c>
      <c r="J37" s="71">
        <f t="shared" si="16"/>
        <v>1.9514690000000001</v>
      </c>
      <c r="K37" s="71">
        <f t="shared" si="16"/>
        <v>3.4424</v>
      </c>
      <c r="L37" s="71">
        <f t="shared" si="16"/>
        <v>2.24749</v>
      </c>
      <c r="M37" s="71">
        <f t="shared" si="16"/>
        <v>3.77009</v>
      </c>
      <c r="N37" s="71">
        <f t="shared" si="16"/>
        <v>2.1184000000000003</v>
      </c>
    </row>
    <row r="38" spans="3:14" ht="11.25">
      <c r="C38" s="60">
        <f>SUM(C27:C37)</f>
        <v>5.65</v>
      </c>
      <c r="D38" s="60">
        <f aca="true" t="shared" si="17" ref="D38:N38">SUM(D27:D37)</f>
        <v>6.95</v>
      </c>
      <c r="E38" s="60">
        <f t="shared" si="17"/>
        <v>5.47</v>
      </c>
      <c r="F38" s="60">
        <f t="shared" si="17"/>
        <v>5.57</v>
      </c>
      <c r="G38" s="60">
        <f t="shared" si="17"/>
        <v>6.16</v>
      </c>
      <c r="H38" s="60">
        <f t="shared" si="17"/>
        <v>6.51</v>
      </c>
      <c r="I38" s="60">
        <f t="shared" si="17"/>
        <v>8.490000000000002</v>
      </c>
      <c r="J38" s="60">
        <f t="shared" si="17"/>
        <v>5.59</v>
      </c>
      <c r="K38" s="60">
        <f t="shared" si="17"/>
        <v>10.4</v>
      </c>
      <c r="L38" s="60">
        <f t="shared" si="17"/>
        <v>6.79</v>
      </c>
      <c r="M38" s="60">
        <f t="shared" si="17"/>
        <v>11.39</v>
      </c>
      <c r="N38" s="60">
        <f t="shared" si="17"/>
        <v>6.400000000000001</v>
      </c>
    </row>
    <row r="40" ht="11.25">
      <c r="A40" s="64" t="s">
        <v>36</v>
      </c>
    </row>
    <row r="41" spans="2:14" ht="11.25">
      <c r="B41" s="50" t="s">
        <v>13</v>
      </c>
      <c r="C41" s="75">
        <v>1</v>
      </c>
      <c r="D41" s="76">
        <v>1</v>
      </c>
      <c r="E41" s="76">
        <v>1</v>
      </c>
      <c r="F41" s="76">
        <v>1</v>
      </c>
      <c r="G41" s="76">
        <v>1</v>
      </c>
      <c r="H41" s="76">
        <v>1</v>
      </c>
      <c r="I41" s="76">
        <v>1</v>
      </c>
      <c r="J41" s="76">
        <v>1</v>
      </c>
      <c r="K41" s="76">
        <v>1</v>
      </c>
      <c r="L41" s="76">
        <v>1</v>
      </c>
      <c r="M41" s="76">
        <v>1</v>
      </c>
      <c r="N41" s="76">
        <v>1</v>
      </c>
    </row>
    <row r="42" spans="2:14" ht="11.25">
      <c r="B42" s="50" t="s">
        <v>17</v>
      </c>
      <c r="C42" s="75">
        <v>1</v>
      </c>
      <c r="D42" s="76">
        <v>1</v>
      </c>
      <c r="E42" s="76">
        <v>1</v>
      </c>
      <c r="F42" s="76">
        <v>1</v>
      </c>
      <c r="G42" s="76">
        <v>1</v>
      </c>
      <c r="H42" s="76">
        <v>1</v>
      </c>
      <c r="I42" s="76">
        <v>1</v>
      </c>
      <c r="J42" s="76">
        <v>1</v>
      </c>
      <c r="K42" s="76">
        <v>1</v>
      </c>
      <c r="L42" s="76">
        <v>1</v>
      </c>
      <c r="M42" s="76">
        <v>1</v>
      </c>
      <c r="N42" s="76">
        <v>1</v>
      </c>
    </row>
    <row r="43" spans="2:14" ht="11.25">
      <c r="B43" s="50" t="s">
        <v>27</v>
      </c>
      <c r="C43" s="75">
        <v>1</v>
      </c>
      <c r="D43" s="76">
        <v>1</v>
      </c>
      <c r="E43" s="76">
        <v>1</v>
      </c>
      <c r="F43" s="76">
        <v>1</v>
      </c>
      <c r="G43" s="76">
        <v>1</v>
      </c>
      <c r="H43" s="76">
        <v>1</v>
      </c>
      <c r="I43" s="76">
        <v>1</v>
      </c>
      <c r="J43" s="76">
        <v>1</v>
      </c>
      <c r="K43" s="76">
        <v>1</v>
      </c>
      <c r="L43" s="76">
        <v>1</v>
      </c>
      <c r="M43" s="76">
        <v>1</v>
      </c>
      <c r="N43" s="76">
        <v>1</v>
      </c>
    </row>
    <row r="44" spans="2:14" ht="11.25">
      <c r="B44" s="50" t="s">
        <v>28</v>
      </c>
      <c r="C44" s="75">
        <v>1</v>
      </c>
      <c r="D44" s="76">
        <v>1</v>
      </c>
      <c r="E44" s="76">
        <v>1</v>
      </c>
      <c r="F44" s="76">
        <v>1</v>
      </c>
      <c r="G44" s="76">
        <v>1</v>
      </c>
      <c r="H44" s="76">
        <v>1</v>
      </c>
      <c r="I44" s="76">
        <v>1</v>
      </c>
      <c r="J44" s="76">
        <v>1</v>
      </c>
      <c r="K44" s="76">
        <v>1</v>
      </c>
      <c r="L44" s="76">
        <v>1</v>
      </c>
      <c r="M44" s="76">
        <v>1</v>
      </c>
      <c r="N44" s="76">
        <v>1</v>
      </c>
    </row>
    <row r="45" spans="2:14" ht="11.25">
      <c r="B45" s="50" t="s">
        <v>29</v>
      </c>
      <c r="C45" s="75">
        <v>1</v>
      </c>
      <c r="D45" s="76">
        <v>1</v>
      </c>
      <c r="E45" s="76">
        <v>1</v>
      </c>
      <c r="F45" s="76">
        <v>1</v>
      </c>
      <c r="G45" s="76">
        <v>1</v>
      </c>
      <c r="H45" s="76">
        <v>1</v>
      </c>
      <c r="I45" s="76">
        <v>1</v>
      </c>
      <c r="J45" s="76">
        <v>1</v>
      </c>
      <c r="K45" s="76">
        <v>1</v>
      </c>
      <c r="L45" s="76">
        <v>1</v>
      </c>
      <c r="M45" s="76">
        <v>1</v>
      </c>
      <c r="N45" s="76">
        <v>1</v>
      </c>
    </row>
    <row r="46" spans="2:14" ht="11.25">
      <c r="B46" s="50" t="s">
        <v>30</v>
      </c>
      <c r="C46" s="75">
        <v>1</v>
      </c>
      <c r="D46" s="76">
        <v>1</v>
      </c>
      <c r="E46" s="76">
        <v>1</v>
      </c>
      <c r="F46" s="76">
        <v>1</v>
      </c>
      <c r="G46" s="76">
        <v>1</v>
      </c>
      <c r="H46" s="76">
        <v>1</v>
      </c>
      <c r="I46" s="76">
        <v>1</v>
      </c>
      <c r="J46" s="76">
        <v>1</v>
      </c>
      <c r="K46" s="76">
        <v>1</v>
      </c>
      <c r="L46" s="76">
        <v>1</v>
      </c>
      <c r="M46" s="76">
        <v>1</v>
      </c>
      <c r="N46" s="76">
        <v>1</v>
      </c>
    </row>
    <row r="47" spans="2:14" ht="11.25">
      <c r="B47" s="50" t="s">
        <v>31</v>
      </c>
      <c r="C47" s="75">
        <v>1</v>
      </c>
      <c r="D47" s="76">
        <v>1</v>
      </c>
      <c r="E47" s="76">
        <v>1</v>
      </c>
      <c r="F47" s="76">
        <v>1</v>
      </c>
      <c r="G47" s="76">
        <v>1</v>
      </c>
      <c r="H47" s="76">
        <v>1</v>
      </c>
      <c r="I47" s="76">
        <v>1</v>
      </c>
      <c r="J47" s="76">
        <v>1</v>
      </c>
      <c r="K47" s="76">
        <v>1</v>
      </c>
      <c r="L47" s="76">
        <v>1</v>
      </c>
      <c r="M47" s="76">
        <v>1</v>
      </c>
      <c r="N47" s="76">
        <v>1</v>
      </c>
    </row>
    <row r="48" spans="2:14" ht="11.25">
      <c r="B48" s="50" t="s">
        <v>12</v>
      </c>
      <c r="C48" s="75">
        <v>1</v>
      </c>
      <c r="D48" s="76">
        <v>1</v>
      </c>
      <c r="E48" s="76">
        <v>1</v>
      </c>
      <c r="F48" s="76">
        <v>1</v>
      </c>
      <c r="G48" s="76">
        <v>1</v>
      </c>
      <c r="H48" s="76">
        <v>1</v>
      </c>
      <c r="I48" s="76">
        <v>1</v>
      </c>
      <c r="J48" s="76">
        <v>1</v>
      </c>
      <c r="K48" s="76">
        <v>1</v>
      </c>
      <c r="L48" s="76">
        <v>1</v>
      </c>
      <c r="M48" s="76">
        <v>1</v>
      </c>
      <c r="N48" s="76">
        <v>1</v>
      </c>
    </row>
    <row r="49" spans="2:14" ht="11.25">
      <c r="B49" s="50" t="s">
        <v>32</v>
      </c>
      <c r="C49" s="75">
        <v>1</v>
      </c>
      <c r="D49" s="76">
        <v>1</v>
      </c>
      <c r="E49" s="76">
        <v>1</v>
      </c>
      <c r="F49" s="76">
        <v>1</v>
      </c>
      <c r="G49" s="76">
        <v>1</v>
      </c>
      <c r="H49" s="76">
        <v>1</v>
      </c>
      <c r="I49" s="76">
        <v>1</v>
      </c>
      <c r="J49" s="76">
        <v>1</v>
      </c>
      <c r="K49" s="76">
        <v>1</v>
      </c>
      <c r="L49" s="76">
        <v>1</v>
      </c>
      <c r="M49" s="76">
        <v>1</v>
      </c>
      <c r="N49" s="76">
        <v>1</v>
      </c>
    </row>
    <row r="50" spans="2:14" ht="11.25">
      <c r="B50" s="50" t="s">
        <v>33</v>
      </c>
      <c r="C50" s="75">
        <v>1</v>
      </c>
      <c r="D50" s="76">
        <v>1</v>
      </c>
      <c r="E50" s="76">
        <v>1</v>
      </c>
      <c r="F50" s="76">
        <v>1</v>
      </c>
      <c r="G50" s="76">
        <v>1</v>
      </c>
      <c r="H50" s="76">
        <v>1</v>
      </c>
      <c r="I50" s="76">
        <v>1</v>
      </c>
      <c r="J50" s="76">
        <v>1</v>
      </c>
      <c r="K50" s="76">
        <v>1</v>
      </c>
      <c r="L50" s="76">
        <v>1</v>
      </c>
      <c r="M50" s="76">
        <v>1</v>
      </c>
      <c r="N50" s="76">
        <v>1</v>
      </c>
    </row>
    <row r="51" spans="3:14" ht="14.25" customHeight="1">
      <c r="C51" s="74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 ht="11.25">
      <c r="A52" s="50" t="s">
        <v>34</v>
      </c>
      <c r="C52" s="74">
        <f>+C65/C37</f>
        <v>1.0000000000000002</v>
      </c>
      <c r="D52" s="76">
        <v>1</v>
      </c>
      <c r="E52" s="76">
        <v>1</v>
      </c>
      <c r="F52" s="76">
        <v>1</v>
      </c>
      <c r="G52" s="76">
        <v>1</v>
      </c>
      <c r="H52" s="76">
        <v>1</v>
      </c>
      <c r="I52" s="76">
        <v>1</v>
      </c>
      <c r="J52" s="76">
        <v>1</v>
      </c>
      <c r="K52" s="76">
        <v>1</v>
      </c>
      <c r="L52" s="76">
        <v>1</v>
      </c>
      <c r="M52" s="76">
        <v>1</v>
      </c>
      <c r="N52" s="76">
        <v>1</v>
      </c>
    </row>
    <row r="53" spans="12:14" ht="11.25">
      <c r="L53" s="74"/>
      <c r="N53" s="76"/>
    </row>
    <row r="54" spans="1:14" ht="11.25">
      <c r="A54" s="64" t="s">
        <v>37</v>
      </c>
      <c r="L54" s="74"/>
      <c r="N54" s="76"/>
    </row>
    <row r="55" spans="2:14" ht="11.25">
      <c r="B55" s="50" t="s">
        <v>13</v>
      </c>
      <c r="C55" s="60">
        <f>+C27*C41</f>
        <v>0</v>
      </c>
      <c r="D55" s="60">
        <f aca="true" t="shared" si="18" ref="D55:N55">+D27*D41</f>
        <v>0</v>
      </c>
      <c r="E55" s="60">
        <f t="shared" si="18"/>
        <v>0</v>
      </c>
      <c r="F55" s="60">
        <f t="shared" si="18"/>
        <v>0</v>
      </c>
      <c r="G55" s="60">
        <f t="shared" si="18"/>
        <v>0</v>
      </c>
      <c r="H55" s="60">
        <f t="shared" si="18"/>
        <v>0</v>
      </c>
      <c r="I55" s="60">
        <f t="shared" si="18"/>
        <v>0</v>
      </c>
      <c r="J55" s="60">
        <f t="shared" si="18"/>
        <v>0</v>
      </c>
      <c r="K55" s="60">
        <f t="shared" si="18"/>
        <v>0</v>
      </c>
      <c r="L55" s="60">
        <f t="shared" si="18"/>
        <v>0</v>
      </c>
      <c r="M55" s="60">
        <f t="shared" si="18"/>
        <v>0</v>
      </c>
      <c r="N55" s="60">
        <f t="shared" si="18"/>
        <v>0</v>
      </c>
    </row>
    <row r="56" spans="2:14" ht="11.25">
      <c r="B56" s="50" t="s">
        <v>17</v>
      </c>
      <c r="C56" s="60">
        <f aca="true" t="shared" si="19" ref="C56:N56">+C28*C42</f>
        <v>1.385945</v>
      </c>
      <c r="D56" s="60">
        <f t="shared" si="19"/>
        <v>1.7048349999999997</v>
      </c>
      <c r="E56" s="60">
        <f t="shared" si="19"/>
        <v>1.3833630000000001</v>
      </c>
      <c r="F56" s="60">
        <f t="shared" si="19"/>
        <v>1.4086530000000002</v>
      </c>
      <c r="G56" s="60">
        <f t="shared" si="19"/>
        <v>1.5578640000000001</v>
      </c>
      <c r="H56" s="60">
        <f t="shared" si="19"/>
        <v>1.646379</v>
      </c>
      <c r="I56" s="60">
        <f t="shared" si="19"/>
        <v>2.1471210000000003</v>
      </c>
      <c r="J56" s="60">
        <f t="shared" si="19"/>
        <v>1.413711</v>
      </c>
      <c r="K56" s="60">
        <f t="shared" si="19"/>
        <v>2.7144000000000004</v>
      </c>
      <c r="L56" s="60">
        <f t="shared" si="19"/>
        <v>1.7721900000000002</v>
      </c>
      <c r="M56" s="60">
        <f t="shared" si="19"/>
        <v>2.9727900000000003</v>
      </c>
      <c r="N56" s="60">
        <f t="shared" si="19"/>
        <v>1.6704</v>
      </c>
    </row>
    <row r="57" spans="2:14" ht="11.25">
      <c r="B57" s="50" t="s">
        <v>27</v>
      </c>
      <c r="C57" s="60">
        <f aca="true" t="shared" si="20" ref="C57:N57">+C29*C43</f>
        <v>0</v>
      </c>
      <c r="D57" s="60">
        <f t="shared" si="20"/>
        <v>0</v>
      </c>
      <c r="E57" s="60">
        <f t="shared" si="20"/>
        <v>0</v>
      </c>
      <c r="F57" s="60">
        <f t="shared" si="20"/>
        <v>0</v>
      </c>
      <c r="G57" s="60">
        <f t="shared" si="20"/>
        <v>0</v>
      </c>
      <c r="H57" s="60">
        <f t="shared" si="20"/>
        <v>0</v>
      </c>
      <c r="I57" s="60">
        <f t="shared" si="20"/>
        <v>0</v>
      </c>
      <c r="J57" s="60">
        <f t="shared" si="20"/>
        <v>0</v>
      </c>
      <c r="K57" s="60">
        <f t="shared" si="20"/>
        <v>0</v>
      </c>
      <c r="L57" s="60">
        <f t="shared" si="20"/>
        <v>0</v>
      </c>
      <c r="M57" s="60">
        <f t="shared" si="20"/>
        <v>0</v>
      </c>
      <c r="N57" s="60">
        <f t="shared" si="20"/>
        <v>0</v>
      </c>
    </row>
    <row r="58" spans="2:16" ht="12.75">
      <c r="B58" s="50" t="s">
        <v>28</v>
      </c>
      <c r="C58" s="60">
        <f aca="true" t="shared" si="21" ref="C58:N58">+C30*C44</f>
        <v>0.079665</v>
      </c>
      <c r="D58" s="60">
        <f t="shared" si="21"/>
        <v>0.09799499999999998</v>
      </c>
      <c r="E58" s="60">
        <f t="shared" si="21"/>
        <v>0.083144</v>
      </c>
      <c r="F58" s="60">
        <f t="shared" si="21"/>
        <v>0.084664</v>
      </c>
      <c r="G58" s="60">
        <f t="shared" si="21"/>
        <v>0.093632</v>
      </c>
      <c r="H58" s="60">
        <f t="shared" si="21"/>
        <v>0.098952</v>
      </c>
      <c r="I58" s="60">
        <f t="shared" si="21"/>
        <v>0.129048</v>
      </c>
      <c r="J58" s="60">
        <f t="shared" si="21"/>
        <v>0.084968</v>
      </c>
      <c r="K58" s="60">
        <f t="shared" si="21"/>
        <v>0.15288</v>
      </c>
      <c r="L58" s="60">
        <f t="shared" si="21"/>
        <v>0.099813</v>
      </c>
      <c r="M58" s="60">
        <f t="shared" si="21"/>
        <v>0.167433</v>
      </c>
      <c r="N58" s="60">
        <f t="shared" si="21"/>
        <v>0.09408</v>
      </c>
      <c r="P58" s="42"/>
    </row>
    <row r="59" spans="2:16" ht="12.75">
      <c r="B59" s="50" t="s">
        <v>29</v>
      </c>
      <c r="C59" s="60">
        <f aca="true" t="shared" si="22" ref="C59:N59">+C31*C45</f>
        <v>0.20227</v>
      </c>
      <c r="D59" s="60">
        <f t="shared" si="22"/>
        <v>0.24880999999999998</v>
      </c>
      <c r="E59" s="60">
        <f t="shared" si="22"/>
        <v>0.248885</v>
      </c>
      <c r="F59" s="60">
        <f t="shared" si="22"/>
        <v>0.253435</v>
      </c>
      <c r="G59" s="60">
        <f t="shared" si="22"/>
        <v>0.28028</v>
      </c>
      <c r="H59" s="60">
        <f t="shared" si="22"/>
        <v>0.296205</v>
      </c>
      <c r="I59" s="60">
        <f t="shared" si="22"/>
        <v>0.386295</v>
      </c>
      <c r="J59" s="60">
        <f t="shared" si="22"/>
        <v>0.254345</v>
      </c>
      <c r="K59" s="60">
        <f t="shared" si="22"/>
        <v>0.51168</v>
      </c>
      <c r="L59" s="60">
        <f t="shared" si="22"/>
        <v>0.33406800000000003</v>
      </c>
      <c r="M59" s="60">
        <f t="shared" si="22"/>
        <v>0.560388</v>
      </c>
      <c r="N59" s="60">
        <f t="shared" si="22"/>
        <v>0.31488000000000005</v>
      </c>
      <c r="P59" s="42"/>
    </row>
    <row r="60" spans="2:16" ht="12.75">
      <c r="B60" s="50" t="s">
        <v>30</v>
      </c>
      <c r="C60" s="77">
        <f aca="true" t="shared" si="23" ref="C60:N60">+C32*C46</f>
        <v>0.092095</v>
      </c>
      <c r="D60" s="77">
        <f t="shared" si="23"/>
        <v>0.11328499999999998</v>
      </c>
      <c r="E60" s="77">
        <f t="shared" si="23"/>
        <v>0.096272</v>
      </c>
      <c r="F60" s="77">
        <f t="shared" si="23"/>
        <v>0.09803200000000001</v>
      </c>
      <c r="G60" s="77">
        <f t="shared" si="23"/>
        <v>0.10841600000000001</v>
      </c>
      <c r="H60" s="77">
        <f t="shared" si="23"/>
        <v>0.114576</v>
      </c>
      <c r="I60" s="77">
        <f t="shared" si="23"/>
        <v>0.149424</v>
      </c>
      <c r="J60" s="77">
        <f t="shared" si="23"/>
        <v>0.098384</v>
      </c>
      <c r="K60" s="77">
        <f t="shared" si="23"/>
        <v>0.18512</v>
      </c>
      <c r="L60" s="77">
        <f t="shared" si="23"/>
        <v>0.120862</v>
      </c>
      <c r="M60" s="77">
        <f t="shared" si="23"/>
        <v>0.202742</v>
      </c>
      <c r="N60" s="77">
        <f t="shared" si="23"/>
        <v>0.11392000000000001</v>
      </c>
      <c r="P60" s="42"/>
    </row>
    <row r="61" spans="2:16" ht="12.75">
      <c r="B61" s="50" t="s">
        <v>31</v>
      </c>
      <c r="C61" s="60">
        <f aca="true" t="shared" si="24" ref="C61:N61">+C33*C47</f>
        <v>0.011865</v>
      </c>
      <c r="D61" s="60">
        <f t="shared" si="24"/>
        <v>0.014594999999999997</v>
      </c>
      <c r="E61" s="60">
        <f t="shared" si="24"/>
        <v>0.011486999999999999</v>
      </c>
      <c r="F61" s="60">
        <f t="shared" si="24"/>
        <v>0.011696999999999999</v>
      </c>
      <c r="G61" s="60">
        <f t="shared" si="24"/>
        <v>0.012936</v>
      </c>
      <c r="H61" s="60">
        <f t="shared" si="24"/>
        <v>0.013670999999999999</v>
      </c>
      <c r="I61" s="60">
        <f t="shared" si="24"/>
        <v>0.017828999999999998</v>
      </c>
      <c r="J61" s="60">
        <f t="shared" si="24"/>
        <v>0.011739</v>
      </c>
      <c r="K61" s="60">
        <f t="shared" si="24"/>
        <v>0.01976</v>
      </c>
      <c r="L61" s="60">
        <f t="shared" si="24"/>
        <v>0.012901</v>
      </c>
      <c r="M61" s="60">
        <f t="shared" si="24"/>
        <v>0.021641</v>
      </c>
      <c r="N61" s="60">
        <f t="shared" si="24"/>
        <v>0.01216</v>
      </c>
      <c r="P61" s="42"/>
    </row>
    <row r="62" spans="2:16" ht="12.75">
      <c r="B62" s="50" t="s">
        <v>24</v>
      </c>
      <c r="C62" s="60">
        <f aca="true" t="shared" si="25" ref="C62:N62">+C34*C48</f>
        <v>0.7006</v>
      </c>
      <c r="D62" s="60">
        <f t="shared" si="25"/>
        <v>0.8617999999999999</v>
      </c>
      <c r="E62" s="60">
        <f t="shared" si="25"/>
        <v>0.914037</v>
      </c>
      <c r="F62" s="60">
        <f t="shared" si="25"/>
        <v>0.930747</v>
      </c>
      <c r="G62" s="60">
        <f t="shared" si="25"/>
        <v>1.029336</v>
      </c>
      <c r="H62" s="60">
        <f t="shared" si="25"/>
        <v>1.087821</v>
      </c>
      <c r="I62" s="60">
        <f t="shared" si="25"/>
        <v>1.418679</v>
      </c>
      <c r="J62" s="60">
        <f t="shared" si="25"/>
        <v>0.934089</v>
      </c>
      <c r="K62" s="60">
        <f t="shared" si="25"/>
        <v>1.8459999999999999</v>
      </c>
      <c r="L62" s="60">
        <f t="shared" si="25"/>
        <v>1.205225</v>
      </c>
      <c r="M62" s="60">
        <f t="shared" si="25"/>
        <v>2.021725</v>
      </c>
      <c r="N62" s="60">
        <f t="shared" si="25"/>
        <v>1.136</v>
      </c>
      <c r="P62" s="42"/>
    </row>
    <row r="63" spans="2:16" ht="12.75">
      <c r="B63" s="50" t="s">
        <v>32</v>
      </c>
      <c r="C63" s="60">
        <f aca="true" t="shared" si="26" ref="C63:N63">+C35*C49</f>
        <v>0</v>
      </c>
      <c r="D63" s="60">
        <f t="shared" si="26"/>
        <v>0</v>
      </c>
      <c r="E63" s="60">
        <f t="shared" si="26"/>
        <v>0</v>
      </c>
      <c r="F63" s="60">
        <f t="shared" si="26"/>
        <v>0</v>
      </c>
      <c r="G63" s="60">
        <f t="shared" si="26"/>
        <v>0</v>
      </c>
      <c r="H63" s="60">
        <f t="shared" si="26"/>
        <v>0</v>
      </c>
      <c r="I63" s="60">
        <f t="shared" si="26"/>
        <v>0</v>
      </c>
      <c r="J63" s="60">
        <f t="shared" si="26"/>
        <v>0</v>
      </c>
      <c r="K63" s="60">
        <f t="shared" si="26"/>
        <v>0</v>
      </c>
      <c r="L63" s="60">
        <f t="shared" si="26"/>
        <v>0</v>
      </c>
      <c r="M63" s="60">
        <f t="shared" si="26"/>
        <v>0</v>
      </c>
      <c r="N63" s="60">
        <f t="shared" si="26"/>
        <v>0</v>
      </c>
      <c r="P63" s="42"/>
    </row>
    <row r="64" spans="2:16" ht="12.75">
      <c r="B64" s="50" t="s">
        <v>33</v>
      </c>
      <c r="C64" s="60">
        <f aca="true" t="shared" si="27" ref="C64:N64">+C36*C50</f>
        <v>1.353175</v>
      </c>
      <c r="D64" s="60">
        <f t="shared" si="27"/>
        <v>1.6645249999999998</v>
      </c>
      <c r="E64" s="60">
        <f t="shared" si="27"/>
        <v>0.8232349999999999</v>
      </c>
      <c r="F64" s="60">
        <f t="shared" si="27"/>
        <v>0.8382850000000001</v>
      </c>
      <c r="G64" s="60">
        <f t="shared" si="27"/>
        <v>0.92708</v>
      </c>
      <c r="H64" s="60">
        <f t="shared" si="27"/>
        <v>0.9797549999999999</v>
      </c>
      <c r="I64" s="60">
        <f t="shared" si="27"/>
        <v>1.277745</v>
      </c>
      <c r="J64" s="60">
        <f t="shared" si="27"/>
        <v>0.8412949999999999</v>
      </c>
      <c r="K64" s="60">
        <f t="shared" si="27"/>
        <v>1.52776</v>
      </c>
      <c r="L64" s="60">
        <f t="shared" si="27"/>
        <v>0.997451</v>
      </c>
      <c r="M64" s="60">
        <f t="shared" si="27"/>
        <v>1.673191</v>
      </c>
      <c r="N64" s="60">
        <f t="shared" si="27"/>
        <v>0.9401600000000001</v>
      </c>
      <c r="P64" s="42"/>
    </row>
    <row r="65" spans="2:16" ht="12.75">
      <c r="B65" s="50" t="s">
        <v>34</v>
      </c>
      <c r="C65" s="71">
        <f aca="true" t="shared" si="28" ref="C65:N65">+C7-SUM(C55:C64)</f>
        <v>1.8243850000000004</v>
      </c>
      <c r="D65" s="71">
        <f t="shared" si="28"/>
        <v>2.2441549999999992</v>
      </c>
      <c r="E65" s="71">
        <f t="shared" si="28"/>
        <v>1.909577</v>
      </c>
      <c r="F65" s="71">
        <f t="shared" si="28"/>
        <v>1.944487</v>
      </c>
      <c r="G65" s="71">
        <f t="shared" si="28"/>
        <v>2.150456</v>
      </c>
      <c r="H65" s="71">
        <f t="shared" si="28"/>
        <v>2.272641</v>
      </c>
      <c r="I65" s="71">
        <f t="shared" si="28"/>
        <v>2.9638589999999994</v>
      </c>
      <c r="J65" s="71">
        <f t="shared" si="28"/>
        <v>1.9514690000000003</v>
      </c>
      <c r="K65" s="71">
        <f t="shared" si="28"/>
        <v>3.4424</v>
      </c>
      <c r="L65" s="71">
        <f t="shared" si="28"/>
        <v>2.24749</v>
      </c>
      <c r="M65" s="71">
        <f t="shared" si="28"/>
        <v>3.7700900000000006</v>
      </c>
      <c r="N65" s="71">
        <f t="shared" si="28"/>
        <v>2.1183999999999994</v>
      </c>
      <c r="P65" s="42"/>
    </row>
    <row r="66" spans="3:14" ht="11.25">
      <c r="C66" s="60">
        <f aca="true" t="shared" si="29" ref="C66:N66">SUM(C55:C65)</f>
        <v>5.65</v>
      </c>
      <c r="D66" s="60">
        <f t="shared" si="29"/>
        <v>6.949999999999999</v>
      </c>
      <c r="E66" s="60">
        <f t="shared" si="29"/>
        <v>5.47</v>
      </c>
      <c r="F66" s="60">
        <f t="shared" si="29"/>
        <v>5.57</v>
      </c>
      <c r="G66" s="60">
        <f t="shared" si="29"/>
        <v>6.16</v>
      </c>
      <c r="H66" s="60">
        <f t="shared" si="29"/>
        <v>6.51</v>
      </c>
      <c r="I66" s="60">
        <f t="shared" si="29"/>
        <v>8.49</v>
      </c>
      <c r="J66" s="60">
        <f t="shared" si="29"/>
        <v>5.59</v>
      </c>
      <c r="K66" s="60">
        <f t="shared" si="29"/>
        <v>10.4</v>
      </c>
      <c r="L66" s="60">
        <f t="shared" si="29"/>
        <v>6.79</v>
      </c>
      <c r="M66" s="60">
        <f t="shared" si="29"/>
        <v>11.39</v>
      </c>
      <c r="N66" s="60">
        <f t="shared" si="29"/>
        <v>6.4</v>
      </c>
    </row>
    <row r="67" ht="7.5" customHeight="1"/>
    <row r="68" spans="1:5" ht="11.25">
      <c r="A68" s="78" t="s">
        <v>38</v>
      </c>
      <c r="E68" s="50" t="s">
        <v>61</v>
      </c>
    </row>
    <row r="69" spans="2:14" ht="11.25">
      <c r="B69" s="50" t="s">
        <v>13</v>
      </c>
      <c r="C69" s="162">
        <v>0</v>
      </c>
      <c r="D69" s="162">
        <v>0</v>
      </c>
      <c r="E69" s="162">
        <v>0</v>
      </c>
      <c r="F69" s="162">
        <v>0</v>
      </c>
      <c r="G69" s="163">
        <v>0</v>
      </c>
      <c r="H69" s="163">
        <v>0</v>
      </c>
      <c r="I69" s="162">
        <v>0</v>
      </c>
      <c r="J69" s="162">
        <v>0</v>
      </c>
      <c r="K69" s="162">
        <v>0</v>
      </c>
      <c r="L69" s="164">
        <v>0</v>
      </c>
      <c r="M69" s="164">
        <v>0</v>
      </c>
      <c r="N69" s="162">
        <v>0</v>
      </c>
    </row>
    <row r="70" spans="2:14" ht="11.25">
      <c r="B70" s="50" t="s">
        <v>17</v>
      </c>
      <c r="C70" s="162">
        <v>131.504</v>
      </c>
      <c r="D70" s="162">
        <v>154.096</v>
      </c>
      <c r="E70" s="162">
        <v>142.168</v>
      </c>
      <c r="F70" s="162">
        <v>146.29600000000002</v>
      </c>
      <c r="G70" s="163">
        <v>153.20000000000002</v>
      </c>
      <c r="H70" s="163">
        <v>151.29600000000002</v>
      </c>
      <c r="I70" s="162">
        <v>129.08800000000002</v>
      </c>
      <c r="J70" s="162">
        <v>119.28</v>
      </c>
      <c r="K70" s="162">
        <v>83.224</v>
      </c>
      <c r="L70" s="162">
        <v>107.94400000000002</v>
      </c>
      <c r="M70" s="162">
        <v>104.48800000000001</v>
      </c>
      <c r="N70" s="162">
        <v>105.84000000000002</v>
      </c>
    </row>
    <row r="71" spans="2:14" ht="11.25">
      <c r="B71" s="50" t="s">
        <v>27</v>
      </c>
      <c r="C71" s="162">
        <v>0</v>
      </c>
      <c r="D71" s="162">
        <v>0</v>
      </c>
      <c r="E71" s="162">
        <v>0</v>
      </c>
      <c r="F71" s="162">
        <v>0</v>
      </c>
      <c r="G71" s="163">
        <v>0</v>
      </c>
      <c r="H71" s="163">
        <v>0</v>
      </c>
      <c r="I71" s="162">
        <v>0</v>
      </c>
      <c r="J71" s="162">
        <v>0</v>
      </c>
      <c r="K71" s="162">
        <v>0</v>
      </c>
      <c r="L71" s="162">
        <v>0</v>
      </c>
      <c r="M71" s="162">
        <v>0</v>
      </c>
      <c r="N71" s="162">
        <v>0</v>
      </c>
    </row>
    <row r="72" spans="2:14" ht="11.25">
      <c r="B72" s="50" t="s">
        <v>28</v>
      </c>
      <c r="C72" s="162">
        <v>176.12800000000001</v>
      </c>
      <c r="D72" s="162">
        <v>209.168</v>
      </c>
      <c r="E72" s="162">
        <v>189.88</v>
      </c>
      <c r="F72" s="162">
        <v>171.784</v>
      </c>
      <c r="G72" s="163">
        <v>154.28</v>
      </c>
      <c r="H72" s="163">
        <v>155.34400000000002</v>
      </c>
      <c r="I72" s="162">
        <v>160.656</v>
      </c>
      <c r="J72" s="162">
        <v>168.928</v>
      </c>
      <c r="K72" s="162">
        <v>112.04000000000002</v>
      </c>
      <c r="L72" s="162">
        <v>131.264</v>
      </c>
      <c r="M72" s="162">
        <v>134.504</v>
      </c>
      <c r="N72" s="162">
        <v>158.15200000000002</v>
      </c>
    </row>
    <row r="73" spans="2:14" ht="11.25">
      <c r="B73" s="50" t="s">
        <v>29</v>
      </c>
      <c r="C73" s="162">
        <v>299.3691620111732</v>
      </c>
      <c r="D73" s="162">
        <v>444.90221229050275</v>
      </c>
      <c r="E73" s="162">
        <v>363.43238681318684</v>
      </c>
      <c r="F73" s="162">
        <v>436.2276747252747</v>
      </c>
      <c r="G73" s="163">
        <v>382.0567384615385</v>
      </c>
      <c r="H73" s="163">
        <v>262.97128791208803</v>
      </c>
      <c r="I73" s="162">
        <v>275.3715692307693</v>
      </c>
      <c r="J73" s="162">
        <v>235.3165714285714</v>
      </c>
      <c r="K73" s="162">
        <v>150.52624390243903</v>
      </c>
      <c r="L73" s="162">
        <v>212.95260162601627</v>
      </c>
      <c r="M73" s="162">
        <v>268.1524552845529</v>
      </c>
      <c r="N73" s="162">
        <v>324.9494634146342</v>
      </c>
    </row>
    <row r="74" spans="2:14" ht="11.25">
      <c r="B74" s="50" t="s">
        <v>30</v>
      </c>
      <c r="C74" s="162">
        <v>1189.808</v>
      </c>
      <c r="D74" s="162">
        <v>1217.48</v>
      </c>
      <c r="E74" s="162">
        <v>1261.632</v>
      </c>
      <c r="F74" s="162">
        <v>1291.592</v>
      </c>
      <c r="G74" s="163">
        <v>1399.968</v>
      </c>
      <c r="H74" s="163">
        <v>1432.5680000000002</v>
      </c>
      <c r="I74" s="162">
        <v>1208.28</v>
      </c>
      <c r="J74" s="162">
        <v>1267.616</v>
      </c>
      <c r="K74" s="162">
        <v>1508.5120000000002</v>
      </c>
      <c r="L74" s="162">
        <v>1715.4240000000002</v>
      </c>
      <c r="M74" s="162">
        <v>1859.6560000000002</v>
      </c>
      <c r="N74" s="162">
        <v>1816.8400000000001</v>
      </c>
    </row>
    <row r="75" spans="2:14" ht="11.25">
      <c r="B75" s="50" t="s">
        <v>31</v>
      </c>
      <c r="C75" s="162">
        <v>142.04000000000002</v>
      </c>
      <c r="D75" s="162">
        <v>165.69600000000003</v>
      </c>
      <c r="E75" s="162">
        <v>150.072</v>
      </c>
      <c r="F75" s="162">
        <v>138.856</v>
      </c>
      <c r="G75" s="163">
        <v>123.49600000000001</v>
      </c>
      <c r="H75" s="163">
        <v>135.408</v>
      </c>
      <c r="I75" s="162">
        <v>145.808</v>
      </c>
      <c r="J75" s="162">
        <v>152.824</v>
      </c>
      <c r="K75" s="162">
        <v>86.968</v>
      </c>
      <c r="L75" s="162">
        <v>107.78399999999999</v>
      </c>
      <c r="M75" s="162">
        <v>152.544</v>
      </c>
      <c r="N75" s="162">
        <v>185.48000000000002</v>
      </c>
    </row>
    <row r="76" spans="2:14" ht="11.25">
      <c r="B76" s="50" t="s">
        <v>24</v>
      </c>
      <c r="C76" s="162">
        <v>-24.73</v>
      </c>
      <c r="D76" s="162">
        <v>-9.94</v>
      </c>
      <c r="E76" s="162">
        <v>-46.2</v>
      </c>
      <c r="F76" s="162">
        <v>-52.58</v>
      </c>
      <c r="G76" s="163">
        <v>-48.34</v>
      </c>
      <c r="H76" s="163">
        <v>-46.82</v>
      </c>
      <c r="I76" s="162">
        <v>-57.68</v>
      </c>
      <c r="J76" s="162">
        <v>-51.06</v>
      </c>
      <c r="K76" s="162">
        <v>-77.32</v>
      </c>
      <c r="L76" s="162">
        <v>-65.19</v>
      </c>
      <c r="M76" s="162">
        <v>-73.39</v>
      </c>
      <c r="N76" s="162">
        <v>-55.61</v>
      </c>
    </row>
    <row r="77" spans="2:14" ht="11.25">
      <c r="B77" s="50" t="s">
        <v>32</v>
      </c>
      <c r="C77" s="164">
        <v>0</v>
      </c>
      <c r="D77" s="164">
        <v>0</v>
      </c>
      <c r="E77" s="164">
        <v>0</v>
      </c>
      <c r="F77" s="164">
        <v>0</v>
      </c>
      <c r="G77" s="165">
        <v>0</v>
      </c>
      <c r="H77" s="165">
        <v>0</v>
      </c>
      <c r="I77" s="164">
        <v>0</v>
      </c>
      <c r="J77" s="164">
        <v>0</v>
      </c>
      <c r="K77" s="164">
        <v>0</v>
      </c>
      <c r="L77" s="164">
        <v>0</v>
      </c>
      <c r="M77" s="164">
        <v>0</v>
      </c>
      <c r="N77" s="164">
        <v>0</v>
      </c>
    </row>
    <row r="78" spans="2:14" ht="11.25">
      <c r="B78" s="50" t="s">
        <v>33</v>
      </c>
      <c r="C78" s="164">
        <v>-155.82</v>
      </c>
      <c r="D78" s="164">
        <v>-163.55</v>
      </c>
      <c r="E78" s="164">
        <v>-164.36</v>
      </c>
      <c r="F78" s="164">
        <v>-161.54</v>
      </c>
      <c r="G78" s="165">
        <v>-160.65</v>
      </c>
      <c r="H78" s="165">
        <v>-160.65</v>
      </c>
      <c r="I78" s="164">
        <v>-159.7</v>
      </c>
      <c r="J78" s="164">
        <v>-163.71</v>
      </c>
      <c r="K78" s="164">
        <v>-166.72</v>
      </c>
      <c r="L78" s="164">
        <v>-166.81</v>
      </c>
      <c r="M78" s="164">
        <v>-167.13</v>
      </c>
      <c r="N78" s="164">
        <v>-167.08</v>
      </c>
    </row>
    <row r="79" spans="2:15" ht="11.25">
      <c r="B79" s="50" t="s">
        <v>34</v>
      </c>
      <c r="C79" s="162">
        <v>46.64</v>
      </c>
      <c r="D79" s="162">
        <v>64.08800000000001</v>
      </c>
      <c r="E79" s="162">
        <v>50.080000000000005</v>
      </c>
      <c r="F79" s="162">
        <v>57.176</v>
      </c>
      <c r="G79" s="163">
        <v>53.29600000000001</v>
      </c>
      <c r="H79" s="163">
        <v>60.592</v>
      </c>
      <c r="I79" s="162">
        <v>32.848000000000006</v>
      </c>
      <c r="J79" s="162">
        <v>-8.57</v>
      </c>
      <c r="K79" s="162">
        <v>-3.4</v>
      </c>
      <c r="L79" s="162">
        <v>-23.28</v>
      </c>
      <c r="M79" s="162">
        <v>-17.3</v>
      </c>
      <c r="N79" s="164">
        <v>-7.91</v>
      </c>
      <c r="O79" s="88">
        <f>SUM(C69:N79)</f>
        <v>23700.81236710074</v>
      </c>
    </row>
    <row r="80" ht="7.5" customHeight="1"/>
    <row r="81" ht="11.25">
      <c r="A81" s="64" t="s">
        <v>39</v>
      </c>
    </row>
    <row r="82" spans="2:15" ht="11.25">
      <c r="B82" s="50" t="s">
        <v>13</v>
      </c>
      <c r="C82" s="60">
        <f aca="true" t="shared" si="30" ref="C82:I82">C69*C55</f>
        <v>0</v>
      </c>
      <c r="D82" s="60">
        <f t="shared" si="30"/>
        <v>0</v>
      </c>
      <c r="E82" s="60">
        <f t="shared" si="30"/>
        <v>0</v>
      </c>
      <c r="F82" s="60">
        <f t="shared" si="30"/>
        <v>0</v>
      </c>
      <c r="G82" s="60">
        <f t="shared" si="30"/>
        <v>0</v>
      </c>
      <c r="H82" s="60">
        <f t="shared" si="30"/>
        <v>0</v>
      </c>
      <c r="I82" s="60">
        <f t="shared" si="30"/>
        <v>0</v>
      </c>
      <c r="J82" s="60">
        <f>+J69*J55</f>
        <v>0</v>
      </c>
      <c r="K82" s="60">
        <f>+K69*K55</f>
        <v>0</v>
      </c>
      <c r="L82" s="60">
        <f>+L69*L55</f>
        <v>0</v>
      </c>
      <c r="M82" s="60">
        <f>+M69*M55</f>
        <v>0</v>
      </c>
      <c r="N82" s="60">
        <f>+N69*N55</f>
        <v>0</v>
      </c>
      <c r="O82" s="88">
        <f aca="true" t="shared" si="31" ref="O82:O92">SUM(C82:N82)</f>
        <v>0</v>
      </c>
    </row>
    <row r="83" spans="2:15" ht="11.25">
      <c r="B83" s="50" t="s">
        <v>17</v>
      </c>
      <c r="C83" s="60">
        <f aca="true" t="shared" si="32" ref="C83:C92">C70*C56</f>
        <v>182.25731127999998</v>
      </c>
      <c r="D83" s="60">
        <f aca="true" t="shared" si="33" ref="D83:D92">D70*D56</f>
        <v>262.70825415999997</v>
      </c>
      <c r="E83" s="60">
        <f aca="true" t="shared" si="34" ref="E83:F92">E70*E56</f>
        <v>196.66995098400002</v>
      </c>
      <c r="F83" s="60">
        <f t="shared" si="34"/>
        <v>206.08029928800005</v>
      </c>
      <c r="G83" s="60">
        <f aca="true" t="shared" si="35" ref="G83:G90">G70*G56</f>
        <v>238.66476480000006</v>
      </c>
      <c r="H83" s="60">
        <f aca="true" t="shared" si="36" ref="H83:I92">H70*H56</f>
        <v>249.09055718400003</v>
      </c>
      <c r="I83" s="60">
        <f aca="true" t="shared" si="37" ref="I83:I92">I70*I56</f>
        <v>277.1675556480001</v>
      </c>
      <c r="J83" s="60">
        <f aca="true" t="shared" si="38" ref="J83:N92">+J70*J56</f>
        <v>168.62744808</v>
      </c>
      <c r="K83" s="60">
        <f t="shared" si="38"/>
        <v>225.90322560000004</v>
      </c>
      <c r="L83" s="60">
        <f t="shared" si="38"/>
        <v>191.29727736000004</v>
      </c>
      <c r="M83" s="60">
        <f t="shared" si="38"/>
        <v>310.62088152000007</v>
      </c>
      <c r="N83" s="60">
        <f t="shared" si="38"/>
        <v>176.79513600000004</v>
      </c>
      <c r="O83" s="88">
        <f t="shared" si="31"/>
        <v>2685.882661904001</v>
      </c>
    </row>
    <row r="84" spans="2:15" ht="11.25">
      <c r="B84" s="50" t="s">
        <v>27</v>
      </c>
      <c r="C84" s="60">
        <f t="shared" si="32"/>
        <v>0</v>
      </c>
      <c r="D84" s="60">
        <f t="shared" si="33"/>
        <v>0</v>
      </c>
      <c r="E84" s="60">
        <f t="shared" si="34"/>
        <v>0</v>
      </c>
      <c r="F84" s="60">
        <f t="shared" si="34"/>
        <v>0</v>
      </c>
      <c r="G84" s="60">
        <f t="shared" si="35"/>
        <v>0</v>
      </c>
      <c r="H84" s="60">
        <f t="shared" si="36"/>
        <v>0</v>
      </c>
      <c r="I84" s="60"/>
      <c r="J84" s="60">
        <f t="shared" si="38"/>
        <v>0</v>
      </c>
      <c r="K84" s="60">
        <f t="shared" si="38"/>
        <v>0</v>
      </c>
      <c r="L84" s="60">
        <f t="shared" si="38"/>
        <v>0</v>
      </c>
      <c r="M84" s="60">
        <f t="shared" si="38"/>
        <v>0</v>
      </c>
      <c r="N84" s="60">
        <f t="shared" si="38"/>
        <v>0</v>
      </c>
      <c r="O84" s="88">
        <f t="shared" si="31"/>
        <v>0</v>
      </c>
    </row>
    <row r="85" spans="2:15" ht="11.25">
      <c r="B85" s="50" t="s">
        <v>28</v>
      </c>
      <c r="C85" s="60">
        <f t="shared" si="32"/>
        <v>14.031237120000002</v>
      </c>
      <c r="D85" s="60">
        <f t="shared" si="33"/>
        <v>20.49741816</v>
      </c>
      <c r="E85" s="60">
        <f t="shared" si="34"/>
        <v>15.787382719999998</v>
      </c>
      <c r="F85" s="60">
        <f t="shared" si="34"/>
        <v>14.543920576</v>
      </c>
      <c r="G85" s="60">
        <f t="shared" si="35"/>
        <v>14.445544960000001</v>
      </c>
      <c r="H85" s="60">
        <f t="shared" si="36"/>
        <v>15.371599488000001</v>
      </c>
      <c r="I85" s="60">
        <f t="shared" si="37"/>
        <v>20.732335488</v>
      </c>
      <c r="J85" s="60">
        <f t="shared" si="38"/>
        <v>14.353474304</v>
      </c>
      <c r="K85" s="60">
        <f t="shared" si="38"/>
        <v>17.128675200000004</v>
      </c>
      <c r="L85" s="60">
        <f t="shared" si="38"/>
        <v>13.101853632000001</v>
      </c>
      <c r="M85" s="60">
        <f t="shared" si="38"/>
        <v>22.520408231999998</v>
      </c>
      <c r="N85" s="60">
        <f t="shared" si="38"/>
        <v>14.87894016</v>
      </c>
      <c r="O85" s="88">
        <f t="shared" si="31"/>
        <v>197.39279004000002</v>
      </c>
    </row>
    <row r="86" spans="2:15" ht="11.25">
      <c r="B86" s="50" t="s">
        <v>29</v>
      </c>
      <c r="C86" s="60">
        <f t="shared" si="32"/>
        <v>60.55340040000001</v>
      </c>
      <c r="D86" s="60">
        <f t="shared" si="33"/>
        <v>110.69611943999998</v>
      </c>
      <c r="E86" s="60">
        <f t="shared" si="34"/>
        <v>90.452869592</v>
      </c>
      <c r="F86" s="60">
        <f t="shared" si="34"/>
        <v>110.55536074400001</v>
      </c>
      <c r="G86" s="60">
        <f t="shared" si="35"/>
        <v>107.082862656</v>
      </c>
      <c r="H86" s="60">
        <f t="shared" si="36"/>
        <v>77.89341033600003</v>
      </c>
      <c r="I86" s="60">
        <f t="shared" si="37"/>
        <v>106.37466033600002</v>
      </c>
      <c r="J86" s="60">
        <f t="shared" si="38"/>
        <v>59.85159335999999</v>
      </c>
      <c r="K86" s="60">
        <f t="shared" si="38"/>
        <v>77.02126848</v>
      </c>
      <c r="L86" s="60">
        <f t="shared" si="38"/>
        <v>71.14064972000001</v>
      </c>
      <c r="M86" s="60">
        <f t="shared" si="38"/>
        <v>150.26941811200004</v>
      </c>
      <c r="N86" s="60">
        <f t="shared" si="38"/>
        <v>102.32008704000003</v>
      </c>
      <c r="O86" s="88">
        <f t="shared" si="31"/>
        <v>1124.211700216</v>
      </c>
    </row>
    <row r="87" spans="2:15" ht="11.25">
      <c r="B87" s="50" t="s">
        <v>30</v>
      </c>
      <c r="C87" s="60">
        <f t="shared" si="32"/>
        <v>109.57536775999999</v>
      </c>
      <c r="D87" s="60">
        <f t="shared" si="33"/>
        <v>137.9222218</v>
      </c>
      <c r="E87" s="60">
        <f t="shared" si="34"/>
        <v>121.459835904</v>
      </c>
      <c r="F87" s="60">
        <f t="shared" si="34"/>
        <v>126.61734694400002</v>
      </c>
      <c r="G87" s="60">
        <f t="shared" si="35"/>
        <v>151.77893068800003</v>
      </c>
      <c r="H87" s="60">
        <f t="shared" si="36"/>
        <v>164.13791116800002</v>
      </c>
      <c r="I87" s="60">
        <f t="shared" si="37"/>
        <v>180.54603072</v>
      </c>
      <c r="J87" s="60">
        <f t="shared" si="38"/>
        <v>124.713132544</v>
      </c>
      <c r="K87" s="60">
        <f t="shared" si="38"/>
        <v>279.25574144000007</v>
      </c>
      <c r="L87" s="60">
        <f t="shared" si="38"/>
        <v>207.32957548800002</v>
      </c>
      <c r="M87" s="60">
        <f t="shared" si="38"/>
        <v>377.03037675200005</v>
      </c>
      <c r="N87" s="60">
        <f t="shared" si="38"/>
        <v>206.97441280000004</v>
      </c>
      <c r="O87" s="88">
        <f t="shared" si="31"/>
        <v>2187.340884008</v>
      </c>
    </row>
    <row r="88" spans="2:15" ht="11.25">
      <c r="B88" s="50" t="s">
        <v>31</v>
      </c>
      <c r="C88" s="60">
        <f t="shared" si="32"/>
        <v>1.6853046000000003</v>
      </c>
      <c r="D88" s="60">
        <f t="shared" si="33"/>
        <v>2.41833312</v>
      </c>
      <c r="E88" s="60">
        <f t="shared" si="34"/>
        <v>1.7238770639999998</v>
      </c>
      <c r="F88" s="60">
        <f t="shared" si="34"/>
        <v>1.6241986319999997</v>
      </c>
      <c r="G88" s="60">
        <f t="shared" si="35"/>
        <v>1.5975442560000002</v>
      </c>
      <c r="H88" s="60">
        <f t="shared" si="36"/>
        <v>1.8511627679999998</v>
      </c>
      <c r="I88" s="60">
        <f t="shared" si="36"/>
        <v>2.5996108319999993</v>
      </c>
      <c r="J88" s="60">
        <f t="shared" si="38"/>
        <v>1.794000936</v>
      </c>
      <c r="K88" s="60">
        <f t="shared" si="38"/>
        <v>1.71848768</v>
      </c>
      <c r="L88" s="60">
        <f t="shared" si="38"/>
        <v>1.390521384</v>
      </c>
      <c r="M88" s="60">
        <f t="shared" si="38"/>
        <v>3.3012047040000003</v>
      </c>
      <c r="N88" s="60">
        <f t="shared" si="38"/>
        <v>2.2554368000000005</v>
      </c>
      <c r="O88" s="88">
        <f t="shared" si="31"/>
        <v>23.959682776</v>
      </c>
    </row>
    <row r="89" spans="2:15" ht="11.25">
      <c r="B89" s="50" t="s">
        <v>24</v>
      </c>
      <c r="C89" s="60">
        <f t="shared" si="32"/>
        <v>-17.325838</v>
      </c>
      <c r="D89" s="60">
        <f t="shared" si="33"/>
        <v>-8.566291999999999</v>
      </c>
      <c r="E89" s="60">
        <f t="shared" si="34"/>
        <v>-42.2285094</v>
      </c>
      <c r="F89" s="60">
        <f t="shared" si="34"/>
        <v>-48.93867726</v>
      </c>
      <c r="G89" s="60">
        <f t="shared" si="35"/>
        <v>-49.75810224000001</v>
      </c>
      <c r="H89" s="60">
        <f t="shared" si="36"/>
        <v>-50.931779219999996</v>
      </c>
      <c r="I89" s="60">
        <f t="shared" si="37"/>
        <v>-81.82940472</v>
      </c>
      <c r="J89" s="60">
        <f t="shared" si="38"/>
        <v>-47.69458434</v>
      </c>
      <c r="K89" s="60">
        <f t="shared" si="38"/>
        <v>-142.73271999999997</v>
      </c>
      <c r="L89" s="60">
        <f t="shared" si="38"/>
        <v>-78.56861775</v>
      </c>
      <c r="M89" s="60">
        <f t="shared" si="38"/>
        <v>-148.37439775</v>
      </c>
      <c r="N89" s="60">
        <f t="shared" si="38"/>
        <v>-63.172959999999996</v>
      </c>
      <c r="O89" s="88">
        <f t="shared" si="31"/>
        <v>-780.1218826800001</v>
      </c>
    </row>
    <row r="90" spans="2:15" ht="11.25">
      <c r="B90" s="50" t="s">
        <v>32</v>
      </c>
      <c r="C90" s="60">
        <f t="shared" si="32"/>
        <v>0</v>
      </c>
      <c r="D90" s="60">
        <f t="shared" si="33"/>
        <v>0</v>
      </c>
      <c r="E90" s="60">
        <f t="shared" si="34"/>
        <v>0</v>
      </c>
      <c r="F90" s="60">
        <f t="shared" si="34"/>
        <v>0</v>
      </c>
      <c r="G90" s="60">
        <f t="shared" si="35"/>
        <v>0</v>
      </c>
      <c r="H90" s="60">
        <f t="shared" si="36"/>
        <v>0</v>
      </c>
      <c r="I90" s="60">
        <f t="shared" si="37"/>
        <v>0</v>
      </c>
      <c r="J90" s="60">
        <f t="shared" si="38"/>
        <v>0</v>
      </c>
      <c r="K90" s="60">
        <f t="shared" si="38"/>
        <v>0</v>
      </c>
      <c r="L90" s="60">
        <f t="shared" si="38"/>
        <v>0</v>
      </c>
      <c r="M90" s="60">
        <f t="shared" si="38"/>
        <v>0</v>
      </c>
      <c r="N90" s="60">
        <f t="shared" si="38"/>
        <v>0</v>
      </c>
      <c r="O90" s="88">
        <f t="shared" si="31"/>
        <v>0</v>
      </c>
    </row>
    <row r="91" spans="2:15" ht="11.25">
      <c r="B91" s="50" t="s">
        <v>33</v>
      </c>
      <c r="C91" s="60">
        <f t="shared" si="32"/>
        <v>-210.8517285</v>
      </c>
      <c r="D91" s="60">
        <f t="shared" si="33"/>
        <v>-272.23306375</v>
      </c>
      <c r="E91" s="60">
        <f t="shared" si="34"/>
        <v>-135.3069046</v>
      </c>
      <c r="F91" s="60">
        <f t="shared" si="34"/>
        <v>-135.4165589</v>
      </c>
      <c r="G91" s="60">
        <f>+G78*G64</f>
        <v>-148.935402</v>
      </c>
      <c r="H91" s="60">
        <f t="shared" si="36"/>
        <v>-157.39764075</v>
      </c>
      <c r="I91" s="60">
        <f t="shared" si="37"/>
        <v>-204.05587649999998</v>
      </c>
      <c r="J91" s="60">
        <f t="shared" si="38"/>
        <v>-137.72840445</v>
      </c>
      <c r="K91" s="60">
        <f t="shared" si="38"/>
        <v>-254.7081472</v>
      </c>
      <c r="L91" s="60">
        <f t="shared" si="38"/>
        <v>-166.38480131</v>
      </c>
      <c r="M91" s="60">
        <f t="shared" si="38"/>
        <v>-279.64041183</v>
      </c>
      <c r="N91" s="60">
        <f t="shared" si="38"/>
        <v>-157.08193280000003</v>
      </c>
      <c r="O91" s="88">
        <f t="shared" si="31"/>
        <v>-2259.7408725900004</v>
      </c>
    </row>
    <row r="92" spans="2:15" ht="11.25">
      <c r="B92" s="50" t="s">
        <v>34</v>
      </c>
      <c r="C92" s="71">
        <f t="shared" si="32"/>
        <v>85.08931640000002</v>
      </c>
      <c r="D92" s="71">
        <f t="shared" si="33"/>
        <v>143.82340563999998</v>
      </c>
      <c r="E92" s="71">
        <f t="shared" si="34"/>
        <v>95.63161616000002</v>
      </c>
      <c r="F92" s="71">
        <f t="shared" si="34"/>
        <v>111.177988712</v>
      </c>
      <c r="G92" s="71">
        <f>+G79*G65</f>
        <v>114.61070297600003</v>
      </c>
      <c r="H92" s="71">
        <f t="shared" si="36"/>
        <v>137.703863472</v>
      </c>
      <c r="I92" s="71">
        <f t="shared" si="37"/>
        <v>97.356840432</v>
      </c>
      <c r="J92" s="71">
        <f t="shared" si="38"/>
        <v>-16.72408933</v>
      </c>
      <c r="K92" s="60">
        <f t="shared" si="38"/>
        <v>-11.70416</v>
      </c>
      <c r="L92" s="60">
        <f t="shared" si="38"/>
        <v>-52.321567200000004</v>
      </c>
      <c r="M92" s="60">
        <f t="shared" si="38"/>
        <v>-65.22255700000001</v>
      </c>
      <c r="N92" s="60">
        <f t="shared" si="38"/>
        <v>-16.756543999999995</v>
      </c>
      <c r="O92" s="88">
        <f t="shared" si="31"/>
        <v>622.664816262</v>
      </c>
    </row>
    <row r="93" spans="1:16" ht="11.25">
      <c r="A93" s="64" t="s">
        <v>40</v>
      </c>
      <c r="B93" s="64"/>
      <c r="C93" s="79">
        <f aca="true" t="shared" si="39" ref="C93:N93">SUM(C82:C92)</f>
        <v>225.01437106000003</v>
      </c>
      <c r="D93" s="80">
        <f t="shared" si="39"/>
        <v>397.26639656999987</v>
      </c>
      <c r="E93" s="80">
        <f t="shared" si="39"/>
        <v>344.19011842400005</v>
      </c>
      <c r="F93" s="80">
        <f t="shared" si="39"/>
        <v>386.24387873600006</v>
      </c>
      <c r="G93" s="80">
        <f t="shared" si="39"/>
        <v>429.4868460960001</v>
      </c>
      <c r="H93" s="80">
        <f>SUM(H82:H92)</f>
        <v>437.7190844460001</v>
      </c>
      <c r="I93" s="80">
        <f>SUM(I82:I92)</f>
        <v>398.8917522360001</v>
      </c>
      <c r="J93" s="80">
        <f t="shared" si="39"/>
        <v>167.19257110399997</v>
      </c>
      <c r="K93" s="87">
        <f t="shared" si="39"/>
        <v>191.88237120000005</v>
      </c>
      <c r="L93" s="87">
        <f t="shared" si="39"/>
        <v>186.9848913240001</v>
      </c>
      <c r="M93" s="87">
        <f t="shared" si="39"/>
        <v>370.5049227400002</v>
      </c>
      <c r="N93" s="87">
        <f t="shared" si="39"/>
        <v>266.21257600000007</v>
      </c>
      <c r="O93" s="88">
        <f>SUM(C93:N93)</f>
        <v>3801.589779936001</v>
      </c>
      <c r="P93" s="88">
        <f>O93/2</f>
        <v>1900.7948899680005</v>
      </c>
    </row>
    <row r="94" spans="1:15" ht="11.25">
      <c r="A94" s="64" t="s">
        <v>41</v>
      </c>
      <c r="B94" s="64"/>
      <c r="C94" s="79">
        <f aca="true" t="shared" si="40" ref="C94:N94">+C93/C66</f>
        <v>39.8255524</v>
      </c>
      <c r="D94" s="80">
        <f t="shared" si="40"/>
        <v>57.160632599999985</v>
      </c>
      <c r="E94" s="80">
        <f t="shared" si="40"/>
        <v>62.92323920000001</v>
      </c>
      <c r="F94" s="80">
        <f t="shared" si="40"/>
        <v>69.34360480000001</v>
      </c>
      <c r="G94" s="80">
        <f t="shared" si="40"/>
        <v>69.72189060000001</v>
      </c>
      <c r="H94" s="80">
        <f t="shared" si="40"/>
        <v>67.23795460000002</v>
      </c>
      <c r="I94" s="80">
        <f>+I93/I66</f>
        <v>46.98371640000001</v>
      </c>
      <c r="J94" s="80">
        <f t="shared" si="40"/>
        <v>29.909225599999996</v>
      </c>
      <c r="K94" s="108">
        <f t="shared" si="40"/>
        <v>18.450228000000003</v>
      </c>
      <c r="L94" s="108">
        <f t="shared" si="40"/>
        <v>27.538275600000016</v>
      </c>
      <c r="M94" s="108">
        <f t="shared" si="40"/>
        <v>32.52896600000002</v>
      </c>
      <c r="N94" s="108">
        <f t="shared" si="40"/>
        <v>41.595715000000006</v>
      </c>
      <c r="O94" s="88"/>
    </row>
    <row r="95" spans="1:15" ht="11.25">
      <c r="A95" s="64"/>
      <c r="B95" s="64"/>
      <c r="C95" s="79"/>
      <c r="D95" s="80"/>
      <c r="E95" s="80"/>
      <c r="F95" s="80"/>
      <c r="G95" s="80"/>
      <c r="H95" s="80"/>
      <c r="I95" s="80"/>
      <c r="J95" s="80"/>
      <c r="K95" s="108"/>
      <c r="L95" s="108"/>
      <c r="M95" s="108"/>
      <c r="N95" s="108"/>
      <c r="O95" s="88"/>
    </row>
    <row r="96" spans="3:14" ht="13.5" customHeight="1">
      <c r="C96" s="88">
        <v>39.83</v>
      </c>
      <c r="D96" s="88">
        <v>57.16</v>
      </c>
      <c r="E96" s="88">
        <v>62.92</v>
      </c>
      <c r="F96" s="88">
        <v>69.34</v>
      </c>
      <c r="G96" s="88">
        <v>69.72</v>
      </c>
      <c r="H96" s="88">
        <v>67.24</v>
      </c>
      <c r="I96" s="88">
        <v>46.98</v>
      </c>
      <c r="J96" s="88">
        <v>29.91</v>
      </c>
      <c r="K96" s="88">
        <v>18.45</v>
      </c>
      <c r="L96" s="88">
        <v>27.54</v>
      </c>
      <c r="M96" s="88">
        <v>32.53</v>
      </c>
      <c r="N96" s="88">
        <v>41.6</v>
      </c>
    </row>
    <row r="97" spans="1:14" ht="11.25">
      <c r="A97" s="64"/>
      <c r="C97" s="166">
        <f>C94-C96</f>
        <v>-0.004447599999998886</v>
      </c>
      <c r="D97" s="166">
        <f aca="true" t="shared" si="41" ref="D97:N97">D94-D96</f>
        <v>0.0006325999999887699</v>
      </c>
      <c r="E97" s="166">
        <f t="shared" si="41"/>
        <v>0.0032392000000101007</v>
      </c>
      <c r="F97" s="166">
        <f t="shared" si="41"/>
        <v>0.0036048000000050706</v>
      </c>
      <c r="G97" s="166">
        <f t="shared" si="41"/>
        <v>0.0018906000000100676</v>
      </c>
      <c r="H97" s="166">
        <f t="shared" si="41"/>
        <v>-0.0020453999999716643</v>
      </c>
      <c r="I97" s="166">
        <f t="shared" si="41"/>
        <v>0.0037164000000160513</v>
      </c>
      <c r="J97" s="166">
        <f t="shared" si="41"/>
        <v>-0.0007744000000045048</v>
      </c>
      <c r="K97" s="166">
        <f t="shared" si="41"/>
        <v>0.00022800000000344767</v>
      </c>
      <c r="L97" s="166">
        <f t="shared" si="41"/>
        <v>-0.0017243999999827508</v>
      </c>
      <c r="M97" s="166">
        <f t="shared" si="41"/>
        <v>-0.001033999999982882</v>
      </c>
      <c r="N97" s="166">
        <f t="shared" si="41"/>
        <v>-0.0042849999999958754</v>
      </c>
    </row>
    <row r="98" spans="3:14" ht="11.25"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</row>
    <row r="99" spans="1:10" ht="11.25">
      <c r="A99" s="64"/>
      <c r="B99" s="64"/>
      <c r="C99" s="79"/>
      <c r="D99" s="79"/>
      <c r="E99" s="79"/>
      <c r="F99" s="79"/>
      <c r="G99" s="79"/>
      <c r="H99" s="79"/>
      <c r="I99" s="79"/>
      <c r="J99" s="83"/>
    </row>
    <row r="100" spans="3:10" ht="7.5" customHeight="1">
      <c r="C100" s="82"/>
      <c r="D100" s="82"/>
      <c r="E100" s="82"/>
      <c r="F100" s="82"/>
      <c r="G100" s="82"/>
      <c r="H100" s="82"/>
      <c r="I100" s="82"/>
      <c r="J100" s="82"/>
    </row>
    <row r="101" spans="1:10" ht="11.25">
      <c r="A101" s="64"/>
      <c r="B101" s="64"/>
      <c r="C101" s="83"/>
      <c r="D101" s="83"/>
      <c r="E101" s="83"/>
      <c r="F101" s="83"/>
      <c r="G101" s="83"/>
      <c r="H101" s="83"/>
      <c r="I101" s="83"/>
      <c r="J101" s="83"/>
    </row>
    <row r="102" spans="3:10" ht="7.5" customHeight="1">
      <c r="C102" s="82"/>
      <c r="D102" s="82"/>
      <c r="E102" s="82"/>
      <c r="F102" s="82"/>
      <c r="G102" s="82"/>
      <c r="H102" s="82"/>
      <c r="I102" s="82"/>
      <c r="J102" s="82"/>
    </row>
    <row r="103" spans="1:10" ht="11.25">
      <c r="A103" s="64"/>
      <c r="C103" s="81"/>
      <c r="D103" s="81"/>
      <c r="E103" s="81"/>
      <c r="F103" s="81"/>
      <c r="G103" s="81"/>
      <c r="H103" s="81"/>
      <c r="I103" s="81"/>
      <c r="J103" s="84"/>
    </row>
    <row r="106" ht="11.25">
      <c r="B106" s="50" t="str">
        <f ca="1">CELL("filename")</f>
        <v>Z:\Division\Accounting II\WUTC Filings\Commodity Credits\Filing June 2022\SeaTac\[SeaTac Multi Family Commodity Credit Template - June 2022.xls]WUTC_AW of Kent (SeaTac)_MF</v>
      </c>
    </row>
  </sheetData>
  <sheetProtection/>
  <printOptions/>
  <pageMargins left="0.5" right="0.5" top="0.75" bottom="0.75" header="0.5" footer="0.5"/>
  <pageSetup fitToWidth="0" fitToHeight="1" orientation="portrait" scale="60" r:id="rId3"/>
  <rowBreaks count="1" manualBreakCount="1">
    <brk id="53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1.28125" style="0" bestFit="1" customWidth="1"/>
    <col min="3" max="3" width="10.28125" style="0" bestFit="1" customWidth="1"/>
    <col min="4" max="4" width="12.28125" style="0" bestFit="1" customWidth="1"/>
  </cols>
  <sheetData>
    <row r="3" ht="13.5" thickBot="1"/>
    <row r="4" spans="1:4" ht="13.5" thickBot="1">
      <c r="A4" s="145" t="s">
        <v>74</v>
      </c>
      <c r="B4" s="146"/>
      <c r="C4" s="147">
        <v>7387.225475000014</v>
      </c>
      <c r="D4" s="155"/>
    </row>
    <row r="5" spans="3:4" ht="12.75">
      <c r="C5" s="148"/>
      <c r="D5" s="148"/>
    </row>
    <row r="6" spans="1:6" ht="12.75">
      <c r="A6" s="149" t="s">
        <v>75</v>
      </c>
      <c r="E6" s="149" t="s">
        <v>76</v>
      </c>
      <c r="F6" s="149" t="s">
        <v>77</v>
      </c>
    </row>
    <row r="7" spans="1:6" ht="12.75">
      <c r="A7" s="150" t="s">
        <v>78</v>
      </c>
      <c r="C7" s="148">
        <f>$C$4*(D12/$D$15)</f>
        <v>2367.9943247818615</v>
      </c>
      <c r="D7" s="148"/>
      <c r="E7" s="154">
        <f>C7*E12</f>
        <v>2168.576020259499</v>
      </c>
      <c r="F7" s="153">
        <f>C7*F12</f>
        <v>199.41830452236283</v>
      </c>
    </row>
    <row r="8" spans="1:6" ht="12.75">
      <c r="A8" s="150" t="s">
        <v>79</v>
      </c>
      <c r="C8" s="148">
        <f>$C$4*(D13/$D$15)</f>
        <v>4083.045540539289</v>
      </c>
      <c r="D8" s="148"/>
      <c r="E8" s="154">
        <f>C8*E13</f>
        <v>4053.9820221752716</v>
      </c>
      <c r="F8" s="153">
        <f>C8*F13</f>
        <v>29.063518364017142</v>
      </c>
    </row>
    <row r="9" spans="1:6" ht="12.75">
      <c r="A9" s="150" t="s">
        <v>80</v>
      </c>
      <c r="C9" s="148">
        <f>$C$4*(D14/$D$15)</f>
        <v>936.1856096788639</v>
      </c>
      <c r="D9" s="148"/>
      <c r="E9" s="154">
        <f>C9*E14</f>
        <v>901.0221114684289</v>
      </c>
      <c r="F9" s="153">
        <f>C9*F14</f>
        <v>35.16349821043512</v>
      </c>
    </row>
    <row r="11" spans="1:6" ht="12.75">
      <c r="A11" t="s">
        <v>81</v>
      </c>
      <c r="B11" t="s">
        <v>82</v>
      </c>
      <c r="C11" t="s">
        <v>83</v>
      </c>
      <c r="D11" t="s">
        <v>19</v>
      </c>
      <c r="E11" t="s">
        <v>84</v>
      </c>
      <c r="F11" t="s">
        <v>85</v>
      </c>
    </row>
    <row r="12" spans="1:6" ht="12.75">
      <c r="A12">
        <v>4172</v>
      </c>
      <c r="B12" s="156">
        <v>38221.28186979701</v>
      </c>
      <c r="C12" s="156">
        <v>3514.759526961001</v>
      </c>
      <c r="D12" s="156">
        <f>B12+C12</f>
        <v>41736.04139675801</v>
      </c>
      <c r="E12" s="157">
        <f>B12/$D$12</f>
        <v>0.9157859871388276</v>
      </c>
      <c r="F12" s="157">
        <f>C12/$D$12</f>
        <v>0.08421401286117236</v>
      </c>
    </row>
    <row r="13" spans="1:6" ht="12.75">
      <c r="A13">
        <v>4176</v>
      </c>
      <c r="B13" s="158">
        <v>71451.67525467202</v>
      </c>
      <c r="C13" s="158">
        <v>512.2462469110001</v>
      </c>
      <c r="D13" s="156">
        <f>B13+C13</f>
        <v>71963.92150158303</v>
      </c>
      <c r="E13" s="157">
        <f>B13/$D$13</f>
        <v>0.9928819019833468</v>
      </c>
      <c r="F13" s="157">
        <f>C13/$D$13</f>
        <v>0.007118098016653135</v>
      </c>
    </row>
    <row r="14" spans="1:6" ht="12.75">
      <c r="A14">
        <v>4183</v>
      </c>
      <c r="B14" s="158">
        <v>15880.568525900004</v>
      </c>
      <c r="C14" s="158">
        <v>619.7587560100001</v>
      </c>
      <c r="D14" s="156">
        <f>B14+C14</f>
        <v>16500.327281910002</v>
      </c>
      <c r="E14" s="157">
        <f>B14/$D$14</f>
        <v>0.9624396082925297</v>
      </c>
      <c r="F14" s="157">
        <f>C14/$D$14</f>
        <v>0.0375603917074704</v>
      </c>
    </row>
    <row r="15" spans="4:6" ht="12.75">
      <c r="D15" s="159">
        <f>SUM(D12:D14)</f>
        <v>130200.29018025103</v>
      </c>
      <c r="E15" s="151"/>
      <c r="F15" s="151"/>
    </row>
    <row r="20" spans="1:5" ht="12.75">
      <c r="A20" s="150" t="s">
        <v>91</v>
      </c>
      <c r="E20" s="148">
        <f>+F9</f>
        <v>35.16349821043512</v>
      </c>
    </row>
    <row r="22" spans="1:5" ht="12.75">
      <c r="A22" s="150" t="s">
        <v>73</v>
      </c>
      <c r="E22" s="152">
        <v>4140.13</v>
      </c>
    </row>
    <row r="24" spans="1:5" ht="12.75">
      <c r="A24" s="150" t="s">
        <v>86</v>
      </c>
      <c r="E24" s="160">
        <f>E20/E22</f>
        <v>0.008493331902726513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3" width="12.57421875" style="0" bestFit="1" customWidth="1"/>
    <col min="4" max="4" width="25.8515625" style="0" customWidth="1"/>
    <col min="5" max="5" width="13.421875" style="168" customWidth="1"/>
    <col min="9" max="9" width="34.57421875" style="0" bestFit="1" customWidth="1"/>
    <col min="10" max="10" width="12.28125" style="0" bestFit="1" customWidth="1"/>
    <col min="12" max="12" width="18.421875" style="0" bestFit="1" customWidth="1"/>
    <col min="14" max="14" width="24.8515625" style="0" bestFit="1" customWidth="1"/>
    <col min="17" max="17" width="19.421875" style="169" bestFit="1" customWidth="1"/>
    <col min="19" max="19" width="11.28125" style="0" bestFit="1" customWidth="1"/>
  </cols>
  <sheetData>
    <row r="1" spans="1:19" ht="12.75">
      <c r="A1" s="167" t="s">
        <v>93</v>
      </c>
      <c r="B1" s="167"/>
      <c r="C1" s="167"/>
      <c r="H1" t="s">
        <v>94</v>
      </c>
      <c r="Q1" s="169" t="s">
        <v>95</v>
      </c>
      <c r="S1" t="s">
        <v>96</v>
      </c>
    </row>
    <row r="2" spans="1:15" ht="15.75">
      <c r="A2" s="167" t="s">
        <v>97</v>
      </c>
      <c r="B2" s="170">
        <v>44317</v>
      </c>
      <c r="C2" s="171">
        <v>45046</v>
      </c>
      <c r="H2" t="s">
        <v>19</v>
      </c>
      <c r="I2" s="172" t="str">
        <f>"Revenue Retained "</f>
        <v>Revenue Retained </v>
      </c>
      <c r="J2" s="173"/>
      <c r="K2" s="174"/>
      <c r="L2" s="173"/>
      <c r="M2" s="174"/>
      <c r="N2" s="174"/>
      <c r="O2" s="175"/>
    </row>
    <row r="3" spans="9:15" ht="12.75">
      <c r="I3" s="176" t="s">
        <v>98</v>
      </c>
      <c r="J3" s="177"/>
      <c r="K3" s="178"/>
      <c r="L3" s="177"/>
      <c r="M3" s="178"/>
      <c r="N3" s="178"/>
      <c r="O3" s="179"/>
    </row>
    <row r="4" spans="2:19" ht="13.5" thickBot="1">
      <c r="B4" s="180" t="s">
        <v>99</v>
      </c>
      <c r="C4" s="180"/>
      <c r="D4" s="181"/>
      <c r="I4" s="150"/>
      <c r="J4" s="182" t="s">
        <v>19</v>
      </c>
      <c r="K4" s="150"/>
      <c r="L4" s="183" t="s">
        <v>100</v>
      </c>
      <c r="M4" s="150"/>
      <c r="N4" s="184" t="s">
        <v>101</v>
      </c>
      <c r="O4" s="150"/>
      <c r="Q4" s="169" t="s">
        <v>102</v>
      </c>
      <c r="S4" t="s">
        <v>96</v>
      </c>
    </row>
    <row r="5" spans="2:19" ht="12.75">
      <c r="B5" s="185" t="s">
        <v>103</v>
      </c>
      <c r="C5" s="185" t="s">
        <v>104</v>
      </c>
      <c r="D5" s="185" t="s">
        <v>19</v>
      </c>
      <c r="F5" s="186"/>
      <c r="G5" s="186"/>
      <c r="I5" t="s">
        <v>105</v>
      </c>
      <c r="J5" s="187">
        <f>L5*2</f>
        <v>193977.4</v>
      </c>
      <c r="K5" s="150"/>
      <c r="L5" s="188">
        <f>L19+L33</f>
        <v>96988.7</v>
      </c>
      <c r="M5" s="150"/>
      <c r="N5" s="188">
        <f>L5</f>
        <v>96988.7</v>
      </c>
      <c r="O5" s="150"/>
      <c r="Q5" s="169">
        <f>Q19+Q33</f>
        <v>96982.00305710803</v>
      </c>
      <c r="S5" s="159">
        <f>L5-Q5</f>
        <v>6.696942891969229</v>
      </c>
    </row>
    <row r="6" spans="1:19" ht="12.75">
      <c r="A6" s="185" t="s">
        <v>106</v>
      </c>
      <c r="B6" s="189">
        <f>'[1]King County RSA Spend 2021-2022'!P32</f>
        <v>215.88</v>
      </c>
      <c r="C6" s="189">
        <f>'[1]King County RSA Spend 2022-2023'!P29</f>
        <v>0</v>
      </c>
      <c r="D6" s="189">
        <f>SUM(B6:C6)</f>
        <v>215.88</v>
      </c>
      <c r="E6" s="190"/>
      <c r="F6" s="167"/>
      <c r="G6" s="167"/>
      <c r="I6" t="s">
        <v>107</v>
      </c>
      <c r="J6" s="187">
        <f>L6*2</f>
        <v>17375.44</v>
      </c>
      <c r="K6" s="150"/>
      <c r="L6" s="188">
        <f>L20+L34</f>
        <v>8687.72</v>
      </c>
      <c r="M6" s="150"/>
      <c r="N6" s="188">
        <f aca="true" t="shared" si="0" ref="N6:N12">L6</f>
        <v>8687.72</v>
      </c>
      <c r="O6" s="150"/>
      <c r="Q6" s="169">
        <f aca="true" t="shared" si="1" ref="Q6:Q12">Q20+Q34</f>
        <v>8687.058656771002</v>
      </c>
      <c r="S6" s="159">
        <f aca="true" t="shared" si="2" ref="S6:S14">L6-Q6</f>
        <v>0.6613432289977936</v>
      </c>
    </row>
    <row r="7" spans="1:19" ht="12.75">
      <c r="A7" s="185" t="s">
        <v>108</v>
      </c>
      <c r="B7" s="189">
        <v>11000</v>
      </c>
      <c r="C7" s="189">
        <v>11000</v>
      </c>
      <c r="D7" s="189">
        <f>SUM(B7:C7)</f>
        <v>22000</v>
      </c>
      <c r="E7" s="190"/>
      <c r="F7" s="167"/>
      <c r="G7" s="167"/>
      <c r="I7" s="150"/>
      <c r="J7" s="187"/>
      <c r="K7" s="150"/>
      <c r="L7" s="188"/>
      <c r="M7" s="150"/>
      <c r="N7" s="188"/>
      <c r="O7" s="150"/>
      <c r="S7" s="159">
        <f t="shared" si="2"/>
        <v>0</v>
      </c>
    </row>
    <row r="8" spans="1:19" ht="12.75">
      <c r="A8" s="185" t="s">
        <v>109</v>
      </c>
      <c r="B8" s="189">
        <f>'[1]Labor Expense'!P25+'[1]2021-2022 Admin Time'!I38</f>
        <v>20957.53666666667</v>
      </c>
      <c r="C8" s="189">
        <f>'[1]Labor Expense'!P34+'[1]2022-2023 Admin Time'!I38</f>
        <v>0</v>
      </c>
      <c r="D8" s="189">
        <f>SUM(B8:C8)</f>
        <v>20957.53666666667</v>
      </c>
      <c r="I8" t="s">
        <v>110</v>
      </c>
      <c r="J8" s="187">
        <f>L8*2</f>
        <v>341028.22</v>
      </c>
      <c r="K8" s="150"/>
      <c r="L8" s="188">
        <f>L22+L36</f>
        <v>170514.11</v>
      </c>
      <c r="M8" s="150"/>
      <c r="N8" s="188">
        <f t="shared" si="0"/>
        <v>170514.11</v>
      </c>
      <c r="O8" s="150"/>
      <c r="Q8" s="169">
        <f t="shared" si="1"/>
        <v>170494.83</v>
      </c>
      <c r="S8" s="159">
        <f t="shared" si="2"/>
        <v>19.279999999998836</v>
      </c>
    </row>
    <row r="9" spans="1:19" ht="12.75">
      <c r="A9" s="185" t="s">
        <v>19</v>
      </c>
      <c r="B9" s="191">
        <f>SUM(B6:B8)</f>
        <v>32173.41666666667</v>
      </c>
      <c r="C9" s="191">
        <f>SUM(C6:C8)</f>
        <v>11000</v>
      </c>
      <c r="D9" s="191">
        <f>SUM(D6:D8)</f>
        <v>43173.41666666667</v>
      </c>
      <c r="I9" t="s">
        <v>111</v>
      </c>
      <c r="J9" s="187">
        <f>L9*2</f>
        <v>3476.92</v>
      </c>
      <c r="K9" s="150"/>
      <c r="L9" s="188">
        <f>L23+L37</f>
        <v>1738.46</v>
      </c>
      <c r="M9" s="150"/>
      <c r="N9" s="188">
        <f t="shared" si="0"/>
        <v>1738.46</v>
      </c>
      <c r="O9" s="150"/>
      <c r="Q9" s="169">
        <f t="shared" si="1"/>
        <v>1738.33</v>
      </c>
      <c r="S9" s="159">
        <f t="shared" si="2"/>
        <v>0.13000000000010914</v>
      </c>
    </row>
    <row r="10" spans="1:19" ht="12.75">
      <c r="A10" s="192" t="s">
        <v>112</v>
      </c>
      <c r="B10" s="159">
        <f>0.05*B9</f>
        <v>1608.6708333333336</v>
      </c>
      <c r="C10" s="159">
        <f>0.05*C9</f>
        <v>550</v>
      </c>
      <c r="D10" s="159">
        <f>D9+B10+C10</f>
        <v>45332.08750000001</v>
      </c>
      <c r="F10" s="193"/>
      <c r="G10" s="193"/>
      <c r="I10" s="150"/>
      <c r="J10" s="187"/>
      <c r="K10" s="150"/>
      <c r="L10" s="188"/>
      <c r="M10" s="150"/>
      <c r="N10" s="188"/>
      <c r="O10" s="150"/>
      <c r="S10" s="159">
        <f t="shared" si="2"/>
        <v>0</v>
      </c>
    </row>
    <row r="11" spans="2:19" ht="12.75">
      <c r="B11" s="180" t="s">
        <v>113</v>
      </c>
      <c r="C11" s="180"/>
      <c r="D11" s="181"/>
      <c r="I11" t="s">
        <v>114</v>
      </c>
      <c r="J11" s="187">
        <f>L11*2</f>
        <v>69572.4</v>
      </c>
      <c r="K11" s="150"/>
      <c r="L11" s="188">
        <f>L25+L39</f>
        <v>34786.2</v>
      </c>
      <c r="M11" s="150"/>
      <c r="N11" s="188">
        <f t="shared" si="0"/>
        <v>34786.2</v>
      </c>
      <c r="O11" s="150"/>
      <c r="Q11" s="169">
        <f t="shared" si="1"/>
        <v>34783.4</v>
      </c>
      <c r="S11" s="159">
        <f t="shared" si="2"/>
        <v>2.7999999999956344</v>
      </c>
    </row>
    <row r="12" spans="2:19" ht="12.75">
      <c r="B12" s="185" t="s">
        <v>103</v>
      </c>
      <c r="C12" s="185" t="s">
        <v>115</v>
      </c>
      <c r="D12" s="185" t="s">
        <v>19</v>
      </c>
      <c r="I12" t="s">
        <v>116</v>
      </c>
      <c r="J12" s="187">
        <f>L12*2</f>
        <v>3801.96</v>
      </c>
      <c r="K12" s="150"/>
      <c r="L12" s="188">
        <f>L26+L40</f>
        <v>1900.98</v>
      </c>
      <c r="M12" s="150"/>
      <c r="N12" s="188">
        <f t="shared" si="0"/>
        <v>1900.98</v>
      </c>
      <c r="O12" s="150"/>
      <c r="Q12" s="169">
        <f t="shared" si="1"/>
        <v>1900.79</v>
      </c>
      <c r="S12" s="159">
        <f t="shared" si="2"/>
        <v>0.19000000000005457</v>
      </c>
    </row>
    <row r="13" spans="2:19" ht="12.75">
      <c r="B13" s="189">
        <f>'[1]Single Family'!F17+'[1]Single Family'!M17+'[1]Single Family'!T17+'[1]Multi Family'!F17+'[1]Multi Family'!M17+'[1]Multi Family'!T17</f>
        <v>314616.17</v>
      </c>
      <c r="C13" s="189">
        <f>'[1]Single Family'!F33+'[1]Single Family'!M33+'[1]Single Family'!T33+'[1]Multi Family'!F34+'[1]Multi Family'!M34+'[1]Multi Family'!T34</f>
        <v>0</v>
      </c>
      <c r="D13" s="189">
        <f>SUM(B13:C13)</f>
        <v>314616.17</v>
      </c>
      <c r="I13" s="150"/>
      <c r="J13" s="187"/>
      <c r="K13" s="150"/>
      <c r="M13" s="150"/>
      <c r="N13" s="188"/>
      <c r="O13" s="150"/>
      <c r="S13" s="159">
        <f t="shared" si="2"/>
        <v>0</v>
      </c>
    </row>
    <row r="14" spans="9:19" ht="13.5" thickBot="1">
      <c r="I14" s="194" t="s">
        <v>117</v>
      </c>
      <c r="J14" s="195">
        <f>SUM(J5,J6,J8,J9,J11,J12)</f>
        <v>629232.34</v>
      </c>
      <c r="K14" s="150"/>
      <c r="L14" s="195">
        <f>SUM(L5:L12)</f>
        <v>314616.17</v>
      </c>
      <c r="M14" s="196"/>
      <c r="N14" s="197">
        <f>L14</f>
        <v>314616.17</v>
      </c>
      <c r="O14" s="150"/>
      <c r="Q14" s="195">
        <f>SUM(Q5:Q12)</f>
        <v>314586.41171387903</v>
      </c>
      <c r="S14" s="195">
        <f t="shared" si="2"/>
        <v>29.758286120952107</v>
      </c>
    </row>
    <row r="15" spans="2:4" ht="12.75">
      <c r="B15" s="198" t="s">
        <v>118</v>
      </c>
      <c r="C15" s="198"/>
      <c r="D15" s="198"/>
    </row>
    <row r="16" spans="2:15" ht="15.75">
      <c r="B16" s="199"/>
      <c r="C16" s="199"/>
      <c r="D16" s="189">
        <f>D13-(B9+B10)</f>
        <v>280834.08249999996</v>
      </c>
      <c r="H16" t="s">
        <v>119</v>
      </c>
      <c r="I16" s="172" t="str">
        <f>"Revenue Retained "</f>
        <v>Revenue Retained </v>
      </c>
      <c r="J16" s="173"/>
      <c r="K16" s="174"/>
      <c r="L16" s="173"/>
      <c r="M16" s="174"/>
      <c r="N16" s="174"/>
      <c r="O16" s="175"/>
    </row>
    <row r="17" spans="9:15" ht="12.75">
      <c r="I17" s="176" t="s">
        <v>103</v>
      </c>
      <c r="J17" s="177"/>
      <c r="K17" s="178"/>
      <c r="L17" s="177"/>
      <c r="M17" s="178"/>
      <c r="N17" s="178"/>
      <c r="O17" s="179"/>
    </row>
    <row r="18" spans="1:19" ht="15.75" thickBot="1">
      <c r="A18" s="200"/>
      <c r="B18" s="201" t="s">
        <v>120</v>
      </c>
      <c r="C18" s="202"/>
      <c r="D18" s="203"/>
      <c r="I18" s="150"/>
      <c r="J18" s="182" t="s">
        <v>19</v>
      </c>
      <c r="K18" s="150"/>
      <c r="L18" s="183" t="s">
        <v>100</v>
      </c>
      <c r="M18" s="150"/>
      <c r="N18" s="184" t="s">
        <v>101</v>
      </c>
      <c r="O18" s="150"/>
      <c r="Q18" s="169" t="s">
        <v>102</v>
      </c>
      <c r="S18" t="s">
        <v>96</v>
      </c>
    </row>
    <row r="19" spans="1:19" ht="15">
      <c r="A19" s="200"/>
      <c r="B19" s="204" t="s">
        <v>103</v>
      </c>
      <c r="C19" s="205" t="s">
        <v>104</v>
      </c>
      <c r="D19" s="206" t="s">
        <v>19</v>
      </c>
      <c r="I19" t="s">
        <v>105</v>
      </c>
      <c r="J19" s="187">
        <f>L19*2</f>
        <v>193977.4</v>
      </c>
      <c r="K19" s="150"/>
      <c r="L19" s="207">
        <v>96988.7</v>
      </c>
      <c r="M19" s="150"/>
      <c r="N19" s="188">
        <f>L19</f>
        <v>96988.7</v>
      </c>
      <c r="O19" s="150"/>
      <c r="Q19" s="208">
        <v>96982.00305710803</v>
      </c>
      <c r="S19" s="159">
        <f>L19-Q19</f>
        <v>6.696942891969229</v>
      </c>
    </row>
    <row r="20" spans="1:19" ht="12.75">
      <c r="A20" s="209">
        <v>4172</v>
      </c>
      <c r="B20" s="210">
        <f>SUM('[1]King County RSA Spend 2021-2022'!P34+'[1]Labor Expense'!P22)</f>
        <v>720.8001333333334</v>
      </c>
      <c r="C20" s="210">
        <f>SUM('[1]Ledger'!P29+'[1]Labor Expense'!P31)</f>
        <v>0</v>
      </c>
      <c r="D20" s="210">
        <f>SUM(B20:C20)</f>
        <v>720.8001333333334</v>
      </c>
      <c r="I20" t="s">
        <v>107</v>
      </c>
      <c r="J20" s="187">
        <f>L20*2</f>
        <v>17375.44</v>
      </c>
      <c r="K20" s="150"/>
      <c r="L20" s="207">
        <v>8687.72</v>
      </c>
      <c r="M20" s="150"/>
      <c r="N20" s="188">
        <f aca="true" t="shared" si="3" ref="N20:N26">L20</f>
        <v>8687.72</v>
      </c>
      <c r="O20" s="150"/>
      <c r="Q20" s="208">
        <v>8687.058656771002</v>
      </c>
      <c r="S20" s="159">
        <f aca="true" t="shared" si="4" ref="S20:S28">L20-Q20</f>
        <v>0.6613432289977936</v>
      </c>
    </row>
    <row r="21" spans="1:19" ht="12.75">
      <c r="A21" s="205">
        <v>4176</v>
      </c>
      <c r="B21" s="210">
        <f>SUM('[1]King County RSA Spend 2021-2022'!P35+'[1]Labor Expense'!P23)</f>
        <v>10723.1296</v>
      </c>
      <c r="C21" s="210">
        <f>SUM('[1]Ledger'!P30+'[1]Labor Expense'!P32)</f>
        <v>0</v>
      </c>
      <c r="D21" s="210">
        <f>SUM(B21:C21)</f>
        <v>10723.1296</v>
      </c>
      <c r="I21" s="150"/>
      <c r="J21" s="187"/>
      <c r="K21" s="150"/>
      <c r="L21" s="188"/>
      <c r="M21" s="150"/>
      <c r="N21" s="188"/>
      <c r="O21" s="150"/>
      <c r="S21" s="159">
        <f t="shared" si="4"/>
        <v>0</v>
      </c>
    </row>
    <row r="22" spans="1:19" ht="12.75">
      <c r="A22" s="209">
        <v>4183</v>
      </c>
      <c r="B22" s="210">
        <f>SUM('[1]King County RSA Spend 2021-2022'!P36+'[1]Labor Expense'!P24)</f>
        <v>7099.820266666669</v>
      </c>
      <c r="C22" s="210">
        <f>SUM('[1]Ledger'!P31+'[1]Labor Expense'!P33)</f>
        <v>0</v>
      </c>
      <c r="D22" s="210">
        <f>SUM(B22:C22)</f>
        <v>7099.820266666669</v>
      </c>
      <c r="I22" t="s">
        <v>110</v>
      </c>
      <c r="J22" s="187">
        <f>L22*2</f>
        <v>341028.22</v>
      </c>
      <c r="K22" s="150"/>
      <c r="L22" s="207">
        <v>170514.11</v>
      </c>
      <c r="M22" s="150"/>
      <c r="N22" s="188">
        <f t="shared" si="3"/>
        <v>170514.11</v>
      </c>
      <c r="O22" s="150"/>
      <c r="Q22" s="208">
        <v>170494.83</v>
      </c>
      <c r="S22" s="159">
        <f t="shared" si="4"/>
        <v>19.279999999998836</v>
      </c>
    </row>
    <row r="23" spans="1:19" ht="15">
      <c r="A23" s="200"/>
      <c r="B23" s="211">
        <f>SUM(B20:B22)</f>
        <v>18543.750000000004</v>
      </c>
      <c r="C23" s="212">
        <f>SUM(C20:C22)</f>
        <v>0</v>
      </c>
      <c r="D23" s="213">
        <f>SUM(D20:D22)</f>
        <v>18543.750000000004</v>
      </c>
      <c r="I23" t="s">
        <v>111</v>
      </c>
      <c r="J23" s="187">
        <f>L23*2</f>
        <v>3476.92</v>
      </c>
      <c r="K23" s="150"/>
      <c r="L23" s="207">
        <v>1738.46</v>
      </c>
      <c r="M23" s="150"/>
      <c r="N23" s="188">
        <f t="shared" si="3"/>
        <v>1738.46</v>
      </c>
      <c r="O23" s="150"/>
      <c r="Q23" s="208">
        <v>1738.33</v>
      </c>
      <c r="S23" s="159">
        <f t="shared" si="4"/>
        <v>0.13000000000010914</v>
      </c>
    </row>
    <row r="24" spans="9:19" ht="12.75">
      <c r="I24" s="150"/>
      <c r="J24" s="187"/>
      <c r="K24" s="150"/>
      <c r="L24" s="188"/>
      <c r="M24" s="150"/>
      <c r="N24" s="188"/>
      <c r="O24" s="150"/>
      <c r="S24" s="159">
        <f t="shared" si="4"/>
        <v>0</v>
      </c>
    </row>
    <row r="25" spans="9:19" ht="12.75">
      <c r="I25" t="s">
        <v>114</v>
      </c>
      <c r="J25" s="187">
        <f>L25*2</f>
        <v>69572.4</v>
      </c>
      <c r="K25" s="150"/>
      <c r="L25" s="207">
        <v>34786.2</v>
      </c>
      <c r="M25" s="150"/>
      <c r="N25" s="188">
        <f t="shared" si="3"/>
        <v>34786.2</v>
      </c>
      <c r="O25" s="150"/>
      <c r="Q25" s="208">
        <v>34783.4</v>
      </c>
      <c r="S25" s="159">
        <f t="shared" si="4"/>
        <v>2.7999999999956344</v>
      </c>
    </row>
    <row r="26" spans="9:19" ht="12.75">
      <c r="I26" t="s">
        <v>116</v>
      </c>
      <c r="J26" s="187">
        <f>L26*2</f>
        <v>3801.96</v>
      </c>
      <c r="K26" s="150"/>
      <c r="L26" s="207">
        <v>1900.98</v>
      </c>
      <c r="M26" s="150"/>
      <c r="N26" s="188">
        <f t="shared" si="3"/>
        <v>1900.98</v>
      </c>
      <c r="O26" s="150"/>
      <c r="Q26" s="208">
        <v>1900.79</v>
      </c>
      <c r="S26" s="159">
        <f t="shared" si="4"/>
        <v>0.19000000000005457</v>
      </c>
    </row>
    <row r="27" spans="1:19" ht="12.75">
      <c r="A27" s="214" t="s">
        <v>121</v>
      </c>
      <c r="B27" s="215"/>
      <c r="C27" s="216"/>
      <c r="D27" s="217" t="s">
        <v>122</v>
      </c>
      <c r="E27" s="218"/>
      <c r="I27" s="150"/>
      <c r="J27" s="187"/>
      <c r="K27" s="150"/>
      <c r="M27" s="150"/>
      <c r="N27" s="219"/>
      <c r="O27" s="150"/>
      <c r="S27" s="159">
        <f t="shared" si="4"/>
        <v>0</v>
      </c>
    </row>
    <row r="28" spans="1:19" ht="15.75" thickBot="1">
      <c r="A28" s="220" t="s">
        <v>123</v>
      </c>
      <c r="B28" s="221">
        <v>25</v>
      </c>
      <c r="D28" s="222" t="s">
        <v>123</v>
      </c>
      <c r="E28" s="223">
        <v>25</v>
      </c>
      <c r="I28" s="194" t="s">
        <v>117</v>
      </c>
      <c r="J28" s="195">
        <f>SUM(J19,J20,J22,J23,J25,J26)</f>
        <v>629232.34</v>
      </c>
      <c r="K28" s="150"/>
      <c r="L28" s="195">
        <f>SUM(L19:L26)</f>
        <v>314616.17</v>
      </c>
      <c r="M28" s="196"/>
      <c r="N28" s="197">
        <f>L28</f>
        <v>314616.17</v>
      </c>
      <c r="O28" s="150"/>
      <c r="Q28" s="195">
        <f>SUM(Q19:Q26)</f>
        <v>314586.41171387903</v>
      </c>
      <c r="S28" s="195">
        <f t="shared" si="4"/>
        <v>29.758286120952107</v>
      </c>
    </row>
    <row r="29" spans="1:5" ht="12.75">
      <c r="A29" s="224" t="s">
        <v>124</v>
      </c>
      <c r="B29" s="225">
        <f>('[1]Single Family'!V17+'[1]Multi Family'!V17)/3</f>
        <v>4475.009999999999</v>
      </c>
      <c r="D29" s="222" t="s">
        <v>124</v>
      </c>
      <c r="E29" s="226">
        <v>2272</v>
      </c>
    </row>
    <row r="30" spans="1:15" ht="15.75">
      <c r="A30" s="220" t="s">
        <v>125</v>
      </c>
      <c r="B30" s="227">
        <v>0</v>
      </c>
      <c r="D30" s="222" t="s">
        <v>125</v>
      </c>
      <c r="E30" s="228">
        <v>12</v>
      </c>
      <c r="H30" t="s">
        <v>126</v>
      </c>
      <c r="I30" s="172" t="str">
        <f>"Revenue Retained "</f>
        <v>Revenue Retained </v>
      </c>
      <c r="J30" s="173"/>
      <c r="K30" s="174"/>
      <c r="L30" s="173"/>
      <c r="M30" s="174"/>
      <c r="N30" s="174"/>
      <c r="O30" s="175"/>
    </row>
    <row r="31" spans="1:15" ht="12.75">
      <c r="A31" s="229" t="s">
        <v>127</v>
      </c>
      <c r="B31" s="230">
        <f>B13+((B29*B28)*B30)</f>
        <v>314616.17</v>
      </c>
      <c r="D31" s="222" t="s">
        <v>128</v>
      </c>
      <c r="E31" s="231">
        <f>C13+((E29*E28)*E30)</f>
        <v>681600</v>
      </c>
      <c r="I31" s="176" t="s">
        <v>104</v>
      </c>
      <c r="J31" s="177"/>
      <c r="K31" s="178"/>
      <c r="L31" s="177"/>
      <c r="M31" s="178"/>
      <c r="N31" s="178"/>
      <c r="O31" s="179"/>
    </row>
    <row r="32" spans="1:19" ht="15.75" thickBot="1">
      <c r="A32" s="232" t="s">
        <v>129</v>
      </c>
      <c r="B32" s="159">
        <f>B7+(((B6+B8+B9+B10)/7)*12)</f>
        <v>105209.43571428573</v>
      </c>
      <c r="D32" s="233" t="s">
        <v>130</v>
      </c>
      <c r="E32" s="234">
        <f>B8+B10</f>
        <v>22566.207500000004</v>
      </c>
      <c r="I32" s="150"/>
      <c r="J32" s="182" t="s">
        <v>19</v>
      </c>
      <c r="K32" s="150"/>
      <c r="L32" s="183" t="s">
        <v>100</v>
      </c>
      <c r="M32" s="150"/>
      <c r="N32" s="184" t="s">
        <v>101</v>
      </c>
      <c r="O32" s="150"/>
      <c r="Q32" s="169" t="s">
        <v>102</v>
      </c>
      <c r="S32" t="s">
        <v>96</v>
      </c>
    </row>
    <row r="33" spans="1:19" ht="25.5">
      <c r="A33" s="235" t="s">
        <v>131</v>
      </c>
      <c r="B33" s="159">
        <f>B31-B32</f>
        <v>209406.73428571425</v>
      </c>
      <c r="D33" s="236" t="s">
        <v>132</v>
      </c>
      <c r="E33" s="237"/>
      <c r="I33" t="s">
        <v>105</v>
      </c>
      <c r="J33" s="187">
        <f>L33*2</f>
        <v>0</v>
      </c>
      <c r="K33" s="150"/>
      <c r="L33" s="207"/>
      <c r="M33" s="150"/>
      <c r="N33" s="188">
        <f>L33</f>
        <v>0</v>
      </c>
      <c r="O33" s="150"/>
      <c r="Q33" s="208"/>
      <c r="S33" s="159">
        <f>L33-Q33</f>
        <v>0</v>
      </c>
    </row>
    <row r="34" spans="1:19" ht="12.75">
      <c r="A34" s="168"/>
      <c r="D34" s="186" t="s">
        <v>133</v>
      </c>
      <c r="E34" s="238">
        <f>(E33+E31)-E32</f>
        <v>659033.7925</v>
      </c>
      <c r="I34" t="s">
        <v>107</v>
      </c>
      <c r="J34" s="187">
        <f>L34*2</f>
        <v>0</v>
      </c>
      <c r="K34" s="150"/>
      <c r="L34" s="207"/>
      <c r="M34" s="150"/>
      <c r="N34" s="188">
        <f aca="true" t="shared" si="5" ref="N34:N40">L34</f>
        <v>0</v>
      </c>
      <c r="O34" s="150"/>
      <c r="Q34" s="208"/>
      <c r="S34" s="159">
        <f aca="true" t="shared" si="6" ref="S34:S42">L34-Q34</f>
        <v>0</v>
      </c>
    </row>
    <row r="35" spans="4:19" ht="12.75">
      <c r="D35" s="186"/>
      <c r="E35" s="238"/>
      <c r="I35" s="150"/>
      <c r="J35" s="187"/>
      <c r="K35" s="150"/>
      <c r="L35" s="188"/>
      <c r="M35" s="150"/>
      <c r="N35" s="188"/>
      <c r="O35" s="150"/>
      <c r="S35" s="159">
        <f t="shared" si="6"/>
        <v>0</v>
      </c>
    </row>
    <row r="36" spans="9:19" ht="12.75">
      <c r="I36" t="s">
        <v>110</v>
      </c>
      <c r="J36" s="187">
        <f>L36*2</f>
        <v>0</v>
      </c>
      <c r="K36" s="150"/>
      <c r="L36" s="207"/>
      <c r="M36" s="150"/>
      <c r="N36" s="188">
        <f t="shared" si="5"/>
        <v>0</v>
      </c>
      <c r="O36" s="150"/>
      <c r="Q36" s="208"/>
      <c r="S36" s="159">
        <f t="shared" si="6"/>
        <v>0</v>
      </c>
    </row>
    <row r="37" spans="9:19" ht="12.75">
      <c r="I37" t="s">
        <v>111</v>
      </c>
      <c r="J37" s="187">
        <f>L37*2</f>
        <v>0</v>
      </c>
      <c r="K37" s="150"/>
      <c r="L37" s="207"/>
      <c r="M37" s="150"/>
      <c r="N37" s="188">
        <f t="shared" si="5"/>
        <v>0</v>
      </c>
      <c r="O37" s="150"/>
      <c r="Q37" s="208"/>
      <c r="S37" s="159">
        <f t="shared" si="6"/>
        <v>0</v>
      </c>
    </row>
    <row r="38" spans="9:19" ht="12.75">
      <c r="I38" s="150"/>
      <c r="J38" s="187"/>
      <c r="K38" s="150"/>
      <c r="L38" s="188"/>
      <c r="M38" s="150"/>
      <c r="N38" s="188"/>
      <c r="O38" s="150"/>
      <c r="S38" s="159">
        <f t="shared" si="6"/>
        <v>0</v>
      </c>
    </row>
    <row r="39" spans="9:19" ht="12.75">
      <c r="I39" t="s">
        <v>114</v>
      </c>
      <c r="J39" s="187">
        <f>L39*2</f>
        <v>0</v>
      </c>
      <c r="K39" s="150"/>
      <c r="L39" s="207"/>
      <c r="M39" s="150"/>
      <c r="N39" s="188">
        <f t="shared" si="5"/>
        <v>0</v>
      </c>
      <c r="O39" s="150"/>
      <c r="Q39" s="208"/>
      <c r="S39" s="159">
        <f t="shared" si="6"/>
        <v>0</v>
      </c>
    </row>
    <row r="40" spans="9:19" ht="12.75">
      <c r="I40" t="s">
        <v>116</v>
      </c>
      <c r="J40" s="187">
        <f>L40*2</f>
        <v>0</v>
      </c>
      <c r="K40" s="150"/>
      <c r="L40" s="207"/>
      <c r="M40" s="150"/>
      <c r="N40" s="188">
        <f t="shared" si="5"/>
        <v>0</v>
      </c>
      <c r="O40" s="150"/>
      <c r="Q40" s="208"/>
      <c r="S40" s="159">
        <f t="shared" si="6"/>
        <v>0</v>
      </c>
    </row>
    <row r="41" spans="9:19" ht="12.75">
      <c r="I41" s="150"/>
      <c r="J41" s="187"/>
      <c r="K41" s="150"/>
      <c r="M41" s="150"/>
      <c r="N41" s="219"/>
      <c r="O41" s="150"/>
      <c r="S41" s="159">
        <f t="shared" si="6"/>
        <v>0</v>
      </c>
    </row>
    <row r="42" spans="9:19" ht="13.5" thickBot="1">
      <c r="I42" s="194" t="s">
        <v>117</v>
      </c>
      <c r="J42" s="195">
        <f>SUM(J33,J34,J36,J37,J39,J40)</f>
        <v>0</v>
      </c>
      <c r="K42" s="150"/>
      <c r="L42" s="195">
        <f>SUM(L33:L40)</f>
        <v>0</v>
      </c>
      <c r="M42" s="196"/>
      <c r="N42" s="197">
        <f>L42</f>
        <v>0</v>
      </c>
      <c r="O42" s="150"/>
      <c r="Q42" s="195">
        <f>SUM(Q33:Q40)</f>
        <v>0</v>
      </c>
      <c r="S42" s="195">
        <f t="shared" si="6"/>
        <v>0</v>
      </c>
    </row>
  </sheetData>
  <sheetProtection/>
  <mergeCells count="4">
    <mergeCell ref="B4:D4"/>
    <mergeCell ref="B11:D11"/>
    <mergeCell ref="B15:D15"/>
    <mergeCell ref="B18:D1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JG00116</dc:creator>
  <cp:keywords/>
  <dc:description/>
  <cp:lastModifiedBy>Gualberto, Christopher</cp:lastModifiedBy>
  <cp:lastPrinted>2019-06-14T19:24:56Z</cp:lastPrinted>
  <dcterms:created xsi:type="dcterms:W3CDTF">2008-05-23T15:47:44Z</dcterms:created>
  <dcterms:modified xsi:type="dcterms:W3CDTF">2022-06-14T21:04:15Z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umentSetType">
    <vt:lpwstr>Workpapers</vt:lpwstr>
  </property>
  <property fmtid="{D5CDD505-2E9C-101B-9397-08002B2CF9AE}" pid="5" name="IsDocumentOrder">
    <vt:lpwstr>0</vt:lpwstr>
  </property>
  <property fmtid="{D5CDD505-2E9C-101B-9397-08002B2CF9AE}" pid="6" name="IsHighlyConfidential">
    <vt:lpwstr>0</vt:lpwstr>
  </property>
  <property fmtid="{D5CDD505-2E9C-101B-9397-08002B2CF9AE}" pid="7" name="CaseCompanyNames">
    <vt:lpwstr>RABANCO LTD.            </vt:lpwstr>
  </property>
  <property fmtid="{D5CDD505-2E9C-101B-9397-08002B2CF9AE}" pid="8" name="IsConfidential">
    <vt:lpwstr>0</vt:lpwstr>
  </property>
  <property fmtid="{D5CDD505-2E9C-101B-9397-08002B2CF9AE}" pid="9" name="IsEFSEC">
    <vt:lpwstr>0</vt:lpwstr>
  </property>
  <property fmtid="{D5CDD505-2E9C-101B-9397-08002B2CF9AE}" pid="10" name="DocketNumber">
    <vt:lpwstr>220452</vt:lpwstr>
  </property>
  <property fmtid="{D5CDD505-2E9C-101B-9397-08002B2CF9AE}" pid="11" name="Date1">
    <vt:lpwstr>2022-06-15T00:00:00Z</vt:lpwstr>
  </property>
  <property fmtid="{D5CDD505-2E9C-101B-9397-08002B2CF9AE}" pid="12" name="Nickname">
    <vt:lpwstr/>
  </property>
  <property fmtid="{D5CDD505-2E9C-101B-9397-08002B2CF9AE}" pid="13" name="CaseType">
    <vt:lpwstr>Tariff Revision</vt:lpwstr>
  </property>
  <property fmtid="{D5CDD505-2E9C-101B-9397-08002B2CF9AE}" pid="14" name="OpenedDate">
    <vt:lpwstr>2022-06-15T00:00:00Z</vt:lpwstr>
  </property>
  <property fmtid="{D5CDD505-2E9C-101B-9397-08002B2CF9AE}" pid="15" name="Prefix">
    <vt:lpwstr>TG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</Properties>
</file>