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2-XX Electric Schedule 140 - Property Tax Tracker (UE-22xxxx) (Eff. 05-01-22)\Workpapers\"/>
    </mc:Choice>
  </mc:AlternateContent>
  <bookViews>
    <workbookView xWindow="180" yWindow="75" windowWidth="14445" windowHeight="10470"/>
  </bookViews>
  <sheets>
    <sheet name="2022 Prop Tax Rate Impacts" sheetId="12" r:id="rId1"/>
    <sheet name="DRAFT 2022 Prop Tax Rate Design" sheetId="10" r:id="rId2"/>
    <sheet name="Typical Res Customer Sch 140" sheetId="27" r:id="rId3"/>
    <sheet name="Sch 449-459 Rate Design" sheetId="37" r:id="rId4"/>
    <sheet name="Street &amp; Area Lighting" sheetId="34" r:id="rId5"/>
    <sheet name="2022 PRELIM Rev Req" sheetId="11" r:id="rId6"/>
    <sheet name="Projected Revenue on F2022" sheetId="31" r:id="rId7"/>
    <sheet name="UE-190529 Compliance PLR ECOS" sheetId="40" r:id="rId8"/>
    <sheet name="2021 Final Prop Tax Rate Design" sheetId="41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">[1]INPUTS!$C$11</definedName>
    <definedName name="CBWorkbookPriority">-2060790043</definedName>
    <definedName name="EffTax">[1]INPUTS!$F$36</definedName>
    <definedName name="FTAX">[1]INPUTS!$F$35</definedName>
    <definedName name="HTML_CodePage">1252</definedName>
    <definedName name="HTML_Control" localSheetId="8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8">'2021 Final Prop Tax Rate Design'!$A$1:$Q$38</definedName>
    <definedName name="_xlnm.Print_Area" localSheetId="0">'2022 Prop Tax Rate Impacts'!$A$1:$I$35</definedName>
    <definedName name="_xlnm.Print_Area" localSheetId="1">'DRAFT 2022 Prop Tax Rate Design'!$A$1:$Q$38</definedName>
    <definedName name="_xlnm.Print_Area" localSheetId="6">'Projected Revenue on F2022'!$A$1:$T$41</definedName>
    <definedName name="_xlnm.Print_Area" localSheetId="3">'Sch 449-459 Rate Design'!$A$1:$F$29</definedName>
    <definedName name="_xlnm.Print_Area" localSheetId="4">'Street &amp; Area Lighting'!$A$1:$K$197</definedName>
    <definedName name="_xlnm.Print_Area" localSheetId="2">'Typical Res Customer Sch 140'!$A$1:$V$60</definedName>
    <definedName name="_xlnm.Print_Area" localSheetId="7">'UE-190529 Compliance PLR ECOS'!$A$1:$U$67</definedName>
    <definedName name="_xlnm.Print_Titles" localSheetId="4">'Street &amp; Area Lighting'!$1:$8</definedName>
    <definedName name="_xlnm.Print_Titles" localSheetId="7">'UE-190529 Compliance PLR ECOS'!$1:$6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APBEXhrIndnt">"Wide"</definedName>
    <definedName name="SAPsysID">"708C5W7SBKP804JT78WJ0JNKI"</definedName>
    <definedName name="SAPwbID">"ARS"</definedName>
    <definedName name="STAX">[1]INPUTS!$F$34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I77" i="34" l="1"/>
  <c r="J77" i="34"/>
  <c r="I31" i="34"/>
  <c r="J31" i="34"/>
  <c r="I30" i="34"/>
  <c r="T8" i="31" l="1"/>
  <c r="T41" i="31"/>
  <c r="T39" i="31"/>
  <c r="T37" i="31"/>
  <c r="T35" i="31"/>
  <c r="T33" i="31"/>
  <c r="T31" i="31"/>
  <c r="T28" i="31"/>
  <c r="T27" i="31"/>
  <c r="T24" i="31"/>
  <c r="T23" i="31"/>
  <c r="T22" i="31"/>
  <c r="T21" i="31"/>
  <c r="T18" i="31"/>
  <c r="T17" i="31"/>
  <c r="T16" i="31"/>
  <c r="T15" i="31"/>
  <c r="T14" i="31"/>
  <c r="T13" i="31"/>
  <c r="T12" i="31"/>
  <c r="T9" i="31"/>
  <c r="R29" i="31"/>
  <c r="R25" i="31"/>
  <c r="R19" i="31"/>
  <c r="R10" i="31"/>
  <c r="R37" i="31" l="1"/>
  <c r="R41" i="31"/>
  <c r="Q29" i="31" l="1"/>
  <c r="Q19" i="31"/>
  <c r="Q25" i="31" l="1"/>
  <c r="Q10" i="31"/>
  <c r="Q37" i="31" s="1"/>
  <c r="Q41" i="31" s="1"/>
  <c r="K70" i="40"/>
  <c r="K71" i="40" s="1"/>
  <c r="E67" i="40"/>
  <c r="E71" i="40" s="1"/>
  <c r="F24" i="12" l="1"/>
  <c r="B22" i="27" l="1"/>
  <c r="B77" i="34" l="1"/>
  <c r="A77" i="34"/>
  <c r="K77" i="34"/>
  <c r="K31" i="34"/>
  <c r="F53" i="27" l="1"/>
  <c r="O29" i="31" l="1"/>
  <c r="N29" i="31"/>
  <c r="M29" i="31"/>
  <c r="P29" i="31"/>
  <c r="P25" i="31"/>
  <c r="O19" i="31"/>
  <c r="N19" i="31"/>
  <c r="M19" i="31"/>
  <c r="O10" i="31"/>
  <c r="P10" i="31"/>
  <c r="N10" i="31"/>
  <c r="M10" i="31"/>
  <c r="M25" i="31" l="1"/>
  <c r="M37" i="31" s="1"/>
  <c r="M41" i="31" s="1"/>
  <c r="N25" i="31"/>
  <c r="N37" i="31" s="1"/>
  <c r="N41" i="31" s="1"/>
  <c r="O25" i="31"/>
  <c r="O37" i="31" s="1"/>
  <c r="O41" i="31" s="1"/>
  <c r="P19" i="31"/>
  <c r="P37" i="31" s="1"/>
  <c r="P41" i="31" s="1"/>
  <c r="F35" i="12" l="1"/>
  <c r="F33" i="12"/>
  <c r="F31" i="12"/>
  <c r="F27" i="12"/>
  <c r="F21" i="12"/>
  <c r="F19" i="12"/>
  <c r="F14" i="12"/>
  <c r="F13" i="12"/>
  <c r="F12" i="12"/>
  <c r="F8" i="12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D10" i="41"/>
  <c r="D31" i="41" s="1"/>
  <c r="K10" i="41"/>
  <c r="D16" i="41"/>
  <c r="K16" i="41"/>
  <c r="K31" i="41" s="1"/>
  <c r="K35" i="41" s="1"/>
  <c r="D21" i="41"/>
  <c r="K21" i="41"/>
  <c r="I37" i="41"/>
  <c r="D35" i="41" l="1"/>
  <c r="E31" i="41" s="1"/>
  <c r="E16" i="41" l="1"/>
  <c r="E20" i="41"/>
  <c r="E10" i="41"/>
  <c r="E9" i="41"/>
  <c r="E33" i="41"/>
  <c r="E35" i="41" s="1"/>
  <c r="E23" i="41"/>
  <c r="E13" i="41"/>
  <c r="E19" i="41"/>
  <c r="E29" i="41"/>
  <c r="E21" i="41"/>
  <c r="E15" i="41"/>
  <c r="E27" i="41"/>
  <c r="E25" i="41"/>
  <c r="E14" i="41"/>
  <c r="G33" i="41" l="1"/>
  <c r="I33" i="41" s="1"/>
  <c r="H33" i="41"/>
  <c r="G14" i="41"/>
  <c r="H14" i="41"/>
  <c r="N14" i="41" s="1"/>
  <c r="G15" i="41"/>
  <c r="H15" i="41"/>
  <c r="N15" i="41" s="1"/>
  <c r="G20" i="41"/>
  <c r="H20" i="41"/>
  <c r="N20" i="41" s="1"/>
  <c r="G25" i="41"/>
  <c r="H25" i="41"/>
  <c r="N25" i="41" s="1"/>
  <c r="G27" i="41"/>
  <c r="H27" i="41"/>
  <c r="N27" i="41" s="1"/>
  <c r="H29" i="41"/>
  <c r="N29" i="41" s="1"/>
  <c r="G29" i="41"/>
  <c r="G19" i="41"/>
  <c r="H19" i="41"/>
  <c r="G13" i="41"/>
  <c r="H13" i="41"/>
  <c r="G23" i="41"/>
  <c r="H23" i="41"/>
  <c r="N23" i="41" s="1"/>
  <c r="G9" i="41"/>
  <c r="H9" i="41"/>
  <c r="M27" i="41" l="1"/>
  <c r="O27" i="41" s="1"/>
  <c r="Q27" i="41" s="1"/>
  <c r="I27" i="41"/>
  <c r="H10" i="41"/>
  <c r="N9" i="41"/>
  <c r="G10" i="41"/>
  <c r="I9" i="41"/>
  <c r="I10" i="41" s="1"/>
  <c r="M9" i="41"/>
  <c r="O9" i="41" s="1"/>
  <c r="Q9" i="41" s="1"/>
  <c r="Q10" i="41" s="1"/>
  <c r="I25" i="41"/>
  <c r="M25" i="41"/>
  <c r="O25" i="41" s="1"/>
  <c r="Q25" i="41" s="1"/>
  <c r="I29" i="41"/>
  <c r="M29" i="41"/>
  <c r="O29" i="41" s="1"/>
  <c r="Q29" i="41" s="1"/>
  <c r="I20" i="41"/>
  <c r="M20" i="41"/>
  <c r="O20" i="41" s="1"/>
  <c r="N13" i="41"/>
  <c r="H16" i="41"/>
  <c r="N16" i="41" s="1"/>
  <c r="I13" i="41"/>
  <c r="M13" i="41"/>
  <c r="O13" i="41" s="1"/>
  <c r="Q13" i="41" s="1"/>
  <c r="G16" i="41"/>
  <c r="M16" i="41" s="1"/>
  <c r="O16" i="41" s="1"/>
  <c r="M15" i="41"/>
  <c r="O15" i="41" s="1"/>
  <c r="I15" i="41"/>
  <c r="I23" i="41"/>
  <c r="M23" i="41"/>
  <c r="O23" i="41" s="1"/>
  <c r="Q23" i="41" s="1"/>
  <c r="H21" i="41"/>
  <c r="N21" i="41" s="1"/>
  <c r="N19" i="41"/>
  <c r="G21" i="41"/>
  <c r="M21" i="41" s="1"/>
  <c r="O21" i="41" s="1"/>
  <c r="I19" i="41"/>
  <c r="M19" i="41"/>
  <c r="M14" i="41"/>
  <c r="O14" i="41" s="1"/>
  <c r="I14" i="41"/>
  <c r="Q20" i="41" l="1"/>
  <c r="Q15" i="41"/>
  <c r="G31" i="41"/>
  <c r="M10" i="41"/>
  <c r="Q14" i="41"/>
  <c r="Q16" i="41" s="1"/>
  <c r="I16" i="41"/>
  <c r="I31" i="41" s="1"/>
  <c r="I35" i="41" s="1"/>
  <c r="O19" i="41"/>
  <c r="Q19" i="41" s="1"/>
  <c r="H31" i="41"/>
  <c r="N10" i="41"/>
  <c r="I21" i="41"/>
  <c r="Q21" i="41" l="1"/>
  <c r="Q31" i="41" s="1"/>
  <c r="Q35" i="41" s="1"/>
  <c r="O10" i="41"/>
  <c r="G35" i="41"/>
  <c r="M35" i="41" s="1"/>
  <c r="M31" i="41"/>
  <c r="N31" i="41"/>
  <c r="H35" i="41"/>
  <c r="N35" i="41" s="1"/>
  <c r="O35" i="41" l="1"/>
  <c r="O31" i="41"/>
  <c r="H37" i="10"/>
  <c r="K69" i="40" l="1"/>
  <c r="M71" i="40"/>
  <c r="M69" i="40"/>
  <c r="F15" i="12" l="1"/>
  <c r="E31" i="27" l="1"/>
  <c r="E41" i="27" s="1"/>
  <c r="F55" i="27" l="1"/>
  <c r="F56" i="27" l="1"/>
  <c r="F54" i="27"/>
  <c r="F52" i="27"/>
  <c r="F49" i="27"/>
  <c r="F39" i="27"/>
  <c r="E46" i="27"/>
  <c r="F35" i="27"/>
  <c r="F45" i="27" s="1"/>
  <c r="E44" i="27"/>
  <c r="E43" i="27"/>
  <c r="E42" i="27"/>
  <c r="F30" i="27"/>
  <c r="F40" i="27" s="1"/>
  <c r="F29" i="27"/>
  <c r="C13" i="27" l="1"/>
  <c r="C9" i="27"/>
  <c r="C17" i="27"/>
  <c r="F34" i="27"/>
  <c r="F44" i="27" s="1"/>
  <c r="E40" i="27"/>
  <c r="F33" i="27"/>
  <c r="F43" i="27" s="1"/>
  <c r="E37" i="27"/>
  <c r="F57" i="27"/>
  <c r="C10" i="27"/>
  <c r="F26" i="27"/>
  <c r="B20" i="27"/>
  <c r="E27" i="27"/>
  <c r="E45" i="27"/>
  <c r="E57" i="27"/>
  <c r="C7" i="27"/>
  <c r="C15" i="27"/>
  <c r="F32" i="27"/>
  <c r="F42" i="27" s="1"/>
  <c r="F36" i="27"/>
  <c r="F46" i="27" s="1"/>
  <c r="C14" i="27"/>
  <c r="C18" i="27"/>
  <c r="C8" i="27"/>
  <c r="C12" i="27"/>
  <c r="C16" i="27"/>
  <c r="C22" i="27"/>
  <c r="C11" i="27"/>
  <c r="E59" i="27" l="1"/>
  <c r="E47" i="27"/>
  <c r="E60" i="27" s="1"/>
  <c r="C20" i="27"/>
  <c r="H18" i="27"/>
  <c r="H14" i="27"/>
  <c r="H10" i="27"/>
  <c r="H9" i="27"/>
  <c r="H16" i="27"/>
  <c r="H12" i="27"/>
  <c r="H7" i="27"/>
  <c r="F27" i="27"/>
  <c r="H17" i="27"/>
  <c r="H13" i="27"/>
  <c r="H22" i="27"/>
  <c r="H8" i="27"/>
  <c r="H15" i="27"/>
  <c r="H11" i="27"/>
  <c r="E14" i="27" l="1"/>
  <c r="E22" i="27"/>
  <c r="D13" i="27"/>
  <c r="D22" i="27"/>
  <c r="D7" i="27"/>
  <c r="D18" i="27"/>
  <c r="D11" i="27"/>
  <c r="D15" i="27"/>
  <c r="D16" i="27"/>
  <c r="D14" i="27"/>
  <c r="F14" i="27" s="1"/>
  <c r="D10" i="27"/>
  <c r="D12" i="27"/>
  <c r="D9" i="27"/>
  <c r="D8" i="27"/>
  <c r="D17" i="27"/>
  <c r="E17" i="27"/>
  <c r="E7" i="27"/>
  <c r="E12" i="27"/>
  <c r="E15" i="27"/>
  <c r="E16" i="27"/>
  <c r="E8" i="27"/>
  <c r="E18" i="27"/>
  <c r="F18" i="27" s="1"/>
  <c r="E9" i="27"/>
  <c r="E11" i="27"/>
  <c r="F11" i="27" s="1"/>
  <c r="E13" i="27"/>
  <c r="E10" i="27"/>
  <c r="H20" i="27"/>
  <c r="F22" i="27" l="1"/>
  <c r="F13" i="27"/>
  <c r="F7" i="27"/>
  <c r="F17" i="27"/>
  <c r="D20" i="27"/>
  <c r="F9" i="27"/>
  <c r="F16" i="27"/>
  <c r="F8" i="27"/>
  <c r="F15" i="27"/>
  <c r="F12" i="27"/>
  <c r="F10" i="27"/>
  <c r="E20" i="27"/>
  <c r="F20" i="27" l="1"/>
  <c r="D33" i="10" l="1"/>
  <c r="D27" i="10"/>
  <c r="D25" i="10"/>
  <c r="D23" i="10"/>
  <c r="D20" i="10"/>
  <c r="D19" i="10"/>
  <c r="D15" i="10"/>
  <c r="D14" i="10"/>
  <c r="D13" i="10"/>
  <c r="D9" i="10"/>
  <c r="R71" i="40"/>
  <c r="S71" i="40"/>
  <c r="T71" i="40"/>
  <c r="U71" i="40"/>
  <c r="Q71" i="40"/>
  <c r="F71" i="40"/>
  <c r="G71" i="40"/>
  <c r="H71" i="40"/>
  <c r="I71" i="40"/>
  <c r="J71" i="40"/>
  <c r="L71" i="40"/>
  <c r="N71" i="40"/>
  <c r="O71" i="40"/>
  <c r="M70" i="40"/>
  <c r="A69" i="40"/>
  <c r="A70" i="40"/>
  <c r="A8" i="40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T11" i="40"/>
  <c r="T14" i="40" s="1"/>
  <c r="U11" i="40"/>
  <c r="T12" i="40"/>
  <c r="U12" i="40"/>
  <c r="U14" i="40" s="1"/>
  <c r="T13" i="40"/>
  <c r="U13" i="40"/>
  <c r="E14" i="40"/>
  <c r="F14" i="40"/>
  <c r="G14" i="40"/>
  <c r="H14" i="40"/>
  <c r="I14" i="40"/>
  <c r="J14" i="40"/>
  <c r="K14" i="40"/>
  <c r="L14" i="40"/>
  <c r="M14" i="40"/>
  <c r="N14" i="40"/>
  <c r="O14" i="40"/>
  <c r="Q14" i="40"/>
  <c r="R14" i="40"/>
  <c r="S14" i="40"/>
  <c r="T17" i="40"/>
  <c r="T20" i="40" s="1"/>
  <c r="U17" i="40"/>
  <c r="T18" i="40"/>
  <c r="U18" i="40"/>
  <c r="T19" i="40"/>
  <c r="U19" i="40"/>
  <c r="E20" i="40"/>
  <c r="F20" i="40"/>
  <c r="G20" i="40"/>
  <c r="H20" i="40"/>
  <c r="I20" i="40"/>
  <c r="J20" i="40"/>
  <c r="K20" i="40"/>
  <c r="L20" i="40"/>
  <c r="M20" i="40"/>
  <c r="N20" i="40"/>
  <c r="O20" i="40"/>
  <c r="Q20" i="40"/>
  <c r="R20" i="40"/>
  <c r="S20" i="40"/>
  <c r="U20" i="40"/>
  <c r="T23" i="40"/>
  <c r="U23" i="40"/>
  <c r="T24" i="40"/>
  <c r="U24" i="40"/>
  <c r="U27" i="40" s="1"/>
  <c r="T25" i="40"/>
  <c r="U25" i="40"/>
  <c r="T26" i="40"/>
  <c r="U26" i="40"/>
  <c r="E27" i="40"/>
  <c r="F27" i="40"/>
  <c r="G27" i="40"/>
  <c r="H27" i="40"/>
  <c r="I27" i="40"/>
  <c r="J27" i="40"/>
  <c r="K27" i="40"/>
  <c r="L27" i="40"/>
  <c r="M27" i="40"/>
  <c r="N27" i="40"/>
  <c r="O27" i="40"/>
  <c r="Q27" i="40"/>
  <c r="R27" i="40"/>
  <c r="S27" i="40"/>
  <c r="T27" i="40"/>
  <c r="T30" i="40"/>
  <c r="U30" i="40"/>
  <c r="T31" i="40"/>
  <c r="U31" i="40"/>
  <c r="T32" i="40"/>
  <c r="U32" i="40"/>
  <c r="T33" i="40"/>
  <c r="U33" i="40"/>
  <c r="T34" i="40"/>
  <c r="U34" i="40"/>
  <c r="U51" i="40" s="1"/>
  <c r="T35" i="40"/>
  <c r="U35" i="40"/>
  <c r="T36" i="40"/>
  <c r="U36" i="40"/>
  <c r="T37" i="40"/>
  <c r="U37" i="40"/>
  <c r="T38" i="40"/>
  <c r="U38" i="40"/>
  <c r="T39" i="40"/>
  <c r="U39" i="40"/>
  <c r="T40" i="40"/>
  <c r="U40" i="40"/>
  <c r="T41" i="40"/>
  <c r="U41" i="40"/>
  <c r="T42" i="40"/>
  <c r="U42" i="40"/>
  <c r="T43" i="40"/>
  <c r="U43" i="40"/>
  <c r="T44" i="40"/>
  <c r="U44" i="40"/>
  <c r="T45" i="40"/>
  <c r="U45" i="40"/>
  <c r="T46" i="40"/>
  <c r="U46" i="40"/>
  <c r="T47" i="40"/>
  <c r="U47" i="40"/>
  <c r="T48" i="40"/>
  <c r="U48" i="40"/>
  <c r="T49" i="40"/>
  <c r="U49" i="40"/>
  <c r="T50" i="40"/>
  <c r="U50" i="40"/>
  <c r="E51" i="40"/>
  <c r="F51" i="40"/>
  <c r="G51" i="40"/>
  <c r="H51" i="40"/>
  <c r="I51" i="40"/>
  <c r="J51" i="40"/>
  <c r="K51" i="40"/>
  <c r="K67" i="40" s="1"/>
  <c r="L51" i="40"/>
  <c r="L67" i="40" s="1"/>
  <c r="M51" i="40"/>
  <c r="N51" i="40"/>
  <c r="O51" i="40"/>
  <c r="Q51" i="40"/>
  <c r="R51" i="40"/>
  <c r="S51" i="40"/>
  <c r="T51" i="40"/>
  <c r="T54" i="40"/>
  <c r="U54" i="40"/>
  <c r="U65" i="40" s="1"/>
  <c r="T55" i="40"/>
  <c r="T65" i="40" s="1"/>
  <c r="U55" i="40"/>
  <c r="T56" i="40"/>
  <c r="U56" i="40"/>
  <c r="T57" i="40"/>
  <c r="U57" i="40"/>
  <c r="T58" i="40"/>
  <c r="U58" i="40"/>
  <c r="T59" i="40"/>
  <c r="U59" i="40"/>
  <c r="T60" i="40"/>
  <c r="U60" i="40"/>
  <c r="T61" i="40"/>
  <c r="U61" i="40"/>
  <c r="T62" i="40"/>
  <c r="U62" i="40"/>
  <c r="T63" i="40"/>
  <c r="U63" i="40"/>
  <c r="T64" i="40"/>
  <c r="U64" i="40"/>
  <c r="E65" i="40"/>
  <c r="F65" i="40"/>
  <c r="G65" i="40"/>
  <c r="G67" i="40" s="1"/>
  <c r="H65" i="40"/>
  <c r="H67" i="40" s="1"/>
  <c r="I65" i="40"/>
  <c r="J65" i="40"/>
  <c r="K65" i="40"/>
  <c r="L65" i="40"/>
  <c r="M65" i="40"/>
  <c r="N65" i="40"/>
  <c r="O65" i="40"/>
  <c r="O67" i="40" s="1"/>
  <c r="Q65" i="40"/>
  <c r="Q67" i="40" s="1"/>
  <c r="R65" i="40"/>
  <c r="S65" i="40"/>
  <c r="F67" i="40"/>
  <c r="I67" i="40"/>
  <c r="J67" i="40"/>
  <c r="M67" i="40"/>
  <c r="N67" i="40"/>
  <c r="R67" i="40"/>
  <c r="S67" i="40"/>
  <c r="D29" i="10" l="1"/>
  <c r="T67" i="40"/>
  <c r="U67" i="40"/>
  <c r="A39" i="40"/>
  <c r="A40" i="40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71" i="40" s="1"/>
  <c r="K23" i="10" l="1"/>
  <c r="D24" i="12"/>
  <c r="I10" i="31"/>
  <c r="C10" i="31" l="1"/>
  <c r="H10" i="31"/>
  <c r="J29" i="31"/>
  <c r="I29" i="31"/>
  <c r="H29" i="31"/>
  <c r="L29" i="31"/>
  <c r="D29" i="31"/>
  <c r="C25" i="31"/>
  <c r="F29" i="31"/>
  <c r="G10" i="31"/>
  <c r="F10" i="31"/>
  <c r="F19" i="31"/>
  <c r="G25" i="31"/>
  <c r="G19" i="31"/>
  <c r="C29" i="31"/>
  <c r="F25" i="31"/>
  <c r="L25" i="31"/>
  <c r="D25" i="31"/>
  <c r="J25" i="31"/>
  <c r="H25" i="31"/>
  <c r="E10" i="31"/>
  <c r="G29" i="31"/>
  <c r="E29" i="31"/>
  <c r="I19" i="31"/>
  <c r="L10" i="31"/>
  <c r="D10" i="31"/>
  <c r="J10" i="31"/>
  <c r="I25" i="31"/>
  <c r="E25" i="31"/>
  <c r="E19" i="31"/>
  <c r="L19" i="31"/>
  <c r="D19" i="31"/>
  <c r="J19" i="31"/>
  <c r="H19" i="31"/>
  <c r="G37" i="31" l="1"/>
  <c r="G41" i="31" s="1"/>
  <c r="L37" i="31"/>
  <c r="L41" i="31" s="1"/>
  <c r="D37" i="31"/>
  <c r="D41" i="31" s="1"/>
  <c r="I37" i="31"/>
  <c r="I41" i="31" s="1"/>
  <c r="F37" i="31"/>
  <c r="F41" i="31" s="1"/>
  <c r="J37" i="31"/>
  <c r="J41" i="31" s="1"/>
  <c r="E37" i="31"/>
  <c r="E41" i="31" s="1"/>
  <c r="H37" i="31"/>
  <c r="H41" i="31" s="1"/>
  <c r="S39" i="31" l="1"/>
  <c r="F16" i="37" l="1"/>
  <c r="C28" i="37"/>
  <c r="G37" i="10" l="1"/>
  <c r="I37" i="10" l="1"/>
  <c r="G33" i="10"/>
  <c r="E28" i="37"/>
  <c r="D28" i="37"/>
  <c r="F27" i="37"/>
  <c r="F26" i="37"/>
  <c r="F25" i="37"/>
  <c r="F24" i="37"/>
  <c r="F23" i="37"/>
  <c r="F22" i="37"/>
  <c r="F21" i="37"/>
  <c r="F20" i="37"/>
  <c r="F19" i="37"/>
  <c r="F18" i="37"/>
  <c r="F17" i="37"/>
  <c r="A8" i="37"/>
  <c r="A9" i="37" s="1"/>
  <c r="A10" i="37" s="1"/>
  <c r="F28" i="37" l="1"/>
  <c r="C8" i="37" s="1"/>
  <c r="B170" i="34" l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83" i="34" s="1"/>
  <c r="B166" i="34"/>
  <c r="B167" i="34" s="1"/>
  <c r="B156" i="34"/>
  <c r="B157" i="34" s="1"/>
  <c r="B158" i="34" s="1"/>
  <c r="B159" i="34" s="1"/>
  <c r="B149" i="34"/>
  <c r="B161" i="34" s="1"/>
  <c r="B162" i="34" s="1"/>
  <c r="B163" i="34" s="1"/>
  <c r="B164" i="34" s="1"/>
  <c r="B129" i="34"/>
  <c r="B130" i="34" s="1"/>
  <c r="B131" i="34" s="1"/>
  <c r="B132" i="34" s="1"/>
  <c r="B133" i="34" s="1"/>
  <c r="B135" i="34" s="1"/>
  <c r="B108" i="34"/>
  <c r="B109" i="34" s="1"/>
  <c r="B110" i="34" s="1"/>
  <c r="B111" i="34" s="1"/>
  <c r="B112" i="34" s="1"/>
  <c r="B113" i="34" s="1"/>
  <c r="B114" i="34" s="1"/>
  <c r="B115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80" i="34"/>
  <c r="B81" i="34" s="1"/>
  <c r="B82" i="34" s="1"/>
  <c r="B83" i="34" s="1"/>
  <c r="B84" i="34" s="1"/>
  <c r="B85" i="34" s="1"/>
  <c r="B86" i="34" s="1"/>
  <c r="B87" i="34" s="1"/>
  <c r="B89" i="34" s="1"/>
  <c r="B90" i="34" s="1"/>
  <c r="B91" i="34" s="1"/>
  <c r="B92" i="34" s="1"/>
  <c r="B93" i="34" s="1"/>
  <c r="B94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53" i="34"/>
  <c r="B54" i="34" s="1"/>
  <c r="B55" i="34" s="1"/>
  <c r="B56" i="34" s="1"/>
  <c r="B57" i="34" s="1"/>
  <c r="B58" i="34" s="1"/>
  <c r="B59" i="34" s="1"/>
  <c r="B60" i="34" s="1"/>
  <c r="B62" i="34" s="1"/>
  <c r="B63" i="34" s="1"/>
  <c r="B64" i="34" s="1"/>
  <c r="B65" i="34" s="1"/>
  <c r="B66" i="34" s="1"/>
  <c r="B68" i="34" s="1"/>
  <c r="B69" i="34" s="1"/>
  <c r="B70" i="34" s="1"/>
  <c r="B71" i="34" s="1"/>
  <c r="B72" i="34" s="1"/>
  <c r="B73" i="34" s="1"/>
  <c r="B74" i="34" s="1"/>
  <c r="B75" i="34" s="1"/>
  <c r="B76" i="34" s="1"/>
  <c r="C47" i="34"/>
  <c r="C48" i="34" s="1"/>
  <c r="C49" i="34" s="1"/>
  <c r="B35" i="34"/>
  <c r="B36" i="34" s="1"/>
  <c r="B37" i="34" s="1"/>
  <c r="B38" i="34" s="1"/>
  <c r="B17" i="34"/>
  <c r="B18" i="34" s="1"/>
  <c r="B19" i="34" s="1"/>
  <c r="C13" i="34"/>
  <c r="C14" i="34" s="1"/>
  <c r="C16" i="34" s="1"/>
  <c r="C17" i="34" s="1"/>
  <c r="C18" i="34" s="1"/>
  <c r="C19" i="34" s="1"/>
  <c r="B13" i="34"/>
  <c r="B14" i="34" s="1"/>
  <c r="A10" i="34"/>
  <c r="A11" i="34" s="1"/>
  <c r="A12" i="34" s="1"/>
  <c r="A13" i="34" s="1"/>
  <c r="A14" i="34" s="1"/>
  <c r="A15" i="34" l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B43" i="34"/>
  <c r="B39" i="34"/>
  <c r="B150" i="34"/>
  <c r="B151" i="34" s="1"/>
  <c r="B152" i="34" s="1"/>
  <c r="B153" i="34" s="1"/>
  <c r="A31" i="34" l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B44" i="34"/>
  <c r="B40" i="34"/>
  <c r="A169" i="34" l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B45" i="34"/>
  <c r="B41" i="34"/>
  <c r="B46" i="34" s="1"/>
  <c r="B47" i="34" s="1"/>
  <c r="B48" i="34" s="1"/>
  <c r="B49" i="34" s="1"/>
  <c r="D21" i="10" l="1"/>
  <c r="D10" i="10"/>
  <c r="D16" i="10" l="1"/>
  <c r="D31" i="10" s="1"/>
  <c r="D35" i="10" s="1"/>
  <c r="E9" i="10" s="1"/>
  <c r="E27" i="10" l="1"/>
  <c r="E20" i="10" l="1"/>
  <c r="E15" i="10"/>
  <c r="E23" i="10"/>
  <c r="E13" i="10"/>
  <c r="E29" i="10"/>
  <c r="E10" i="10"/>
  <c r="E33" i="10"/>
  <c r="E25" i="10"/>
  <c r="E19" i="10"/>
  <c r="E14" i="10"/>
  <c r="E16" i="10"/>
  <c r="E21" i="10"/>
  <c r="E31" i="10"/>
  <c r="C19" i="31" l="1"/>
  <c r="C37" i="31" s="1"/>
  <c r="C41" i="31" l="1"/>
  <c r="G9" i="10" l="1"/>
  <c r="H33" i="10" l="1"/>
  <c r="I33" i="10" s="1"/>
  <c r="H23" i="10"/>
  <c r="H14" i="10"/>
  <c r="H27" i="10"/>
  <c r="H25" i="10"/>
  <c r="H15" i="10"/>
  <c r="H29" i="10"/>
  <c r="E7" i="37" s="1"/>
  <c r="E9" i="37" s="1"/>
  <c r="H20" i="10"/>
  <c r="H13" i="10"/>
  <c r="H19" i="10"/>
  <c r="H9" i="10"/>
  <c r="D33" i="12"/>
  <c r="D31" i="12"/>
  <c r="D28" i="12"/>
  <c r="D27" i="12"/>
  <c r="D21" i="12"/>
  <c r="D20" i="12"/>
  <c r="D19" i="12"/>
  <c r="D15" i="12"/>
  <c r="D14" i="12"/>
  <c r="D13" i="12"/>
  <c r="D12" i="12"/>
  <c r="D8" i="12"/>
  <c r="K33" i="10"/>
  <c r="K29" i="10"/>
  <c r="K27" i="10"/>
  <c r="K25" i="10"/>
  <c r="K20" i="10"/>
  <c r="K19" i="10"/>
  <c r="K15" i="10"/>
  <c r="K14" i="10"/>
  <c r="K13" i="10"/>
  <c r="K9" i="10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F28" i="12"/>
  <c r="F20" i="12"/>
  <c r="A27" i="31" l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K6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K21" i="10" l="1"/>
  <c r="D22" i="12"/>
  <c r="F22" i="12"/>
  <c r="K16" i="10" l="1"/>
  <c r="D16" i="12"/>
  <c r="F16" i="12"/>
  <c r="K10" i="10" l="1"/>
  <c r="D9" i="12"/>
  <c r="D35" i="12" s="1"/>
  <c r="K31" i="10" l="1"/>
  <c r="K35" i="10" l="1"/>
  <c r="G29" i="10" l="1"/>
  <c r="D7" i="37" s="1"/>
  <c r="C7" i="37" s="1"/>
  <c r="G25" i="10"/>
  <c r="G19" i="10"/>
  <c r="G15" i="10"/>
  <c r="G13" i="10"/>
  <c r="G23" i="10"/>
  <c r="G27" i="10"/>
  <c r="G20" i="10"/>
  <c r="G14" i="10"/>
  <c r="D9" i="37" l="1"/>
  <c r="C9" i="37" s="1"/>
  <c r="I27" i="10"/>
  <c r="I196" i="34"/>
  <c r="E35" i="10"/>
  <c r="N25" i="10"/>
  <c r="N14" i="10"/>
  <c r="N20" i="10"/>
  <c r="N23" i="10"/>
  <c r="N15" i="10"/>
  <c r="J196" i="34" l="1"/>
  <c r="N13" i="10"/>
  <c r="H16" i="10"/>
  <c r="N16" i="10" s="1"/>
  <c r="H21" i="10"/>
  <c r="N21" i="10" s="1"/>
  <c r="N19" i="10"/>
  <c r="N9" i="10"/>
  <c r="H10" i="10"/>
  <c r="M27" i="10"/>
  <c r="N29" i="10"/>
  <c r="M15" i="10"/>
  <c r="O15" i="10" s="1"/>
  <c r="I15" i="10"/>
  <c r="I13" i="10"/>
  <c r="G16" i="10"/>
  <c r="M16" i="10" s="1"/>
  <c r="M13" i="10"/>
  <c r="I19" i="10"/>
  <c r="G21" i="10"/>
  <c r="M21" i="10" s="1"/>
  <c r="M19" i="10"/>
  <c r="I9" i="10"/>
  <c r="I10" i="10" s="1"/>
  <c r="G10" i="10"/>
  <c r="M9" i="10"/>
  <c r="M23" i="10"/>
  <c r="O23" i="10" s="1"/>
  <c r="I23" i="10"/>
  <c r="I20" i="10"/>
  <c r="M20" i="10"/>
  <c r="O20" i="10" s="1"/>
  <c r="I14" i="10"/>
  <c r="M14" i="10"/>
  <c r="O14" i="10" s="1"/>
  <c r="N27" i="10"/>
  <c r="I29" i="10"/>
  <c r="M29" i="10"/>
  <c r="I25" i="10"/>
  <c r="M25" i="10"/>
  <c r="O25" i="10" s="1"/>
  <c r="K196" i="34" l="1"/>
  <c r="O29" i="10"/>
  <c r="O19" i="10"/>
  <c r="O16" i="10"/>
  <c r="Q25" i="10"/>
  <c r="G27" i="12"/>
  <c r="Q23" i="10"/>
  <c r="G24" i="12"/>
  <c r="I21" i="10"/>
  <c r="O27" i="10"/>
  <c r="Q14" i="10"/>
  <c r="G13" i="12"/>
  <c r="G21" i="12"/>
  <c r="Q20" i="10"/>
  <c r="O9" i="10"/>
  <c r="O21" i="10"/>
  <c r="O13" i="10"/>
  <c r="I16" i="10"/>
  <c r="G14" i="12"/>
  <c r="Q15" i="10"/>
  <c r="N10" i="10"/>
  <c r="H31" i="10"/>
  <c r="M10" i="10"/>
  <c r="G31" i="10"/>
  <c r="Q19" i="10" l="1"/>
  <c r="Q21" i="10" s="1"/>
  <c r="Q29" i="10"/>
  <c r="Q9" i="10"/>
  <c r="Q10" i="10" s="1"/>
  <c r="G33" i="12"/>
  <c r="Q27" i="10"/>
  <c r="G31" i="12"/>
  <c r="H24" i="12"/>
  <c r="H21" i="12"/>
  <c r="H14" i="12"/>
  <c r="O10" i="10"/>
  <c r="G19" i="12"/>
  <c r="I31" i="10"/>
  <c r="I35" i="10" s="1"/>
  <c r="M31" i="10"/>
  <c r="G35" i="10"/>
  <c r="M35" i="10" s="1"/>
  <c r="N31" i="10"/>
  <c r="H35" i="10"/>
  <c r="N35" i="10" s="1"/>
  <c r="G8" i="12"/>
  <c r="Q13" i="10"/>
  <c r="Q16" i="10" s="1"/>
  <c r="G12" i="12"/>
  <c r="H13" i="12"/>
  <c r="G15" i="12"/>
  <c r="G28" i="12"/>
  <c r="H27" i="12"/>
  <c r="F31" i="27" l="1"/>
  <c r="F41" i="27"/>
  <c r="F47" i="27" s="1"/>
  <c r="F60" i="27" s="1"/>
  <c r="F37" i="27"/>
  <c r="F59" i="27" s="1"/>
  <c r="H33" i="12"/>
  <c r="H28" i="12"/>
  <c r="H15" i="12"/>
  <c r="H19" i="12"/>
  <c r="G20" i="12"/>
  <c r="Q31" i="10"/>
  <c r="Q35" i="10" s="1"/>
  <c r="O31" i="10"/>
  <c r="G29" i="12"/>
  <c r="G16" i="12"/>
  <c r="H12" i="12"/>
  <c r="H8" i="12"/>
  <c r="G9" i="12"/>
  <c r="O35" i="10"/>
  <c r="I22" i="27" l="1"/>
  <c r="I16" i="27"/>
  <c r="I8" i="27"/>
  <c r="I17" i="27"/>
  <c r="I18" i="27"/>
  <c r="I10" i="27"/>
  <c r="I12" i="27"/>
  <c r="I15" i="27"/>
  <c r="I9" i="27"/>
  <c r="I7" i="27"/>
  <c r="I13" i="27"/>
  <c r="I14" i="27"/>
  <c r="I11" i="27"/>
  <c r="J18" i="27"/>
  <c r="J17" i="27"/>
  <c r="J11" i="27"/>
  <c r="J22" i="27"/>
  <c r="J16" i="27"/>
  <c r="J15" i="27"/>
  <c r="J12" i="27"/>
  <c r="J9" i="27"/>
  <c r="J7" i="27"/>
  <c r="J8" i="27"/>
  <c r="J13" i="27"/>
  <c r="J10" i="27"/>
  <c r="J14" i="27"/>
  <c r="H29" i="12"/>
  <c r="H20" i="12"/>
  <c r="G22" i="12"/>
  <c r="G35" i="12" s="1"/>
  <c r="H9" i="12"/>
  <c r="H16" i="12"/>
  <c r="K13" i="27" l="1"/>
  <c r="L13" i="27" s="1"/>
  <c r="K11" i="27"/>
  <c r="L11" i="27" s="1"/>
  <c r="K10" i="27"/>
  <c r="L10" i="27" s="1"/>
  <c r="K17" i="27"/>
  <c r="L17" i="27" s="1"/>
  <c r="K8" i="27"/>
  <c r="L8" i="27" s="1"/>
  <c r="K18" i="27"/>
  <c r="L18" i="27" s="1"/>
  <c r="K14" i="27"/>
  <c r="L14" i="27" s="1"/>
  <c r="I20" i="27"/>
  <c r="K7" i="27"/>
  <c r="K16" i="27"/>
  <c r="L16" i="27" s="1"/>
  <c r="K9" i="27"/>
  <c r="L9" i="27" s="1"/>
  <c r="K22" i="27"/>
  <c r="L22" i="27" s="1"/>
  <c r="K15" i="27"/>
  <c r="L15" i="27" s="1"/>
  <c r="J20" i="27"/>
  <c r="K12" i="27"/>
  <c r="L12" i="27" s="1"/>
  <c r="H22" i="12"/>
  <c r="L7" i="27" l="1"/>
  <c r="K20" i="27"/>
  <c r="L20" i="27" s="1"/>
  <c r="H31" i="12"/>
  <c r="H35" i="12" s="1"/>
  <c r="H195" i="34" l="1"/>
  <c r="H197" i="34" s="1"/>
  <c r="S14" i="31" l="1"/>
  <c r="S16" i="31"/>
  <c r="S12" i="31" l="1"/>
  <c r="S21" i="31"/>
  <c r="S35" i="31" l="1"/>
  <c r="S33" i="31" l="1"/>
  <c r="E33" i="12"/>
  <c r="E24" i="12"/>
  <c r="I33" i="12" l="1"/>
  <c r="I24" i="12"/>
  <c r="S28" i="31" l="1"/>
  <c r="E28" i="12"/>
  <c r="S24" i="31"/>
  <c r="E21" i="12"/>
  <c r="S18" i="31"/>
  <c r="E15" i="12"/>
  <c r="S9" i="31"/>
  <c r="S23" i="31"/>
  <c r="E20" i="12"/>
  <c r="S8" i="31"/>
  <c r="I15" i="12" l="1"/>
  <c r="S31" i="31"/>
  <c r="E31" i="12"/>
  <c r="I21" i="12"/>
  <c r="I20" i="12"/>
  <c r="K10" i="31"/>
  <c r="S10" i="31"/>
  <c r="I28" i="12"/>
  <c r="K29" i="31"/>
  <c r="S27" i="31"/>
  <c r="S29" i="31" s="1"/>
  <c r="I31" i="12" l="1"/>
  <c r="S22" i="31"/>
  <c r="S25" i="31" s="1"/>
  <c r="K25" i="31"/>
  <c r="T29" i="31" l="1"/>
  <c r="E27" i="12"/>
  <c r="T10" i="31"/>
  <c r="E8" i="12"/>
  <c r="S15" i="31" l="1"/>
  <c r="E13" i="12"/>
  <c r="E9" i="12"/>
  <c r="I8" i="12"/>
  <c r="E29" i="12"/>
  <c r="I29" i="12" s="1"/>
  <c r="I27" i="12"/>
  <c r="E19" i="12"/>
  <c r="T25" i="31"/>
  <c r="I13" i="12" l="1"/>
  <c r="E22" i="12"/>
  <c r="I22" i="12" s="1"/>
  <c r="I19" i="12"/>
  <c r="I9" i="12"/>
  <c r="S17" i="31"/>
  <c r="E14" i="12"/>
  <c r="I14" i="12" l="1"/>
  <c r="S13" i="31"/>
  <c r="S19" i="31" s="1"/>
  <c r="S37" i="31" s="1"/>
  <c r="S41" i="31" s="1"/>
  <c r="K19" i="31"/>
  <c r="K37" i="31" s="1"/>
  <c r="K41" i="31" s="1"/>
  <c r="T19" i="31" l="1"/>
  <c r="E12" i="12"/>
  <c r="E16" i="12" l="1"/>
  <c r="I12" i="12"/>
  <c r="I16" i="12" l="1"/>
  <c r="E35" i="12"/>
  <c r="I35" i="12" s="1"/>
  <c r="J186" i="34" l="1"/>
  <c r="I186" i="34" l="1"/>
  <c r="K186" i="34" s="1"/>
  <c r="J94" i="34" l="1"/>
  <c r="J96" i="34"/>
  <c r="J183" i="34"/>
  <c r="J139" i="34"/>
  <c r="J87" i="34"/>
  <c r="J36" i="34"/>
  <c r="J17" i="34"/>
  <c r="J158" i="34"/>
  <c r="J66" i="34"/>
  <c r="J118" i="34"/>
  <c r="J84" i="34"/>
  <c r="J81" i="34"/>
  <c r="J117" i="34"/>
  <c r="J12" i="34"/>
  <c r="J85" i="34"/>
  <c r="J82" i="34"/>
  <c r="J180" i="34"/>
  <c r="J91" i="34"/>
  <c r="J178" i="34"/>
  <c r="J60" i="34"/>
  <c r="J49" i="34"/>
  <c r="J173" i="34"/>
  <c r="J56" i="34"/>
  <c r="J37" i="34"/>
  <c r="J144" i="34"/>
  <c r="J23" i="34"/>
  <c r="J52" i="34"/>
  <c r="J29" i="34"/>
  <c r="J149" i="34"/>
  <c r="J172" i="34"/>
  <c r="J110" i="34"/>
  <c r="J69" i="34"/>
  <c r="J138" i="34"/>
  <c r="J54" i="34"/>
  <c r="J148" i="34"/>
  <c r="J16" i="34"/>
  <c r="J175" i="34"/>
  <c r="J143" i="34"/>
  <c r="J142" i="34"/>
  <c r="J128" i="34"/>
  <c r="J104" i="34"/>
  <c r="J25" i="34"/>
  <c r="J14" i="34"/>
  <c r="J46" i="34"/>
  <c r="J57" i="34"/>
  <c r="J152" i="34"/>
  <c r="J131" i="34"/>
  <c r="J55" i="34"/>
  <c r="J63" i="34"/>
  <c r="J83" i="34"/>
  <c r="J121" i="34"/>
  <c r="J176" i="34"/>
  <c r="J170" i="34"/>
  <c r="J112" i="34"/>
  <c r="J44" i="34"/>
  <c r="J26" i="34"/>
  <c r="J133" i="34"/>
  <c r="J119" i="34"/>
  <c r="J157" i="34"/>
  <c r="J58" i="34"/>
  <c r="J71" i="34"/>
  <c r="J41" i="34"/>
  <c r="J159" i="34"/>
  <c r="J155" i="34"/>
  <c r="J86" i="34"/>
  <c r="J109" i="34"/>
  <c r="J135" i="34"/>
  <c r="J123" i="34"/>
  <c r="J130" i="34"/>
  <c r="J124" i="34"/>
  <c r="J73" i="34"/>
  <c r="J181" i="34"/>
  <c r="J92" i="34"/>
  <c r="J167" i="34"/>
  <c r="J102" i="34"/>
  <c r="J27" i="34"/>
  <c r="J171" i="34"/>
  <c r="J169" i="34"/>
  <c r="J151" i="34"/>
  <c r="J113" i="34"/>
  <c r="J161" i="34"/>
  <c r="J122" i="34"/>
  <c r="J28" i="34"/>
  <c r="J99" i="34"/>
  <c r="J145" i="34"/>
  <c r="J89" i="34"/>
  <c r="J53" i="34"/>
  <c r="J38" i="34"/>
  <c r="J79" i="34"/>
  <c r="J93" i="34"/>
  <c r="J190" i="34"/>
  <c r="J70" i="34"/>
  <c r="J140" i="34"/>
  <c r="J68" i="34"/>
  <c r="J30" i="34"/>
  <c r="J114" i="34"/>
  <c r="J35" i="34"/>
  <c r="J107" i="34"/>
  <c r="J108" i="34"/>
  <c r="J177" i="34"/>
  <c r="J150" i="34"/>
  <c r="J101" i="34"/>
  <c r="J76" i="34"/>
  <c r="J40" i="34"/>
  <c r="J24" i="34"/>
  <c r="J103" i="34"/>
  <c r="J65" i="34"/>
  <c r="J179" i="34"/>
  <c r="J90" i="34"/>
  <c r="J166" i="34"/>
  <c r="J182" i="34"/>
  <c r="J64" i="34"/>
  <c r="J164" i="34"/>
  <c r="J100" i="34"/>
  <c r="J163" i="34"/>
  <c r="J18" i="34"/>
  <c r="J39" i="34"/>
  <c r="J98" i="34"/>
  <c r="J156" i="34"/>
  <c r="J22" i="34"/>
  <c r="J189" i="34"/>
  <c r="J13" i="34"/>
  <c r="J97" i="34"/>
  <c r="J125" i="34"/>
  <c r="J132" i="34"/>
  <c r="J120" i="34"/>
  <c r="J62" i="34"/>
  <c r="J74" i="34"/>
  <c r="J72" i="34"/>
  <c r="J111" i="34"/>
  <c r="J34" i="34"/>
  <c r="J137" i="34"/>
  <c r="J47" i="34"/>
  <c r="J141" i="34"/>
  <c r="J59" i="34"/>
  <c r="J153" i="34"/>
  <c r="J75" i="34"/>
  <c r="J80" i="34"/>
  <c r="J162" i="34"/>
  <c r="J174" i="34"/>
  <c r="J43" i="34"/>
  <c r="J48" i="34"/>
  <c r="J45" i="34"/>
  <c r="J129" i="34"/>
  <c r="J19" i="34"/>
  <c r="J115" i="34"/>
  <c r="J10" i="34"/>
  <c r="I129" i="34" l="1"/>
  <c r="K129" i="34" s="1"/>
  <c r="I80" i="34"/>
  <c r="K80" i="34" s="1"/>
  <c r="I137" i="34"/>
  <c r="K137" i="34" s="1"/>
  <c r="I120" i="34"/>
  <c r="K120" i="34" s="1"/>
  <c r="I22" i="34"/>
  <c r="K22" i="34" s="1"/>
  <c r="I100" i="34"/>
  <c r="K100" i="34" s="1"/>
  <c r="I179" i="34"/>
  <c r="K179" i="34" s="1"/>
  <c r="I101" i="34"/>
  <c r="K101" i="34" s="1"/>
  <c r="I114" i="34"/>
  <c r="K114" i="34" s="1"/>
  <c r="I93" i="34"/>
  <c r="K93" i="34" s="1"/>
  <c r="I99" i="34"/>
  <c r="K99" i="34" s="1"/>
  <c r="I169" i="34"/>
  <c r="K169" i="34" s="1"/>
  <c r="I181" i="34"/>
  <c r="K181" i="34" s="1"/>
  <c r="I109" i="34"/>
  <c r="K109" i="34" s="1"/>
  <c r="I58" i="34"/>
  <c r="K58" i="34" s="1"/>
  <c r="I112" i="34"/>
  <c r="K112" i="34" s="1"/>
  <c r="I55" i="34"/>
  <c r="K55" i="34" s="1"/>
  <c r="I25" i="34"/>
  <c r="K25" i="34" s="1"/>
  <c r="I16" i="34"/>
  <c r="K16" i="34" s="1"/>
  <c r="I172" i="34"/>
  <c r="K172" i="34" s="1"/>
  <c r="I37" i="34"/>
  <c r="K37" i="34" s="1"/>
  <c r="I91" i="34"/>
  <c r="K91" i="34" s="1"/>
  <c r="I81" i="34"/>
  <c r="K81" i="34" s="1"/>
  <c r="I36" i="34"/>
  <c r="K36" i="34" s="1"/>
  <c r="I45" i="34"/>
  <c r="K45" i="34" s="1"/>
  <c r="I75" i="34"/>
  <c r="K75" i="34" s="1"/>
  <c r="I34" i="34"/>
  <c r="K34" i="34" s="1"/>
  <c r="I132" i="34"/>
  <c r="K132" i="34" s="1"/>
  <c r="I156" i="34"/>
  <c r="K156" i="34" s="1"/>
  <c r="I164" i="34"/>
  <c r="K164" i="34" s="1"/>
  <c r="I65" i="34"/>
  <c r="K65" i="34" s="1"/>
  <c r="I150" i="34"/>
  <c r="K150" i="34" s="1"/>
  <c r="K30" i="34"/>
  <c r="I79" i="34"/>
  <c r="K79" i="34" s="1"/>
  <c r="I28" i="34"/>
  <c r="K28" i="34" s="1"/>
  <c r="I171" i="34"/>
  <c r="K171" i="34" s="1"/>
  <c r="I73" i="34"/>
  <c r="K73" i="34" s="1"/>
  <c r="I86" i="34"/>
  <c r="K86" i="34" s="1"/>
  <c r="I157" i="34"/>
  <c r="K157" i="34" s="1"/>
  <c r="I170" i="34"/>
  <c r="K170" i="34" s="1"/>
  <c r="I131" i="34"/>
  <c r="K131" i="34" s="1"/>
  <c r="I104" i="34"/>
  <c r="K104" i="34" s="1"/>
  <c r="I148" i="34"/>
  <c r="K148" i="34" s="1"/>
  <c r="I149" i="34"/>
  <c r="K149" i="34" s="1"/>
  <c r="I56" i="34"/>
  <c r="K56" i="34" s="1"/>
  <c r="I180" i="34"/>
  <c r="K180" i="34" s="1"/>
  <c r="I84" i="34"/>
  <c r="K84" i="34" s="1"/>
  <c r="I87" i="34"/>
  <c r="K87" i="34" s="1"/>
  <c r="J193" i="34"/>
  <c r="I48" i="34"/>
  <c r="K48" i="34" s="1"/>
  <c r="I153" i="34"/>
  <c r="K153" i="34" s="1"/>
  <c r="I111" i="34"/>
  <c r="K111" i="34" s="1"/>
  <c r="I125" i="34"/>
  <c r="K125" i="34" s="1"/>
  <c r="I98" i="34"/>
  <c r="K98" i="34" s="1"/>
  <c r="I64" i="34"/>
  <c r="K64" i="34" s="1"/>
  <c r="I103" i="34"/>
  <c r="K103" i="34" s="1"/>
  <c r="I177" i="34"/>
  <c r="K177" i="34" s="1"/>
  <c r="I68" i="34"/>
  <c r="K68" i="34" s="1"/>
  <c r="I38" i="34"/>
  <c r="K38" i="34" s="1"/>
  <c r="I122" i="34"/>
  <c r="K122" i="34" s="1"/>
  <c r="I27" i="34"/>
  <c r="K27" i="34" s="1"/>
  <c r="I124" i="34"/>
  <c r="K124" i="34" s="1"/>
  <c r="I155" i="34"/>
  <c r="K155" i="34" s="1"/>
  <c r="I119" i="34"/>
  <c r="K119" i="34" s="1"/>
  <c r="I176" i="34"/>
  <c r="K176" i="34" s="1"/>
  <c r="I152" i="34"/>
  <c r="K152" i="34" s="1"/>
  <c r="I128" i="34"/>
  <c r="K128" i="34" s="1"/>
  <c r="I54" i="34"/>
  <c r="K54" i="34" s="1"/>
  <c r="I29" i="34"/>
  <c r="K29" i="34" s="1"/>
  <c r="I173" i="34"/>
  <c r="K173" i="34" s="1"/>
  <c r="I82" i="34"/>
  <c r="K82" i="34" s="1"/>
  <c r="I118" i="34"/>
  <c r="K118" i="34" s="1"/>
  <c r="I139" i="34"/>
  <c r="K139" i="34" s="1"/>
  <c r="I10" i="34"/>
  <c r="I43" i="34"/>
  <c r="K43" i="34" s="1"/>
  <c r="I59" i="34"/>
  <c r="K59" i="34" s="1"/>
  <c r="I72" i="34"/>
  <c r="K72" i="34" s="1"/>
  <c r="I97" i="34"/>
  <c r="K97" i="34" s="1"/>
  <c r="I39" i="34"/>
  <c r="K39" i="34" s="1"/>
  <c r="I182" i="34"/>
  <c r="K182" i="34" s="1"/>
  <c r="I24" i="34"/>
  <c r="K24" i="34" s="1"/>
  <c r="I108" i="34"/>
  <c r="K108" i="34" s="1"/>
  <c r="I140" i="34"/>
  <c r="K140" i="34" s="1"/>
  <c r="I53" i="34"/>
  <c r="K53" i="34" s="1"/>
  <c r="I161" i="34"/>
  <c r="K161" i="34" s="1"/>
  <c r="I102" i="34"/>
  <c r="K102" i="34" s="1"/>
  <c r="I130" i="34"/>
  <c r="K130" i="34" s="1"/>
  <c r="I159" i="34"/>
  <c r="K159" i="34" s="1"/>
  <c r="I133" i="34"/>
  <c r="K133" i="34" s="1"/>
  <c r="I121" i="34"/>
  <c r="K121" i="34" s="1"/>
  <c r="I57" i="34"/>
  <c r="K57" i="34" s="1"/>
  <c r="I142" i="34"/>
  <c r="K142" i="34" s="1"/>
  <c r="I138" i="34"/>
  <c r="K138" i="34" s="1"/>
  <c r="I52" i="34"/>
  <c r="K52" i="34" s="1"/>
  <c r="I49" i="34"/>
  <c r="K49" i="34" s="1"/>
  <c r="I85" i="34"/>
  <c r="K85" i="34" s="1"/>
  <c r="I66" i="34"/>
  <c r="K66" i="34" s="1"/>
  <c r="I183" i="34"/>
  <c r="K183" i="34" s="1"/>
  <c r="I115" i="34"/>
  <c r="K115" i="34" s="1"/>
  <c r="I174" i="34"/>
  <c r="K174" i="34" s="1"/>
  <c r="I141" i="34"/>
  <c r="K141" i="34" s="1"/>
  <c r="I74" i="34"/>
  <c r="K74" i="34" s="1"/>
  <c r="I13" i="34"/>
  <c r="K13" i="34" s="1"/>
  <c r="I18" i="34"/>
  <c r="K18" i="34" s="1"/>
  <c r="I166" i="34"/>
  <c r="K166" i="34" s="1"/>
  <c r="I40" i="34"/>
  <c r="K40" i="34" s="1"/>
  <c r="I107" i="34"/>
  <c r="K107" i="34" s="1"/>
  <c r="I70" i="34"/>
  <c r="K70" i="34" s="1"/>
  <c r="I89" i="34"/>
  <c r="K89" i="34" s="1"/>
  <c r="I113" i="34"/>
  <c r="K113" i="34" s="1"/>
  <c r="I167" i="34"/>
  <c r="K167" i="34" s="1"/>
  <c r="I123" i="34"/>
  <c r="K123" i="34" s="1"/>
  <c r="I41" i="34"/>
  <c r="K41" i="34" s="1"/>
  <c r="I26" i="34"/>
  <c r="K26" i="34" s="1"/>
  <c r="I83" i="34"/>
  <c r="K83" i="34" s="1"/>
  <c r="I46" i="34"/>
  <c r="K46" i="34" s="1"/>
  <c r="I143" i="34"/>
  <c r="K143" i="34" s="1"/>
  <c r="I69" i="34"/>
  <c r="K69" i="34" s="1"/>
  <c r="I23" i="34"/>
  <c r="K23" i="34" s="1"/>
  <c r="I60" i="34"/>
  <c r="K60" i="34" s="1"/>
  <c r="I12" i="34"/>
  <c r="K12" i="34" s="1"/>
  <c r="I158" i="34"/>
  <c r="K158" i="34" s="1"/>
  <c r="I96" i="34"/>
  <c r="K96" i="34" s="1"/>
  <c r="J192" i="34"/>
  <c r="J195" i="34" s="1"/>
  <c r="J197" i="34" s="1"/>
  <c r="I19" i="34"/>
  <c r="K19" i="34" s="1"/>
  <c r="I162" i="34"/>
  <c r="K162" i="34" s="1"/>
  <c r="I47" i="34"/>
  <c r="K47" i="34" s="1"/>
  <c r="I62" i="34"/>
  <c r="K62" i="34" s="1"/>
  <c r="I189" i="34"/>
  <c r="K189" i="34" s="1"/>
  <c r="I163" i="34"/>
  <c r="K163" i="34" s="1"/>
  <c r="I90" i="34"/>
  <c r="K90" i="34" s="1"/>
  <c r="I76" i="34"/>
  <c r="K76" i="34" s="1"/>
  <c r="I35" i="34"/>
  <c r="K35" i="34" s="1"/>
  <c r="I190" i="34"/>
  <c r="K190" i="34" s="1"/>
  <c r="I145" i="34"/>
  <c r="K145" i="34" s="1"/>
  <c r="I151" i="34"/>
  <c r="K151" i="34" s="1"/>
  <c r="I92" i="34"/>
  <c r="K92" i="34" s="1"/>
  <c r="I135" i="34"/>
  <c r="K135" i="34" s="1"/>
  <c r="I71" i="34"/>
  <c r="K71" i="34" s="1"/>
  <c r="I44" i="34"/>
  <c r="K44" i="34" s="1"/>
  <c r="I63" i="34"/>
  <c r="K63" i="34" s="1"/>
  <c r="I14" i="34"/>
  <c r="K14" i="34" s="1"/>
  <c r="I175" i="34"/>
  <c r="K175" i="34" s="1"/>
  <c r="I110" i="34"/>
  <c r="K110" i="34" s="1"/>
  <c r="I144" i="34"/>
  <c r="K144" i="34" s="1"/>
  <c r="I178" i="34"/>
  <c r="K178" i="34" s="1"/>
  <c r="I117" i="34"/>
  <c r="K117" i="34" s="1"/>
  <c r="I17" i="34"/>
  <c r="K17" i="34" s="1"/>
  <c r="I94" i="34"/>
  <c r="K94" i="34" s="1"/>
  <c r="I192" i="34" l="1"/>
  <c r="K192" i="34" s="1"/>
  <c r="K10" i="34"/>
  <c r="I193" i="34"/>
  <c r="K193" i="34" s="1"/>
  <c r="I195" i="34" l="1"/>
  <c r="I197" i="34" s="1"/>
  <c r="K195" i="34"/>
  <c r="K197" i="34" s="1"/>
</calcChain>
</file>

<file path=xl/sharedStrings.xml><?xml version="1.0" encoding="utf-8"?>
<sst xmlns="http://schemas.openxmlformats.org/spreadsheetml/2006/main" count="946" uniqueCount="407">
  <si>
    <t>Puget Sound Energy</t>
  </si>
  <si>
    <t>Line No.</t>
  </si>
  <si>
    <t>Voltage Level</t>
  </si>
  <si>
    <t>Schedule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</si>
  <si>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</si>
  <si>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</si>
  <si>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</si>
  <si>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</si>
  <si>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</si>
  <si>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</si>
  <si>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</si>
  <si>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</si>
  <si>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</si>
  <si>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</si>
  <si>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</si>
  <si>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</si>
  <si>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Total High Voltage</t>
  </si>
  <si>
    <t>Lighting</t>
  </si>
  <si>
    <t>50-59</t>
  </si>
  <si>
    <t>Total Jurisdictional Retail Sales</t>
  </si>
  <si>
    <t>Total Sales to Customers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</si>
  <si>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</si>
  <si>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</si>
  <si>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</si>
  <si>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</si>
  <si>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</si>
  <si>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</si>
  <si>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</si>
  <si>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</si>
  <si>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</si>
  <si>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</si>
  <si>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</si>
  <si>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</si>
  <si>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</si>
  <si>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</si>
  <si>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</si>
  <si>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</si>
  <si>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</si>
  <si>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</si>
  <si>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</si>
  <si>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</si>
  <si>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</si>
  <si>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</si>
  <si>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</si>
  <si>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</si>
  <si>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</si>
  <si>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</si>
  <si>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</si>
  <si>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</si>
  <si>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</si>
  <si>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</si>
  <si>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</si>
  <si>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</si>
  <si>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</si>
  <si>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</si>
  <si>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</si>
  <si>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</si>
  <si>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</si>
  <si>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</si>
  <si>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</si>
  <si>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</si>
  <si>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</si>
  <si>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kWh</t>
  </si>
  <si>
    <t>Residential Customer Impacts</t>
  </si>
  <si>
    <t>Revenue Requirement Property Tax - Current</t>
  </si>
  <si>
    <t>46 &amp; 49</t>
  </si>
  <si>
    <t>449 &amp; 459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</si>
  <si>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</si>
  <si>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</si>
  <si>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</si>
  <si>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</si>
  <si>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</si>
  <si>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</si>
  <si>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</si>
  <si>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</si>
  <si>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</si>
  <si>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</si>
  <si>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</si>
  <si>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</si>
  <si>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</si>
  <si>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</si>
  <si>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</si>
  <si>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</si>
  <si>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</si>
  <si>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</si>
  <si>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</si>
  <si>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</si>
  <si>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</si>
  <si>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</si>
  <si>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</si>
  <si>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</si>
  <si>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</si>
  <si>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</si>
  <si>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</si>
  <si>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</si>
  <si>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</si>
  <si>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</si>
  <si>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</si>
  <si>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</si>
  <si>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</si>
  <si>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</si>
  <si>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</si>
  <si>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</si>
  <si>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</si>
  <si>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</si>
  <si>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</si>
  <si>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</si>
  <si>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</si>
  <si>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</si>
  <si>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</si>
  <si>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</si>
  <si>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</si>
  <si>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</si>
  <si>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</si>
  <si>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7A (Note 1)</t>
  </si>
  <si>
    <t>26 &amp; 26P</t>
  </si>
  <si>
    <t>All Sales</t>
  </si>
  <si>
    <t>Revenue Requirement Increase / (Decrease)</t>
  </si>
  <si>
    <t>12 / 26</t>
  </si>
  <si>
    <t>(b)= 
(a) / ∑ (a)</t>
  </si>
  <si>
    <t>12 &amp; 26</t>
  </si>
  <si>
    <t>(g)</t>
  </si>
  <si>
    <t>(k)</t>
  </si>
  <si>
    <t>(l)</t>
  </si>
  <si>
    <t>(m)</t>
  </si>
  <si>
    <t>Summary of Allocated Costs</t>
  </si>
  <si>
    <t>Wattage (W)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</si>
  <si>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</si>
  <si>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</si>
  <si>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</si>
  <si>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</si>
  <si>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</si>
  <si>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</si>
  <si>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</si>
  <si>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</si>
  <si>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</si>
  <si>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</si>
  <si>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</si>
  <si>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</si>
  <si>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</si>
  <si>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</si>
  <si>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</si>
  <si>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</si>
  <si>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</si>
  <si>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</si>
  <si>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</si>
  <si>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</si>
  <si>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</si>
  <si>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</si>
  <si>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</si>
  <si>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</si>
  <si>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</si>
  <si>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</si>
  <si>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</si>
  <si>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</si>
  <si>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</si>
  <si>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</si>
  <si>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</si>
  <si>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</si>
  <si>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</si>
  <si>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</si>
  <si>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</si>
  <si>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</si>
  <si>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</si>
  <si>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</si>
  <si>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</si>
  <si>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</si>
  <si>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</si>
  <si>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</si>
  <si>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</si>
  <si>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</si>
  <si>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</si>
  <si>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</si>
  <si>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</si>
  <si>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= (a) + (b)</t>
  </si>
  <si>
    <t>= (e) + (f)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</si>
  <si>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</si>
  <si>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</si>
  <si>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</si>
  <si>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</si>
  <si>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</si>
  <si>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</si>
  <si>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</si>
  <si>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</si>
  <si>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</si>
  <si>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Transmission Plant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</si>
  <si>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</si>
  <si>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</si>
  <si>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</si>
  <si>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</si>
  <si>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</si>
  <si>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</si>
  <si>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</si>
  <si>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</si>
  <si>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</si>
  <si>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</si>
  <si>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</si>
  <si>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</si>
  <si>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</si>
  <si>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</si>
  <si>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</si>
  <si>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</si>
  <si>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</si>
  <si>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</si>
  <si>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</si>
  <si>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</si>
  <si>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</si>
  <si>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</si>
  <si>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</si>
  <si>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</si>
  <si>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</si>
  <si>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</si>
  <si>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</si>
  <si>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</si>
  <si>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</si>
  <si>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</si>
  <si>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</si>
  <si>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</si>
  <si>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</si>
  <si>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</si>
  <si>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</si>
  <si>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</si>
  <si>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</si>
  <si>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</si>
  <si>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</si>
  <si>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</si>
  <si>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</si>
  <si>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</si>
  <si>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</si>
  <si>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</si>
  <si>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</si>
  <si>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</si>
  <si>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</si>
  <si>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</si>
  <si>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</si>
  <si>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</si>
  <si>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</si>
  <si>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</si>
  <si>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</si>
  <si>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</si>
  <si>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</si>
  <si>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</si>
  <si>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</si>
  <si>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</si>
  <si>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</si>
  <si>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</si>
  <si>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</si>
  <si>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</si>
  <si>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</si>
  <si>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</si>
  <si>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</si>
  <si>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</si>
  <si>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</si>
  <si>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</si>
  <si>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</si>
  <si>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</si>
  <si>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</si>
  <si>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</si>
  <si>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</si>
  <si>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</si>
  <si>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</si>
  <si>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</si>
  <si>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</si>
  <si>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</si>
  <si>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</si>
  <si>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High Volt
Sch 46/49</t>
  </si>
  <si>
    <t>Choice /
Retail Wheeling
Sch 448/449</t>
  </si>
  <si>
    <t>Lighting
Sch 50-59</t>
  </si>
  <si>
    <t>Firm Resale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</si>
  <si>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</si>
  <si>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</si>
  <si>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</si>
  <si>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</si>
  <si>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</si>
  <si>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</si>
  <si>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</si>
  <si>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</si>
  <si>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</si>
  <si>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</si>
  <si>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</si>
  <si>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Schedules 449 and 459 Property Tax (Schedule 140) kVa Charge</t>
  </si>
  <si>
    <t>Rate Design Change</t>
  </si>
  <si>
    <t>Line No</t>
  </si>
  <si>
    <t>Description</t>
  </si>
  <si>
    <t>Current</t>
  </si>
  <si>
    <t>Deferred</t>
  </si>
  <si>
    <t>Proposed kVa Rate</t>
  </si>
  <si>
    <t>Year</t>
  </si>
  <si>
    <t>RC 449PV</t>
  </si>
  <si>
    <t>RC449HV</t>
  </si>
  <si>
    <t>RC 459HV</t>
  </si>
  <si>
    <t>&lt;==Check Load</t>
  </si>
  <si>
    <t>= 7 - 9</t>
  </si>
  <si>
    <t>Remove:
Schedule 140</t>
  </si>
  <si>
    <t>Special Contract</t>
  </si>
  <si>
    <t>Calculation of Proposed Schedule 140 Property Tax Rider Rate</t>
  </si>
  <si>
    <t>= (a) * (d)</t>
  </si>
  <si>
    <t>= (b) * (d)</t>
  </si>
  <si>
    <t>30.00 - 60</t>
  </si>
  <si>
    <t>Schedule 95
PCA</t>
  </si>
  <si>
    <t>Schedule 95
PCORC</t>
  </si>
  <si>
    <t>Schedule 141Z (Unprotected)
EDIT</t>
  </si>
  <si>
    <t>Schedule 142
Supplemental</t>
  </si>
  <si>
    <t>Schedule 95A
Federal Incentive Credit</t>
  </si>
  <si>
    <t>Schedule 120
Conservation</t>
  </si>
  <si>
    <t>Schedule 129
Low Income</t>
  </si>
  <si>
    <t>Schedule 137 REC's</t>
  </si>
  <si>
    <t>Schedule 140
Property Tax</t>
  </si>
  <si>
    <t>Schedule 141X (Pass-back)
ERF</t>
  </si>
  <si>
    <t>Schedule 142
 Deferral</t>
  </si>
  <si>
    <t>Schedule 194
BPA Res &amp; Farm Credit</t>
  </si>
  <si>
    <t>_PC4</t>
  </si>
  <si>
    <t>DP.T</t>
  </si>
  <si>
    <t>_PC3</t>
  </si>
  <si>
    <t>Non-Washington Transmission Plant</t>
  </si>
  <si>
    <t>Washington Integrated Lease Facilities (LIF) Transmission Plant</t>
  </si>
  <si>
    <t>Washington Integrated Generation (GIF) Transmission Plant</t>
  </si>
  <si>
    <t>Washington Transmission Plant</t>
  </si>
  <si>
    <t>Other</t>
  </si>
  <si>
    <t>Distribution</t>
  </si>
  <si>
    <t>Generation/Transmission</t>
  </si>
  <si>
    <t>SC</t>
  </si>
  <si>
    <t>Effective May 1, 2021</t>
  </si>
  <si>
    <t>Adjusted Electric
Cost of Service 
PTDGP.T 
Allocation Factor
Docket No. 
UE-190529</t>
  </si>
  <si>
    <t>F2020 kWh 
May 2021
to April 2022</t>
  </si>
  <si>
    <t>Proposed
Schedule 140
Property Tax
Rider - Current
Effective 5-1-21</t>
  </si>
  <si>
    <t>Proposed
Schedule 140
Property Tax
Rider - Deferred
Effective 5-1-21</t>
  </si>
  <si>
    <t>Proposed
Schedule 140
Property Tax
Rider
Effective 5-1-21</t>
  </si>
  <si>
    <t>Adjusted Test Year Twelve Months ended December 2018 @ Proforma Rev Requirement</t>
  </si>
  <si>
    <t>58 &amp; 59 - Old</t>
  </si>
  <si>
    <t>Current Customer Bill in Notice</t>
  </si>
  <si>
    <t>Proposed Customer Bill in Notice</t>
  </si>
  <si>
    <t>Basic Charge</t>
  </si>
  <si>
    <t>First 600 kWh</t>
  </si>
  <si>
    <t>Over 600 kWh</t>
  </si>
  <si>
    <t>Bill</t>
  </si>
  <si>
    <t>$ Difference</t>
  </si>
  <si>
    <t xml:space="preserve">Typical Residential </t>
  </si>
  <si>
    <t>Schedule 141X EDIT Rider - First 600 kWh</t>
  </si>
  <si>
    <t>Schedule 141Y - Tax Over Collection Rider</t>
  </si>
  <si>
    <t>Schedule 141Z - EDIT Rider</t>
  </si>
  <si>
    <t>Schedule 142 - Decoupling Rider - Supplemental</t>
  </si>
  <si>
    <t>Schedule 141X EDIT Rider - Over 600 kWh</t>
  </si>
  <si>
    <t>Notes</t>
  </si>
  <si>
    <t>Sch 140 Tariff Reference</t>
  </si>
  <si>
    <t>Sheet No. 140-B</t>
  </si>
  <si>
    <t>See tab "Sch 140 Street &amp; Area Lighting"</t>
  </si>
  <si>
    <t>*Delete references of Sch. 40 from tariff sheet.</t>
  </si>
  <si>
    <t>Sheet No. 140-C</t>
  </si>
  <si>
    <t>See tab "Sch 449-459 Rate Design" for kVa rates.</t>
  </si>
  <si>
    <t>*Units are kVa</t>
  </si>
  <si>
    <t>Sheet No. 140-D</t>
  </si>
  <si>
    <t>Sheet No. 140-E</t>
  </si>
  <si>
    <t>Sheet No. 140-F</t>
  </si>
  <si>
    <t>Sheet No. 140-G</t>
  </si>
  <si>
    <t>Sheet No. 140-H</t>
  </si>
  <si>
    <t>Sheet No. 140-I</t>
  </si>
  <si>
    <t>Sheet No. 140-L</t>
  </si>
  <si>
    <t>Sheet No. 140-M</t>
  </si>
  <si>
    <t>Sheet No. 140-N</t>
  </si>
  <si>
    <t>Sheet No. 140-O</t>
  </si>
  <si>
    <t>Sheet No. 140-P</t>
  </si>
  <si>
    <t>Sheet No. 140-Q</t>
  </si>
  <si>
    <t>Total Firm Resale</t>
  </si>
  <si>
    <t>n/a</t>
  </si>
  <si>
    <t>May 1, 2022 Rate Impacts</t>
  </si>
  <si>
    <t>Estimated Annual
Base Revenue
Rates Effective
10/01/21</t>
  </si>
  <si>
    <t>Annual Estimated Revenue Excluding Schedule 140 @ Rates Effective 04/30/22</t>
  </si>
  <si>
    <t>Schedule 95 - Power Cost Adjustment Clause-Supplemental</t>
  </si>
  <si>
    <t>Test Year Ended April 30, 2023</t>
  </si>
  <si>
    <t>Current
Schedule 140
Property Tax
Effective 5-1-21</t>
  </si>
  <si>
    <t>Proposed
Schedule 140
Property Tax
Effective 5-1-22</t>
  </si>
  <si>
    <t>2022 Property Tax Workpapers</t>
  </si>
  <si>
    <t>Test Year Ending April 30, 2023</t>
  </si>
  <si>
    <t>Proposed Current Charge Schedule 140 
Effective 5/1/2022</t>
  </si>
  <si>
    <t>Proposed Deferral Charge Schedule 140 
Effective 5/1/2022</t>
  </si>
  <si>
    <t>Total Proposed Charge Schedule 140 
Effective 5/1/2022</t>
  </si>
  <si>
    <t>Annual Proposed
Sch 140 Revenue
Effective
5-1-2022
[Current]</t>
  </si>
  <si>
    <t>Annual Proposed
Sch 140 Revenue
Effective
5-1-2022
[Deferal]</t>
  </si>
  <si>
    <t>Annual Proposed
Sch 140 Revenue
Effective
5-1-2022</t>
  </si>
  <si>
    <t>Impacts of Rate Change Effective May 1, 2022</t>
  </si>
  <si>
    <t>Projected
Revenue 
(Based on Rates
Effective
1-1-2022)</t>
  </si>
  <si>
    <t>Effective May 1, 2022</t>
  </si>
  <si>
    <t>Proposed
Schedule 140
Property Tax
Rider - Current
Effective 5-1-22</t>
  </si>
  <si>
    <t>Proposed
Schedule 140
Property Tax
Rider - Deferred
Effective 5-1-22</t>
  </si>
  <si>
    <t>Proposed
Schedule 140
Property Tax
Rider
Effective 5-1-22</t>
  </si>
  <si>
    <t>Proposed Effective 5-1-22</t>
  </si>
  <si>
    <t>Monthly kVa Projection, May 2022 - April 2023</t>
  </si>
  <si>
    <t>Inventory at 1/31/2022</t>
  </si>
  <si>
    <t>Smart LED</t>
  </si>
  <si>
    <t>Per kWh - All Lamps</t>
  </si>
  <si>
    <t>Revenue Requirement from 2021 Filing</t>
  </si>
  <si>
    <t>Cash Payment expected to be made 2022</t>
  </si>
  <si>
    <t>True-up for 2021 Load Variance</t>
  </si>
  <si>
    <t>yes</t>
  </si>
  <si>
    <r>
      <t xml:space="preserve">Property Tax Revenue Requirement - </t>
    </r>
    <r>
      <rPr>
        <b/>
        <sz val="12.6"/>
        <color rgb="FFFF0000"/>
        <rFont val="Calibri"/>
        <family val="2"/>
      </rPr>
      <t>Preliminary</t>
    </r>
    <r>
      <rPr>
        <b/>
        <sz val="14"/>
        <color theme="1"/>
        <rFont val="Calibri"/>
        <family val="2"/>
        <scheme val="minor"/>
      </rPr>
      <t xml:space="preserve"> Filing - March, 2022</t>
    </r>
  </si>
  <si>
    <t>F2022 kWh 
May 2022
to April 2023</t>
  </si>
  <si>
    <t>Annual kWh Delivered Sales  05/01/22 to 04/30/23 (F2022)</t>
  </si>
  <si>
    <t>Test Year ended April 2023 (F2022 Schedule Level)</t>
  </si>
  <si>
    <t>F2022 Monthly Billing Demand by Rate Schedule</t>
  </si>
  <si>
    <t>2022 Revenue Increase</t>
  </si>
  <si>
    <t>F2022 kVa Demand (May 2021 to April 2022)</t>
  </si>
  <si>
    <t>ELECTRIC COST OF SERVICE SUMMARY - RATEBASE SUMMARY - DOCKET UE-190529 (Compliance PLR)</t>
  </si>
  <si>
    <t>Present Rates Effective 1/1/2022</t>
  </si>
  <si>
    <t>Proposed Rates Effective 05/01/2022</t>
  </si>
  <si>
    <t>Subtotal
Rider
Rates</t>
  </si>
  <si>
    <t>Annual Estimated Revenue @ Rates Effective 05/01/21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</si>
</sst>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_);_(&quot;$&quot;* \(#,##0.000\);_(&quot;$&quot;* &quot;-&quot;??_);_(@_)"/>
    <numFmt numFmtId="169" formatCode="0.000000"/>
    <numFmt numFmtId="170" formatCode="&quot;$&quot;#,##0.00000"/>
    <numFmt numFmtId="171" formatCode="_(&quot;$&quot;* #,##0.000000_);_(&quot;$&quot;* \(#,##0.000000\);_(&quot;$&quot;* &quot;-&quot;??????_);_(@_)"/>
    <numFmt numFmtId="172" formatCode="&quot;$&quot;#,##0.0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rgb="FFFF0000"/>
      <name val="Calibri"/>
      <family val="2"/>
      <scheme val="minor"/>
    </font>
    <font>
      <b/>
      <sz val="12.6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>
      <alignment horizontal="left" wrapText="1"/>
    </xf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86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0" applyNumberFormat="1" applyFont="1" applyFill="1"/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1" xfId="0" applyBorder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3" fillId="3" borderId="9" xfId="0" quotePrefix="1" applyNumberFormat="1" applyFont="1" applyFill="1" applyBorder="1" applyAlignment="1">
      <alignment horizontal="left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14" fillId="0" borderId="0" xfId="1" applyNumberFormat="1" applyFont="1" applyFill="1"/>
    <xf numFmtId="164" fontId="14" fillId="4" borderId="0" xfId="2" applyNumberFormat="1" applyFont="1" applyFill="1"/>
    <xf numFmtId="164" fontId="14" fillId="0" borderId="0" xfId="2" applyNumberFormat="1" applyFont="1" applyFill="1"/>
    <xf numFmtId="168" fontId="0" fillId="0" borderId="0" xfId="1" applyNumberFormat="1" applyFont="1" applyFill="1"/>
    <xf numFmtId="0" fontId="16" fillId="0" borderId="16" xfId="0" applyFont="1" applyFill="1" applyBorder="1"/>
    <xf numFmtId="0" fontId="0" fillId="0" borderId="0" xfId="0" applyFill="1" applyBorder="1"/>
    <xf numFmtId="0" fontId="0" fillId="0" borderId="13" xfId="0" applyBorder="1"/>
    <xf numFmtId="0" fontId="17" fillId="0" borderId="1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4" borderId="1" xfId="0" applyNumberFormat="1" applyFill="1" applyBorder="1"/>
    <xf numFmtId="3" fontId="0" fillId="4" borderId="14" xfId="0" applyNumberFormat="1" applyFill="1" applyBorder="1"/>
    <xf numFmtId="0" fontId="0" fillId="0" borderId="18" xfId="0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5" borderId="16" xfId="0" applyNumberFormat="1" applyFill="1" applyBorder="1"/>
    <xf numFmtId="3" fontId="0" fillId="5" borderId="0" xfId="0" applyNumberFormat="1" applyFill="1" applyBorder="1"/>
    <xf numFmtId="3" fontId="0" fillId="5" borderId="18" xfId="0" applyNumberFormat="1" applyFill="1" applyBorder="1"/>
    <xf numFmtId="3" fontId="0" fillId="5" borderId="1" xfId="0" applyNumberFormat="1" applyFill="1" applyBorder="1"/>
    <xf numFmtId="3" fontId="0" fillId="5" borderId="15" xfId="0" applyNumberFormat="1" applyFill="1" applyBorder="1"/>
    <xf numFmtId="3" fontId="0" fillId="5" borderId="5" xfId="0" applyNumberFormat="1" applyFill="1" applyBorder="1"/>
    <xf numFmtId="3" fontId="0" fillId="5" borderId="10" xfId="0" applyNumberFormat="1" applyFill="1" applyBorder="1"/>
    <xf numFmtId="3" fontId="0" fillId="5" borderId="13" xfId="0" applyNumberFormat="1" applyFill="1" applyBorder="1"/>
    <xf numFmtId="3" fontId="0" fillId="5" borderId="14" xfId="0" applyNumberForma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19" fillId="2" borderId="0" xfId="3" applyNumberFormat="1" applyFill="1" applyAlignment="1"/>
    <xf numFmtId="0" fontId="19" fillId="2" borderId="0" xfId="3" applyNumberFormat="1" applyFill="1" applyAlignment="1">
      <alignment horizontal="center"/>
    </xf>
    <xf numFmtId="2" fontId="19" fillId="2" borderId="0" xfId="3" applyNumberFormat="1" applyFill="1" applyAlignment="1">
      <alignment horizontal="center"/>
    </xf>
    <xf numFmtId="0" fontId="4" fillId="2" borderId="2" xfId="3" applyNumberFormat="1" applyFont="1" applyFill="1" applyBorder="1" applyAlignment="1"/>
    <xf numFmtId="2" fontId="4" fillId="2" borderId="2" xfId="3" applyNumberFormat="1" applyFont="1" applyFill="1" applyBorder="1" applyAlignment="1">
      <alignment horizontal="center"/>
    </xf>
    <xf numFmtId="0" fontId="4" fillId="2" borderId="2" xfId="3" applyNumberFormat="1" applyFont="1" applyFill="1" applyBorder="1" applyAlignment="1">
      <alignment horizontal="center"/>
    </xf>
    <xf numFmtId="0" fontId="4" fillId="2" borderId="0" xfId="3" applyNumberFormat="1" applyFont="1" applyFill="1" applyAlignment="1"/>
    <xf numFmtId="0" fontId="4" fillId="2" borderId="0" xfId="3" applyNumberFormat="1" applyFont="1" applyFill="1" applyAlignment="1">
      <alignment horizontal="center" vertical="center" wrapText="1"/>
    </xf>
    <xf numFmtId="0" fontId="4" fillId="2" borderId="2" xfId="3" quotePrefix="1" applyNumberFormat="1" applyFont="1" applyFill="1" applyBorder="1" applyAlignment="1">
      <alignment horizontal="center" wrapText="1"/>
    </xf>
    <xf numFmtId="0" fontId="4" fillId="2" borderId="2" xfId="3" applyNumberFormat="1" applyFont="1" applyFill="1" applyBorder="1" applyAlignment="1">
      <alignment horizontal="center" wrapText="1"/>
    </xf>
    <xf numFmtId="0" fontId="4" fillId="2" borderId="2" xfId="3" applyNumberFormat="1" applyFont="1" applyFill="1" applyBorder="1" applyAlignment="1">
      <alignment horizontal="left" wrapText="1"/>
    </xf>
    <xf numFmtId="0" fontId="4" fillId="2" borderId="0" xfId="3" applyNumberFormat="1" applyFont="1" applyFill="1" applyAlignment="1">
      <alignment horizontal="center"/>
    </xf>
    <xf numFmtId="0" fontId="19" fillId="0" borderId="0" xfId="3" applyNumberFormat="1" applyFill="1" applyBorder="1" applyAlignment="1"/>
    <xf numFmtId="0" fontId="19" fillId="0" borderId="0" xfId="3" applyNumberFormat="1" applyFill="1" applyBorder="1" applyAlignment="1">
      <alignment horizontal="center"/>
    </xf>
    <xf numFmtId="165" fontId="0" fillId="2" borderId="0" xfId="4" applyNumberFormat="1" applyFont="1" applyFill="1" applyAlignment="1">
      <alignment horizontal="center"/>
    </xf>
    <xf numFmtId="165" fontId="4" fillId="2" borderId="2" xfId="4" applyNumberFormat="1" applyFont="1" applyFill="1" applyBorder="1" applyAlignment="1">
      <alignment horizont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 vertical="center"/>
    </xf>
    <xf numFmtId="0" fontId="21" fillId="0" borderId="0" xfId="0" applyFont="1"/>
    <xf numFmtId="0" fontId="21" fillId="0" borderId="0" xfId="0" applyFont="1" applyBorder="1" applyAlignment="1"/>
    <xf numFmtId="0" fontId="21" fillId="0" borderId="0" xfId="0" quotePrefix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quotePrefix="1" applyFont="1" applyBorder="1" applyAlignment="1">
      <alignment horizontal="center" wrapText="1"/>
    </xf>
    <xf numFmtId="164" fontId="21" fillId="0" borderId="0" xfId="0" applyNumberFormat="1" applyFont="1"/>
    <xf numFmtId="44" fontId="21" fillId="0" borderId="0" xfId="5" applyFont="1"/>
    <xf numFmtId="44" fontId="21" fillId="0" borderId="0" xfId="0" applyNumberFormat="1" applyFont="1"/>
    <xf numFmtId="0" fontId="21" fillId="0" borderId="0" xfId="0" quotePrefix="1" applyFont="1" applyAlignment="1">
      <alignment horizontal="left"/>
    </xf>
    <xf numFmtId="164" fontId="21" fillId="0" borderId="3" xfId="0" applyNumberFormat="1" applyFont="1" applyBorder="1"/>
    <xf numFmtId="44" fontId="21" fillId="0" borderId="3" xfId="5" applyFont="1" applyBorder="1"/>
    <xf numFmtId="0" fontId="21" fillId="0" borderId="0" xfId="0" applyFont="1" applyFill="1" applyAlignment="1">
      <alignment horizontal="left"/>
    </xf>
    <xf numFmtId="164" fontId="21" fillId="0" borderId="3" xfId="0" applyNumberFormat="1" applyFont="1" applyFill="1" applyBorder="1"/>
    <xf numFmtId="44" fontId="21" fillId="0" borderId="3" xfId="0" applyNumberFormat="1" applyFont="1" applyBorder="1"/>
    <xf numFmtId="0" fontId="21" fillId="0" borderId="1" xfId="0" quotePrefix="1" applyFont="1" applyBorder="1" applyAlignment="1">
      <alignment horizontal="left"/>
    </xf>
    <xf numFmtId="0" fontId="21" fillId="0" borderId="1" xfId="0" applyFont="1" applyBorder="1"/>
    <xf numFmtId="0" fontId="21" fillId="6" borderId="4" xfId="0" quotePrefix="1" applyFont="1" applyFill="1" applyBorder="1" applyAlignment="1">
      <alignment horizontal="center" wrapText="1"/>
    </xf>
    <xf numFmtId="0" fontId="21" fillId="0" borderId="11" xfId="0" quotePrefix="1" applyFont="1" applyBorder="1" applyAlignment="1">
      <alignment horizontal="center" wrapText="1"/>
    </xf>
    <xf numFmtId="166" fontId="21" fillId="0" borderId="11" xfId="0" applyNumberFormat="1" applyFont="1" applyFill="1" applyBorder="1"/>
    <xf numFmtId="166" fontId="21" fillId="0" borderId="12" xfId="0" applyNumberFormat="1" applyFont="1" applyFill="1" applyBorder="1"/>
    <xf numFmtId="0" fontId="21" fillId="0" borderId="11" xfId="0" applyFont="1" applyFill="1" applyBorder="1"/>
    <xf numFmtId="166" fontId="21" fillId="0" borderId="8" xfId="0" quotePrefix="1" applyNumberFormat="1" applyFont="1" applyFill="1" applyBorder="1" applyAlignment="1"/>
    <xf numFmtId="0" fontId="21" fillId="0" borderId="0" xfId="0" quotePrefix="1" applyFont="1" applyAlignment="1">
      <alignment horizontal="left" indent="2"/>
    </xf>
    <xf numFmtId="0" fontId="21" fillId="0" borderId="0" xfId="0" applyFont="1" applyFill="1"/>
    <xf numFmtId="166" fontId="21" fillId="0" borderId="12" xfId="0" quotePrefix="1" applyNumberFormat="1" applyFont="1" applyFill="1" applyBorder="1" applyAlignment="1"/>
    <xf numFmtId="166" fontId="21" fillId="0" borderId="8" xfId="0" applyNumberFormat="1" applyFont="1" applyFill="1" applyBorder="1"/>
    <xf numFmtId="171" fontId="21" fillId="0" borderId="0" xfId="0" applyNumberFormat="1" applyFont="1"/>
    <xf numFmtId="166" fontId="21" fillId="0" borderId="7" xfId="0" applyNumberFormat="1" applyFont="1" applyFill="1" applyBorder="1"/>
    <xf numFmtId="0" fontId="21" fillId="7" borderId="0" xfId="0" quotePrefix="1" applyFont="1" applyFill="1" applyAlignment="1">
      <alignment horizontal="left" indent="2"/>
    </xf>
    <xf numFmtId="166" fontId="21" fillId="7" borderId="8" xfId="0" quotePrefix="1" applyNumberFormat="1" applyFont="1" applyFill="1" applyBorder="1" applyAlignment="1"/>
    <xf numFmtId="0" fontId="21" fillId="0" borderId="0" xfId="0" applyFont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42" fontId="0" fillId="0" borderId="0" xfId="0" applyNumberFormat="1" applyFill="1"/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41" fontId="0" fillId="0" borderId="0" xfId="0" applyNumberFormat="1" applyFill="1"/>
    <xf numFmtId="0" fontId="0" fillId="0" borderId="5" xfId="0" applyFill="1" applyBorder="1"/>
    <xf numFmtId="41" fontId="11" fillId="0" borderId="5" xfId="0" applyNumberFormat="1" applyFont="1" applyFill="1" applyBorder="1"/>
    <xf numFmtId="0" fontId="11" fillId="0" borderId="5" xfId="0" applyFont="1" applyFill="1" applyBorder="1"/>
    <xf numFmtId="42" fontId="0" fillId="0" borderId="9" xfId="0" applyNumberFormat="1" applyFill="1" applyBorder="1"/>
    <xf numFmtId="42" fontId="0" fillId="0" borderId="3" xfId="0" applyNumberFormat="1" applyFill="1" applyBorder="1"/>
    <xf numFmtId="41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" fillId="0" borderId="0" xfId="0" applyFont="1" applyFill="1"/>
    <xf numFmtId="10" fontId="0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5" borderId="21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23" xfId="0" applyFont="1" applyFill="1" applyBorder="1"/>
    <xf numFmtId="0" fontId="2" fillId="5" borderId="20" xfId="0" applyFont="1" applyFill="1" applyBorder="1"/>
    <xf numFmtId="0" fontId="2" fillId="5" borderId="23" xfId="0" quotePrefix="1" applyFont="1" applyFill="1" applyBorder="1" applyAlignment="1">
      <alignment horizontal="left"/>
    </xf>
    <xf numFmtId="0" fontId="2" fillId="5" borderId="24" xfId="0" applyFont="1" applyFill="1" applyBorder="1"/>
    <xf numFmtId="0" fontId="2" fillId="5" borderId="19" xfId="0" applyFont="1" applyFill="1" applyBorder="1"/>
    <xf numFmtId="0" fontId="2" fillId="5" borderId="21" xfId="6" quotePrefix="1" applyFont="1" applyFill="1" applyBorder="1" applyAlignment="1">
      <alignment horizontal="center" wrapText="1"/>
    </xf>
    <xf numFmtId="0" fontId="2" fillId="5" borderId="22" xfId="6" quotePrefix="1" applyFont="1" applyFill="1" applyBorder="1" applyAlignment="1">
      <alignment horizontal="center" wrapText="1"/>
    </xf>
    <xf numFmtId="0" fontId="22" fillId="5" borderId="23" xfId="6" applyFont="1" applyFill="1" applyBorder="1"/>
    <xf numFmtId="0" fontId="22" fillId="5" borderId="20" xfId="6" applyFont="1" applyFill="1" applyBorder="1"/>
    <xf numFmtId="0" fontId="22" fillId="5" borderId="19" xfId="6" applyFont="1" applyFill="1" applyBorder="1"/>
    <xf numFmtId="0" fontId="2" fillId="5" borderId="24" xfId="0" quotePrefix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2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5" fontId="3" fillId="8" borderId="9" xfId="0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6" fillId="0" borderId="0" xfId="0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" fillId="0" borderId="1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5" fillId="0" borderId="0" xfId="0" quotePrefix="1" applyFont="1" applyFill="1" applyAlignment="1">
      <alignment horizontal="center" wrapText="1"/>
    </xf>
    <xf numFmtId="0" fontId="2" fillId="0" borderId="0" xfId="0" applyFont="1" applyFill="1" applyBorder="1"/>
    <xf numFmtId="0" fontId="25" fillId="0" borderId="0" xfId="0" applyFont="1" applyFill="1" applyBorder="1"/>
    <xf numFmtId="0" fontId="2" fillId="0" borderId="0" xfId="0" quotePrefix="1" applyFont="1" applyFill="1" applyBorder="1" applyAlignment="1">
      <alignment horizontal="left" indent="1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right" wrapText="1"/>
    </xf>
    <xf numFmtId="167" fontId="25" fillId="0" borderId="0" xfId="0" applyNumberFormat="1" applyFont="1" applyFill="1" applyBorder="1"/>
    <xf numFmtId="164" fontId="25" fillId="0" borderId="0" xfId="2" applyNumberFormat="1" applyFont="1" applyFill="1" applyBorder="1"/>
    <xf numFmtId="165" fontId="25" fillId="0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164" fontId="25" fillId="0" borderId="0" xfId="0" applyNumberFormat="1" applyFont="1" applyFill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/>
    <xf numFmtId="164" fontId="2" fillId="0" borderId="0" xfId="0" quotePrefix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72" fontId="25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4" fontId="27" fillId="0" borderId="0" xfId="0" applyNumberFormat="1" applyFont="1" applyFill="1" applyBorder="1"/>
    <xf numFmtId="170" fontId="25" fillId="0" borderId="0" xfId="0" applyNumberFormat="1" applyFont="1" applyFill="1" applyBorder="1"/>
    <xf numFmtId="0" fontId="26" fillId="0" borderId="0" xfId="0" applyFont="1" applyBorder="1"/>
    <xf numFmtId="0" fontId="25" fillId="0" borderId="0" xfId="0" quotePrefix="1" applyFont="1" applyFill="1" applyAlignment="1">
      <alignment horizontal="left"/>
    </xf>
    <xf numFmtId="41" fontId="25" fillId="0" borderId="0" xfId="0" applyNumberFormat="1" applyFont="1" applyFill="1"/>
    <xf numFmtId="0" fontId="25" fillId="0" borderId="0" xfId="0" applyFont="1" applyFill="1" applyAlignment="1">
      <alignment horizontal="left"/>
    </xf>
    <xf numFmtId="9" fontId="25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2" fillId="5" borderId="23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1" fillId="0" borderId="0" xfId="0" quotePrefix="1" applyFont="1" applyFill="1" applyAlignment="1">
      <alignment horizontal="left" indent="2"/>
    </xf>
    <xf numFmtId="0" fontId="21" fillId="0" borderId="0" xfId="0" quotePrefix="1" applyFont="1" applyAlignment="1">
      <alignment horizontal="left" indent="3"/>
    </xf>
    <xf numFmtId="0" fontId="21" fillId="0" borderId="0" xfId="0" quotePrefix="1" applyFont="1" applyAlignment="1">
      <alignment horizontal="left" indent="1"/>
    </xf>
    <xf numFmtId="0" fontId="21" fillId="0" borderId="1" xfId="0" quotePrefix="1" applyFont="1" applyBorder="1" applyAlignment="1">
      <alignment horizontal="center"/>
    </xf>
    <xf numFmtId="0" fontId="21" fillId="0" borderId="0" xfId="0" quotePrefix="1" applyFont="1" applyFill="1" applyAlignment="1">
      <alignment horizontal="left" indent="3"/>
    </xf>
    <xf numFmtId="0" fontId="21" fillId="0" borderId="0" xfId="0" quotePrefix="1" applyFont="1" applyAlignment="1">
      <alignment horizontal="left" indent="2"/>
    </xf>
    <xf numFmtId="0" fontId="15" fillId="0" borderId="16" xfId="0" quotePrefix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5" fillId="0" borderId="15" xfId="0" quotePrefix="1" applyFont="1" applyFill="1" applyBorder="1" applyAlignment="1">
      <alignment horizontal="center"/>
    </xf>
    <xf numFmtId="0" fontId="15" fillId="0" borderId="5" xfId="0" quotePrefix="1" applyFont="1" applyFill="1" applyBorder="1" applyAlignment="1">
      <alignment horizontal="center"/>
    </xf>
    <xf numFmtId="0" fontId="15" fillId="0" borderId="10" xfId="0" quotePrefix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4" fillId="2" borderId="0" xfId="3" applyNumberFormat="1" applyFont="1" applyFill="1" applyAlignment="1">
      <alignment horizontal="center"/>
    </xf>
    <xf numFmtId="0" fontId="4" fillId="2" borderId="0" xfId="3" quotePrefix="1" applyNumberFormat="1" applyFont="1" applyFill="1" applyAlignment="1">
      <alignment horizontal="center"/>
    </xf>
  </cellXfs>
  <cellStyles count="7">
    <cellStyle name="Comma" xfId="2" builtinId="3"/>
    <cellStyle name="Currency" xfId="1" builtinId="4"/>
    <cellStyle name="Currency 2" xfId="4"/>
    <cellStyle name="Currency 2 12" xfId="5"/>
    <cellStyle name="Normal" xfId="0" builtinId="0"/>
    <cellStyle name="Normal 2" xfId="3"/>
    <cellStyle name="Normal 5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395924</xdr:colOff>
      <xdr:row>40</xdr:row>
      <xdr:rowOff>38100</xdr:rowOff>
    </xdr:from>
    <xdr:to>
      <xdr:col>23</xdr:col>
      <xdr:colOff>342900</xdr:colOff>
      <xdr:row>72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484" y="7856220"/>
          <a:ext cx="8755696" cy="573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220980</xdr:colOff>
      <xdr:row>8</xdr:row>
      <xdr:rowOff>144780</xdr:rowOff>
    </xdr:from>
    <xdr:to>
      <xdr:col>33</xdr:col>
      <xdr:colOff>151062</xdr:colOff>
      <xdr:row>31</xdr:row>
      <xdr:rowOff>47062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9180" y="1699260"/>
          <a:ext cx="10704762" cy="4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249334</xdr:colOff>
      <xdr:row>6</xdr:row>
      <xdr:rowOff>247914</xdr:rowOff>
    </xdr:from>
    <xdr:ext cx="4013086" cy="3473515"/>
    <xdr:sp macro="" textlink="">
      <xdr:nvSpPr>
        <xdr:cNvPr id="2" name="Rectangle 1"/>
        <xdr:cNvSpPr/>
      </xdr:nvSpPr>
      <xdr:spPr>
        <a:xfrm rot="19702591">
          <a:off x="5316634" y="2259594"/>
          <a:ext cx="4013086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5-1-2021</a:t>
          </a:r>
        </a:p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UE-210217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evnu\PUBLIC\%23%202019%20GRC\Compliance%20Filing\190529-30-PSE-WP-Cmpl-RevReq-COS-(9-23-20)(C)\190529-30-PSE-WP-BDJ-06-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Old Reports===&gt;"/>
      <sheetName val="Account Summary"/>
      <sheetName val="Salary &amp; Wage Summary"/>
      <sheetName val="ErrorCheck"/>
      <sheetName val="COS Reports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11">
          <cell r="C11">
            <v>2</v>
          </cell>
        </row>
        <row r="29">
          <cell r="F29">
            <v>7.3899999999999993E-2</v>
          </cell>
        </row>
        <row r="30">
          <cell r="F30">
            <v>2.8299999999999999E-2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14" sqref="O14"/>
    </sheetView>
  </sheetViews>
  <sheetFormatPr defaultColWidth="5.7109375" defaultRowHeight="12.75" x14ac:dyDescent="0.2"/>
  <cols>
    <col min="1" max="1" width="4.42578125" style="11" bestFit="1" customWidth="1"/>
    <col min="2" max="2" width="33.28515625" style="11" bestFit="1" customWidth="1"/>
    <col min="3" max="3" width="10.140625" style="11" bestFit="1" customWidth="1"/>
    <col min="4" max="5" width="14.7109375" style="11" bestFit="1" customWidth="1"/>
    <col min="6" max="7" width="13.85546875" style="11" bestFit="1" customWidth="1"/>
    <col min="8" max="8" width="11.85546875" style="11" bestFit="1" customWidth="1"/>
    <col min="9" max="9" width="11.28515625" style="11" bestFit="1" customWidth="1"/>
    <col min="10" max="16384" width="5.7109375" style="11"/>
  </cols>
  <sheetData>
    <row r="1" spans="1:9" ht="12.75" customHeight="1" x14ac:dyDescent="0.2">
      <c r="A1" s="262" t="s">
        <v>0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262" t="s">
        <v>68</v>
      </c>
      <c r="B2" s="262"/>
      <c r="C2" s="262"/>
      <c r="D2" s="262"/>
      <c r="E2" s="262"/>
      <c r="F2" s="262"/>
      <c r="G2" s="262"/>
      <c r="H2" s="262"/>
      <c r="I2" s="262"/>
    </row>
    <row r="3" spans="1:9" x14ac:dyDescent="0.2">
      <c r="A3" s="263" t="s">
        <v>380</v>
      </c>
      <c r="B3" s="262"/>
      <c r="C3" s="262"/>
      <c r="D3" s="262"/>
      <c r="E3" s="262"/>
      <c r="F3" s="262"/>
      <c r="G3" s="262"/>
      <c r="H3" s="262"/>
      <c r="I3" s="262"/>
    </row>
    <row r="4" spans="1:9" x14ac:dyDescent="0.2">
      <c r="B4" s="30"/>
      <c r="C4" s="30"/>
      <c r="D4" s="30"/>
      <c r="E4" s="30"/>
    </row>
    <row r="5" spans="1:9" s="15" customFormat="1" ht="63.75" x14ac:dyDescent="0.2">
      <c r="A5" s="27" t="s">
        <v>1</v>
      </c>
      <c r="B5" s="27" t="s">
        <v>2</v>
      </c>
      <c r="C5" s="27" t="s">
        <v>3</v>
      </c>
      <c r="D5" s="26" t="s">
        <v>396</v>
      </c>
      <c r="E5" s="26" t="s">
        <v>381</v>
      </c>
      <c r="F5" s="26" t="s">
        <v>370</v>
      </c>
      <c r="G5" s="26" t="s">
        <v>371</v>
      </c>
      <c r="H5" s="26" t="s">
        <v>69</v>
      </c>
      <c r="I5" s="26" t="s">
        <v>70</v>
      </c>
    </row>
    <row r="6" spans="1:9" s="15" customFormat="1" ht="25.5" x14ac:dyDescent="0.2">
      <c r="A6" s="24"/>
      <c r="B6" s="2" t="s">
        <v>30</v>
      </c>
      <c r="C6" s="69" t="s">
        <v>29</v>
      </c>
      <c r="D6" s="69" t="s">
        <v>28</v>
      </c>
      <c r="E6" s="69" t="s">
        <v>32</v>
      </c>
      <c r="F6" s="1" t="s">
        <v>31</v>
      </c>
      <c r="G6" s="1" t="s">
        <v>27</v>
      </c>
      <c r="H6" s="69" t="s">
        <v>88</v>
      </c>
      <c r="I6" s="69" t="s">
        <v>89</v>
      </c>
    </row>
    <row r="7" spans="1:9" s="15" customFormat="1" x14ac:dyDescent="0.2">
      <c r="A7" s="15">
        <v>1</v>
      </c>
      <c r="B7" s="25" t="s">
        <v>7</v>
      </c>
      <c r="C7" s="24"/>
      <c r="D7" s="24"/>
      <c r="E7" s="23"/>
      <c r="H7" s="23"/>
      <c r="I7" s="23"/>
    </row>
    <row r="8" spans="1:9" x14ac:dyDescent="0.2">
      <c r="A8" s="15">
        <f t="shared" ref="A8:A35" si="0">+A7+1</f>
        <v>2</v>
      </c>
      <c r="B8" s="19" t="s">
        <v>7</v>
      </c>
      <c r="C8" s="33">
        <v>7</v>
      </c>
      <c r="D8" s="41">
        <f>SUM('Projected Revenue on F2022'!C8)</f>
        <v>10772500000</v>
      </c>
      <c r="E8" s="40">
        <f>SUM('Projected Revenue on F2022'!T8)</f>
        <v>1194431000</v>
      </c>
      <c r="F8" s="36">
        <f>+'2021 Final Prop Tax Rate Design'!O9</f>
        <v>3.0720000000000001E-3</v>
      </c>
      <c r="G8" s="36">
        <f>+'DRAFT 2022 Prop Tax Rate Design'!O9</f>
        <v>3.039E-3</v>
      </c>
      <c r="H8" s="40">
        <f>SUM(G8,-F8)*D8</f>
        <v>-355492.50000000047</v>
      </c>
      <c r="I8" s="49">
        <f>H8/SUM(E8,D8*F8)</f>
        <v>-2.8960123406780833E-4</v>
      </c>
    </row>
    <row r="9" spans="1:9" x14ac:dyDescent="0.2">
      <c r="A9" s="15">
        <f t="shared" si="0"/>
        <v>3</v>
      </c>
      <c r="B9" s="17" t="s">
        <v>26</v>
      </c>
      <c r="D9" s="42">
        <f>SUM(D8:D8)</f>
        <v>10772500000</v>
      </c>
      <c r="E9" s="46">
        <f>SUM(E8:E8)</f>
        <v>1194431000</v>
      </c>
      <c r="F9" s="37">
        <f>+F8</f>
        <v>3.0720000000000001E-3</v>
      </c>
      <c r="G9" s="37">
        <f>+G8</f>
        <v>3.039E-3</v>
      </c>
      <c r="H9" s="46">
        <f>SUM(H8:H8)</f>
        <v>-355492.50000000047</v>
      </c>
      <c r="I9" s="50">
        <f>H9/SUM(E9,D9*F9)</f>
        <v>-2.8960123406780833E-4</v>
      </c>
    </row>
    <row r="10" spans="1:9" x14ac:dyDescent="0.2">
      <c r="A10" s="15">
        <f t="shared" si="0"/>
        <v>4</v>
      </c>
      <c r="D10" s="43"/>
      <c r="E10" s="47"/>
      <c r="F10" s="38"/>
      <c r="G10" s="38"/>
      <c r="H10" s="47"/>
      <c r="I10" s="51"/>
    </row>
    <row r="11" spans="1:9" x14ac:dyDescent="0.2">
      <c r="A11" s="15">
        <f t="shared" si="0"/>
        <v>5</v>
      </c>
      <c r="B11" s="11" t="s">
        <v>8</v>
      </c>
      <c r="D11" s="43"/>
      <c r="E11" s="47"/>
      <c r="F11" s="38"/>
      <c r="G11" s="38"/>
      <c r="H11" s="47"/>
      <c r="I11" s="51"/>
    </row>
    <row r="12" spans="1:9" x14ac:dyDescent="0.2">
      <c r="A12" s="15">
        <f t="shared" si="0"/>
        <v>6</v>
      </c>
      <c r="B12" s="21" t="s">
        <v>9</v>
      </c>
      <c r="C12" s="58" t="s">
        <v>79</v>
      </c>
      <c r="D12" s="43">
        <f>SUM('Projected Revenue on F2022'!C12:C13)</f>
        <v>2721620000</v>
      </c>
      <c r="E12" s="47">
        <f>SUM('Projected Revenue on F2022'!T12:T13)</f>
        <v>312687000</v>
      </c>
      <c r="F12" s="36">
        <f>+'2021 Final Prop Tax Rate Design'!O13</f>
        <v>2.6389999999999999E-3</v>
      </c>
      <c r="G12" s="36">
        <f>+'DRAFT 2022 Prop Tax Rate Design'!O13</f>
        <v>2.5529999999999997E-3</v>
      </c>
      <c r="H12" s="47">
        <f t="shared" ref="H12:H15" si="1">SUM(G12,-F12)*D12</f>
        <v>-234059.32000000039</v>
      </c>
      <c r="I12" s="51">
        <f t="shared" ref="I12:I16" si="2">H12/SUM(E12,D12*F12)</f>
        <v>-7.317341164747972E-4</v>
      </c>
    </row>
    <row r="13" spans="1:9" x14ac:dyDescent="0.2">
      <c r="A13" s="15">
        <f t="shared" si="0"/>
        <v>7</v>
      </c>
      <c r="B13" s="21" t="s">
        <v>10</v>
      </c>
      <c r="C13" s="58" t="s">
        <v>80</v>
      </c>
      <c r="D13" s="43">
        <f>SUM('Projected Revenue on F2022'!C9,'Projected Revenue on F2022'!C14:C15)</f>
        <v>2889571000</v>
      </c>
      <c r="E13" s="47">
        <f>SUM('Projected Revenue on F2022'!T9,'Projected Revenue on F2022'!T14:T15)</f>
        <v>303531000</v>
      </c>
      <c r="F13" s="36">
        <f>+'2021 Final Prop Tax Rate Design'!O14</f>
        <v>2.4289999999999997E-3</v>
      </c>
      <c r="G13" s="36">
        <f>+'DRAFT 2022 Prop Tax Rate Design'!O14</f>
        <v>2.349E-3</v>
      </c>
      <c r="H13" s="47">
        <f t="shared" si="1"/>
        <v>-231165.67999999935</v>
      </c>
      <c r="I13" s="51">
        <f t="shared" si="2"/>
        <v>-7.4437563266999043E-4</v>
      </c>
    </row>
    <row r="14" spans="1:9" x14ac:dyDescent="0.2">
      <c r="A14" s="15">
        <f t="shared" si="0"/>
        <v>8</v>
      </c>
      <c r="B14" s="21" t="s">
        <v>11</v>
      </c>
      <c r="C14" s="82" t="s">
        <v>118</v>
      </c>
      <c r="D14" s="43">
        <f>SUM('Projected Revenue on F2022'!C16:C17)</f>
        <v>1824302000</v>
      </c>
      <c r="E14" s="47">
        <f>SUM('Projected Revenue on F2022'!T16:T17)</f>
        <v>178315000</v>
      </c>
      <c r="F14" s="36">
        <f>+'2021 Final Prop Tax Rate Design'!O15</f>
        <v>2.307E-3</v>
      </c>
      <c r="G14" s="36">
        <f>+'DRAFT 2022 Prop Tax Rate Design'!O15</f>
        <v>2.0820000000000001E-3</v>
      </c>
      <c r="H14" s="47">
        <f t="shared" si="1"/>
        <v>-410467.9499999999</v>
      </c>
      <c r="I14" s="51">
        <f t="shared" si="2"/>
        <v>-2.2488478447064406E-3</v>
      </c>
    </row>
    <row r="15" spans="1:9" x14ac:dyDescent="0.2">
      <c r="A15" s="15">
        <f t="shared" si="0"/>
        <v>9</v>
      </c>
      <c r="B15" s="19" t="s">
        <v>25</v>
      </c>
      <c r="C15" s="33">
        <v>29</v>
      </c>
      <c r="D15" s="43">
        <f>SUM('Projected Revenue on F2022'!C18)</f>
        <v>15082000</v>
      </c>
      <c r="E15" s="47">
        <f>SUM('Projected Revenue on F2022'!T18)</f>
        <v>1296000</v>
      </c>
      <c r="F15" s="36">
        <f>+F13</f>
        <v>2.4289999999999997E-3</v>
      </c>
      <c r="G15" s="36">
        <f>+G13</f>
        <v>2.349E-3</v>
      </c>
      <c r="H15" s="47">
        <f t="shared" si="1"/>
        <v>-1206.5599999999965</v>
      </c>
      <c r="I15" s="51">
        <f t="shared" si="2"/>
        <v>-9.0539475868072514E-4</v>
      </c>
    </row>
    <row r="16" spans="1:9" x14ac:dyDescent="0.2">
      <c r="A16" s="15">
        <f t="shared" si="0"/>
        <v>10</v>
      </c>
      <c r="B16" s="14" t="s">
        <v>12</v>
      </c>
      <c r="D16" s="42">
        <f>SUM(D12:D15)</f>
        <v>7450575000</v>
      </c>
      <c r="E16" s="46">
        <f>SUM(E12:E15)</f>
        <v>795829000</v>
      </c>
      <c r="F16" s="37">
        <f>SUMPRODUCT(D12:D15,F12:F15)/SUM(D12:D15)</f>
        <v>2.4758387145958531E-3</v>
      </c>
      <c r="G16" s="37">
        <f>SUMPRODUCT(D12:D15,G12:G15)/SUM(D12:D15)</f>
        <v>2.3581431662656905E-3</v>
      </c>
      <c r="H16" s="46">
        <f>SUM(H12:H15)</f>
        <v>-876899.50999999966</v>
      </c>
      <c r="I16" s="50">
        <f t="shared" si="2"/>
        <v>-1.0769077467827778E-3</v>
      </c>
    </row>
    <row r="17" spans="1:9" x14ac:dyDescent="0.2">
      <c r="A17" s="15">
        <f t="shared" si="0"/>
        <v>11</v>
      </c>
      <c r="D17" s="43"/>
      <c r="E17" s="47"/>
      <c r="F17" s="38"/>
      <c r="G17" s="38"/>
      <c r="H17" s="47"/>
      <c r="I17" s="51"/>
    </row>
    <row r="18" spans="1:9" x14ac:dyDescent="0.2">
      <c r="A18" s="15">
        <f t="shared" si="0"/>
        <v>12</v>
      </c>
      <c r="B18" s="11" t="s">
        <v>13</v>
      </c>
      <c r="D18" s="43"/>
      <c r="E18" s="47"/>
      <c r="F18" s="38"/>
      <c r="G18" s="38"/>
      <c r="H18" s="47"/>
      <c r="I18" s="51"/>
    </row>
    <row r="19" spans="1:9" x14ac:dyDescent="0.2">
      <c r="A19" s="15">
        <f t="shared" si="0"/>
        <v>13</v>
      </c>
      <c r="B19" s="21" t="s">
        <v>22</v>
      </c>
      <c r="C19" s="58" t="s">
        <v>81</v>
      </c>
      <c r="D19" s="43">
        <f>SUM('Projected Revenue on F2022'!C21:C22)</f>
        <v>1329253000</v>
      </c>
      <c r="E19" s="47">
        <f>SUM('Projected Revenue on F2022'!T21:T22)</f>
        <v>127928000</v>
      </c>
      <c r="F19" s="36">
        <f>+'2021 Final Prop Tax Rate Design'!O19</f>
        <v>2.222E-3</v>
      </c>
      <c r="G19" s="38">
        <f>+'DRAFT 2022 Prop Tax Rate Design'!O19</f>
        <v>2.1029999999999998E-3</v>
      </c>
      <c r="H19" s="47">
        <f t="shared" ref="H19:H21" si="3">SUM(G19,-F19)*D19</f>
        <v>-158181.10700000025</v>
      </c>
      <c r="I19" s="51">
        <f t="shared" ref="I19:I22" si="4">H19/SUM(E19,D19*F19)</f>
        <v>-1.2085817013191746E-3</v>
      </c>
    </row>
    <row r="20" spans="1:9" x14ac:dyDescent="0.2">
      <c r="A20" s="15">
        <f t="shared" si="0"/>
        <v>14</v>
      </c>
      <c r="B20" s="19" t="s">
        <v>25</v>
      </c>
      <c r="C20" s="33">
        <v>35</v>
      </c>
      <c r="D20" s="43">
        <f>SUM('Projected Revenue on F2022'!C23)</f>
        <v>4736000</v>
      </c>
      <c r="E20" s="47">
        <f>SUM('Projected Revenue on F2022'!T23)</f>
        <v>314000</v>
      </c>
      <c r="F20" s="36">
        <f>+F19</f>
        <v>2.222E-3</v>
      </c>
      <c r="G20" s="38">
        <f>+G19</f>
        <v>2.1029999999999998E-3</v>
      </c>
      <c r="H20" s="47">
        <f t="shared" si="3"/>
        <v>-563.58400000000086</v>
      </c>
      <c r="I20" s="51">
        <f t="shared" si="4"/>
        <v>-1.7366513906029951E-3</v>
      </c>
    </row>
    <row r="21" spans="1:9" x14ac:dyDescent="0.2">
      <c r="A21" s="15">
        <f t="shared" si="0"/>
        <v>15</v>
      </c>
      <c r="B21" s="19" t="s">
        <v>14</v>
      </c>
      <c r="C21" s="33">
        <v>43</v>
      </c>
      <c r="D21" s="43">
        <f>SUM('Projected Revenue on F2022'!C24)</f>
        <v>119574000</v>
      </c>
      <c r="E21" s="47">
        <f>SUM('Projected Revenue on F2022'!T24)</f>
        <v>12084000</v>
      </c>
      <c r="F21" s="36">
        <f>+'2021 Final Prop Tax Rate Design'!O20</f>
        <v>3.0560000000000001E-3</v>
      </c>
      <c r="G21" s="38">
        <f>+'DRAFT 2022 Prop Tax Rate Design'!O20</f>
        <v>2.7669999999999999E-3</v>
      </c>
      <c r="H21" s="47">
        <f t="shared" si="3"/>
        <v>-34556.88600000002</v>
      </c>
      <c r="I21" s="51">
        <f t="shared" si="4"/>
        <v>-2.7757832213752675E-3</v>
      </c>
    </row>
    <row r="22" spans="1:9" x14ac:dyDescent="0.2">
      <c r="A22" s="15">
        <f t="shared" si="0"/>
        <v>16</v>
      </c>
      <c r="B22" s="17" t="s">
        <v>15</v>
      </c>
      <c r="D22" s="42">
        <f>SUM(D19:D21)</f>
        <v>1453563000</v>
      </c>
      <c r="E22" s="46">
        <f>SUM(E19:E21)</f>
        <v>140326000</v>
      </c>
      <c r="F22" s="37">
        <f>SUMPRODUCT(D19:D21,F19:F21)/SUM(D19:D21)</f>
        <v>2.2906070820459794E-3</v>
      </c>
      <c r="G22" s="37">
        <f>SUMPRODUCT(D19:D21,G19:G21)/SUM(D19:D21)</f>
        <v>2.1576224250342089E-3</v>
      </c>
      <c r="H22" s="46">
        <f>SUM(H19:H21)</f>
        <v>-193301.57700000028</v>
      </c>
      <c r="I22" s="50">
        <f t="shared" si="4"/>
        <v>-1.3455908119506198E-3</v>
      </c>
    </row>
    <row r="23" spans="1:9" x14ac:dyDescent="0.2">
      <c r="A23" s="15">
        <f t="shared" si="0"/>
        <v>17</v>
      </c>
      <c r="D23" s="44"/>
      <c r="E23" s="34"/>
      <c r="F23" s="35"/>
      <c r="G23" s="35"/>
      <c r="H23" s="34"/>
      <c r="I23" s="52"/>
    </row>
    <row r="24" spans="1:9" x14ac:dyDescent="0.2">
      <c r="A24" s="15">
        <f t="shared" si="0"/>
        <v>18</v>
      </c>
      <c r="B24" s="14" t="s">
        <v>294</v>
      </c>
      <c r="C24" s="130" t="s">
        <v>321</v>
      </c>
      <c r="D24" s="42">
        <f>SUM('Projected Revenue on F2022'!C35)</f>
        <v>289426000</v>
      </c>
      <c r="E24" s="46">
        <f>SUM('Projected Revenue on F2022'!T35)</f>
        <v>5490000</v>
      </c>
      <c r="F24" s="37">
        <f>+'2021 Final Prop Tax Rate Design'!O23</f>
        <v>4.8499999999999997E-4</v>
      </c>
      <c r="G24" s="37">
        <f>+'DRAFT 2022 Prop Tax Rate Design'!O23</f>
        <v>7.9299999999999998E-4</v>
      </c>
      <c r="H24" s="46">
        <f>SUM(G24,-F24)*D24</f>
        <v>89143.207999999999</v>
      </c>
      <c r="I24" s="50">
        <f>H24/SUM(E24,D24*F24)</f>
        <v>1.5832562071333687E-2</v>
      </c>
    </row>
    <row r="25" spans="1:9" x14ac:dyDescent="0.2">
      <c r="A25" s="15">
        <f t="shared" si="0"/>
        <v>19</v>
      </c>
      <c r="D25" s="44"/>
      <c r="E25" s="34"/>
      <c r="F25" s="35"/>
      <c r="G25" s="35"/>
      <c r="H25" s="34"/>
      <c r="I25" s="52"/>
    </row>
    <row r="26" spans="1:9" x14ac:dyDescent="0.2">
      <c r="A26" s="15">
        <f t="shared" si="0"/>
        <v>20</v>
      </c>
      <c r="B26" s="11" t="s">
        <v>24</v>
      </c>
      <c r="D26" s="43"/>
      <c r="E26" s="47"/>
      <c r="F26" s="38"/>
      <c r="G26" s="38"/>
      <c r="H26" s="47"/>
      <c r="I26" s="51"/>
    </row>
    <row r="27" spans="1:9" x14ac:dyDescent="0.2">
      <c r="A27" s="15">
        <f t="shared" si="0"/>
        <v>21</v>
      </c>
      <c r="B27" s="21" t="s">
        <v>23</v>
      </c>
      <c r="C27" s="33">
        <v>46</v>
      </c>
      <c r="D27" s="43">
        <f>SUM('Projected Revenue on F2022'!C27)</f>
        <v>89921000</v>
      </c>
      <c r="E27" s="47">
        <f>SUM('Projected Revenue on F2022'!T27)</f>
        <v>6822000</v>
      </c>
      <c r="F27" s="38">
        <f>+'2021 Final Prop Tax Rate Design'!O25</f>
        <v>1.668E-3</v>
      </c>
      <c r="G27" s="38">
        <f>+'DRAFT 2022 Prop Tax Rate Design'!O25</f>
        <v>1.5739999999999999E-3</v>
      </c>
      <c r="H27" s="47">
        <f t="shared" ref="H27:H28" si="5">SUM(G27,-F27)*D27</f>
        <v>-8452.5740000000096</v>
      </c>
      <c r="I27" s="51">
        <f t="shared" ref="I27:I29" si="6">H27/SUM(E27,D27*F27)</f>
        <v>-1.2123620585092029E-3</v>
      </c>
    </row>
    <row r="28" spans="1:9" x14ac:dyDescent="0.2">
      <c r="A28" s="15">
        <f t="shared" si="0"/>
        <v>22</v>
      </c>
      <c r="B28" s="21" t="s">
        <v>22</v>
      </c>
      <c r="C28" s="33">
        <v>49</v>
      </c>
      <c r="D28" s="43">
        <f>SUM('Projected Revenue on F2022'!C28)</f>
        <v>512177000</v>
      </c>
      <c r="E28" s="47">
        <f>SUM('Projected Revenue on F2022'!T28)</f>
        <v>38033000</v>
      </c>
      <c r="F28" s="38">
        <f>+F27</f>
        <v>1.668E-3</v>
      </c>
      <c r="G28" s="38">
        <f>+G27</f>
        <v>1.5739999999999999E-3</v>
      </c>
      <c r="H28" s="47">
        <f t="shared" si="5"/>
        <v>-48144.638000000057</v>
      </c>
      <c r="I28" s="51">
        <f t="shared" si="6"/>
        <v>-1.2380552028351621E-3</v>
      </c>
    </row>
    <row r="29" spans="1:9" x14ac:dyDescent="0.2">
      <c r="A29" s="15">
        <f t="shared" si="0"/>
        <v>23</v>
      </c>
      <c r="B29" s="14" t="s">
        <v>16</v>
      </c>
      <c r="D29" s="42">
        <f>SUM(D27:D28)</f>
        <v>602098000</v>
      </c>
      <c r="E29" s="46">
        <f>SUM(E27:E28)</f>
        <v>44855000</v>
      </c>
      <c r="F29" s="37">
        <f>SUMPRODUCT(D27:D28,F27:F28)/SUM(D27:D28)</f>
        <v>1.668E-3</v>
      </c>
      <c r="G29" s="37">
        <f>SUMPRODUCT(D27:D28,G27:G28)/SUM(D27:D28)</f>
        <v>1.5739999999999999E-3</v>
      </c>
      <c r="H29" s="46">
        <f>SUM(H27:H28)</f>
        <v>-56597.212000000065</v>
      </c>
      <c r="I29" s="50">
        <f t="shared" si="6"/>
        <v>-1.2341490747024915E-3</v>
      </c>
    </row>
    <row r="30" spans="1:9" x14ac:dyDescent="0.2">
      <c r="A30" s="15">
        <f t="shared" si="0"/>
        <v>24</v>
      </c>
      <c r="D30" s="44"/>
      <c r="E30" s="34"/>
      <c r="F30" s="35"/>
      <c r="G30" s="35"/>
      <c r="H30" s="34"/>
      <c r="I30" s="52"/>
    </row>
    <row r="31" spans="1:9" x14ac:dyDescent="0.2">
      <c r="A31" s="15">
        <f t="shared" si="0"/>
        <v>25</v>
      </c>
      <c r="B31" s="11" t="s">
        <v>17</v>
      </c>
      <c r="C31" s="33" t="s">
        <v>18</v>
      </c>
      <c r="D31" s="42">
        <f>SUM('Projected Revenue on F2022'!C31)</f>
        <v>63800000</v>
      </c>
      <c r="E31" s="46">
        <f>SUM('Projected Revenue on F2022'!T31)</f>
        <v>16300000</v>
      </c>
      <c r="F31" s="37">
        <f>+'2021 Final Prop Tax Rate Design'!O27</f>
        <v>9.2899999999999996E-3</v>
      </c>
      <c r="G31" s="37">
        <f>+'DRAFT 2022 Prop Tax Rate Design'!O27</f>
        <v>9.0010000000000003E-3</v>
      </c>
      <c r="H31" s="46">
        <f>SUM(G31,-F31)*D31</f>
        <v>-18438.199999999957</v>
      </c>
      <c r="I31" s="50">
        <f>H31/SUM(E31,D31*F31)</f>
        <v>-1.0914890939294352E-3</v>
      </c>
    </row>
    <row r="32" spans="1:9" x14ac:dyDescent="0.2">
      <c r="A32" s="15">
        <f t="shared" si="0"/>
        <v>26</v>
      </c>
      <c r="C32" s="33"/>
      <c r="D32" s="44"/>
      <c r="E32" s="34"/>
      <c r="F32" s="35"/>
      <c r="G32" s="35"/>
      <c r="H32" s="34"/>
      <c r="I32" s="52"/>
    </row>
    <row r="33" spans="1:9" x14ac:dyDescent="0.2">
      <c r="A33" s="15">
        <f t="shared" si="0"/>
        <v>27</v>
      </c>
      <c r="B33" s="17" t="s">
        <v>21</v>
      </c>
      <c r="C33" s="57" t="s">
        <v>78</v>
      </c>
      <c r="D33" s="42">
        <f>SUM('Projected Revenue on F2022'!C33)</f>
        <v>1959816000</v>
      </c>
      <c r="E33" s="46">
        <f>SUM('Projected Revenue on F2022'!T33)</f>
        <v>11977000</v>
      </c>
      <c r="F33" s="37">
        <f>+'2021 Final Prop Tax Rate Design'!O29</f>
        <v>2.1999999999999999E-5</v>
      </c>
      <c r="G33" s="37">
        <f>+'DRAFT 2022 Prop Tax Rate Design'!O29</f>
        <v>2.0999999999999999E-5</v>
      </c>
      <c r="H33" s="46">
        <f>SUM(G33,-F33)*D33</f>
        <v>-1959.8160000000012</v>
      </c>
      <c r="I33" s="50">
        <f t="shared" ref="I33" si="7">H33/SUM(E33,D33*F33)</f>
        <v>-1.6304468341454825E-4</v>
      </c>
    </row>
    <row r="34" spans="1:9" x14ac:dyDescent="0.2">
      <c r="A34" s="15">
        <f t="shared" si="0"/>
        <v>28</v>
      </c>
      <c r="D34" s="44"/>
      <c r="E34" s="34"/>
      <c r="F34" s="35"/>
      <c r="G34" s="35"/>
      <c r="H34" s="34"/>
      <c r="I34" s="52"/>
    </row>
    <row r="35" spans="1:9" ht="13.5" thickBot="1" x14ac:dyDescent="0.25">
      <c r="A35" s="15">
        <f t="shared" si="0"/>
        <v>29</v>
      </c>
      <c r="B35" s="14" t="s">
        <v>19</v>
      </c>
      <c r="D35" s="45">
        <f>SUM(D9,D16,D22,D24,D29,D31,D33)</f>
        <v>22591778000</v>
      </c>
      <c r="E35" s="48">
        <f>SUM(E9,E16,E22,E24,E29,E31,E33)</f>
        <v>2209208000</v>
      </c>
      <c r="F35" s="39">
        <f>'2021 Final Prop Tax Rate Design'!O31</f>
        <v>2.4889999999999999E-3</v>
      </c>
      <c r="G35" s="39">
        <f>(+G9*D9+G16*D16+G22*D22+G24*D24+G29*D29+G31*D31+G33*D33)/D35</f>
        <v>2.4449614878474814E-3</v>
      </c>
      <c r="H35" s="48">
        <f>SUM(H9,H16,H22,H24,H29,H31,H33)</f>
        <v>-1413545.6070000005</v>
      </c>
      <c r="I35" s="53">
        <f>H35/SUM(E35,D35*F35)</f>
        <v>-6.2396102798692736E-4</v>
      </c>
    </row>
    <row r="36" spans="1:9" ht="13.5" thickTop="1" x14ac:dyDescent="0.2">
      <c r="A36" s="15"/>
      <c r="F36" s="35"/>
    </row>
    <row r="37" spans="1:9" x14ac:dyDescent="0.2">
      <c r="A37" s="15"/>
      <c r="B37" s="14"/>
    </row>
    <row r="38" spans="1:9" x14ac:dyDescent="0.2">
      <c r="A38" s="15"/>
    </row>
    <row r="39" spans="1:9" x14ac:dyDescent="0.2">
      <c r="A39" s="15"/>
      <c r="B39" s="14"/>
    </row>
    <row r="42" spans="1:9" x14ac:dyDescent="0.2">
      <c r="D42" s="12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O27" sqref="O27"/>
    </sheetView>
  </sheetViews>
  <sheetFormatPr defaultColWidth="9.140625" defaultRowHeight="12.75" x14ac:dyDescent="0.2"/>
  <cols>
    <col min="1" max="1" width="4.7109375" style="11" customWidth="1"/>
    <col min="2" max="2" width="29.7109375" style="11" customWidth="1"/>
    <col min="3" max="3" width="13.85546875" style="11" customWidth="1"/>
    <col min="4" max="4" width="15.7109375" style="11" bestFit="1" customWidth="1"/>
    <col min="5" max="5" width="9" style="11" customWidth="1"/>
    <col min="6" max="6" width="0.85546875" style="11" customWidth="1"/>
    <col min="7" max="7" width="14.7109375" style="11" bestFit="1" customWidth="1"/>
    <col min="8" max="8" width="14.7109375" style="11" customWidth="1"/>
    <col min="9" max="9" width="13.140625" style="11" customWidth="1"/>
    <col min="10" max="10" width="0.85546875" style="11" customWidth="1"/>
    <col min="11" max="11" width="14.7109375" style="11" customWidth="1"/>
    <col min="12" max="12" width="0.85546875" style="11" customWidth="1"/>
    <col min="13" max="13" width="12.5703125" style="11" customWidth="1"/>
    <col min="14" max="14" width="13.140625" style="11" bestFit="1" customWidth="1"/>
    <col min="15" max="15" width="12.7109375" style="11" customWidth="1"/>
    <col min="16" max="16" width="0.85546875" style="11" customWidth="1"/>
    <col min="17" max="17" width="9.42578125" style="11" customWidth="1"/>
    <col min="18" max="18" width="2.7109375" style="11" customWidth="1"/>
    <col min="19" max="19" width="12" style="11" bestFit="1" customWidth="1"/>
    <col min="20" max="20" width="37.85546875" style="11" customWidth="1"/>
    <col min="21" max="21" width="6.7109375" style="11" customWidth="1"/>
    <col min="22" max="16384" width="9.140625" style="11"/>
  </cols>
  <sheetData>
    <row r="1" spans="1:21" ht="12.75" customHeight="1" x14ac:dyDescent="0.2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21" x14ac:dyDescent="0.2">
      <c r="A2" s="262" t="s">
        <v>295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21" x14ac:dyDescent="0.2">
      <c r="A3" s="262" t="s">
        <v>382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1:21" x14ac:dyDescent="0.2">
      <c r="B4" s="30"/>
      <c r="C4" s="30"/>
      <c r="D4" s="30"/>
    </row>
    <row r="5" spans="1:21" s="28" customFormat="1" ht="13.5" thickBot="1" x14ac:dyDescent="0.25">
      <c r="B5" s="29"/>
      <c r="C5" s="29"/>
    </row>
    <row r="6" spans="1:21" s="15" customFormat="1" ht="76.5" x14ac:dyDescent="0.2">
      <c r="A6" s="27" t="s">
        <v>1</v>
      </c>
      <c r="B6" s="27" t="s">
        <v>2</v>
      </c>
      <c r="C6" s="27" t="s">
        <v>3</v>
      </c>
      <c r="D6" s="26" t="s">
        <v>323</v>
      </c>
      <c r="E6" s="27" t="s">
        <v>4</v>
      </c>
      <c r="F6" s="27"/>
      <c r="G6" s="27" t="s">
        <v>64</v>
      </c>
      <c r="H6" s="26" t="s">
        <v>107</v>
      </c>
      <c r="I6" s="27" t="s">
        <v>74</v>
      </c>
      <c r="J6" s="27"/>
      <c r="K6" s="27" t="str">
        <f>+'2022 Prop Tax Rate Impacts'!D5</f>
        <v>F2022 kWh 
May 2022
to April 2023</v>
      </c>
      <c r="L6" s="27"/>
      <c r="M6" s="26" t="s">
        <v>383</v>
      </c>
      <c r="N6" s="26" t="s">
        <v>384</v>
      </c>
      <c r="O6" s="26" t="s">
        <v>385</v>
      </c>
      <c r="P6" s="27"/>
      <c r="Q6" s="27" t="s">
        <v>75</v>
      </c>
      <c r="T6" s="204" t="s">
        <v>344</v>
      </c>
      <c r="U6" s="205" t="s">
        <v>343</v>
      </c>
    </row>
    <row r="7" spans="1:21" s="15" customFormat="1" ht="25.5" x14ac:dyDescent="0.2">
      <c r="A7" s="2"/>
      <c r="B7" s="2"/>
      <c r="C7" s="69"/>
      <c r="D7" s="69" t="s">
        <v>30</v>
      </c>
      <c r="E7" s="69" t="s">
        <v>119</v>
      </c>
      <c r="F7" s="70"/>
      <c r="G7" s="3" t="s">
        <v>273</v>
      </c>
      <c r="H7" s="3" t="s">
        <v>274</v>
      </c>
      <c r="I7" s="69" t="s">
        <v>275</v>
      </c>
      <c r="J7" s="1"/>
      <c r="K7" s="69" t="s">
        <v>27</v>
      </c>
      <c r="L7" s="69"/>
      <c r="M7" s="3" t="s">
        <v>276</v>
      </c>
      <c r="N7" s="3" t="s">
        <v>277</v>
      </c>
      <c r="O7" s="3" t="s">
        <v>278</v>
      </c>
      <c r="P7" s="1"/>
      <c r="Q7" s="3" t="s">
        <v>279</v>
      </c>
      <c r="T7" s="206"/>
      <c r="U7" s="207"/>
    </row>
    <row r="8" spans="1:21" s="15" customFormat="1" x14ac:dyDescent="0.2">
      <c r="A8" s="15">
        <v>1</v>
      </c>
      <c r="B8" s="25" t="s">
        <v>7</v>
      </c>
      <c r="C8" s="24"/>
      <c r="D8" s="11"/>
      <c r="F8" s="11"/>
      <c r="K8" s="24"/>
      <c r="L8" s="24"/>
      <c r="T8" s="208"/>
      <c r="U8" s="209"/>
    </row>
    <row r="9" spans="1:21" ht="15" x14ac:dyDescent="0.25">
      <c r="A9" s="15">
        <f>+A8+1</f>
        <v>2</v>
      </c>
      <c r="B9" s="19" t="s">
        <v>7</v>
      </c>
      <c r="C9" s="18">
        <v>7</v>
      </c>
      <c r="D9" s="22">
        <f>'UE-190529 Compliance PLR ECOS'!F71</f>
        <v>6327012747.6898909</v>
      </c>
      <c r="E9" s="63">
        <f>+D9/$D$35</f>
        <v>0.59251379477431076</v>
      </c>
      <c r="G9" s="22">
        <f>+E9*$G$37</f>
        <v>24780011.400617085</v>
      </c>
      <c r="H9" s="40">
        <f>+E9*$H$37</f>
        <v>7962847.1054150034</v>
      </c>
      <c r="I9" s="22">
        <f>SUM(G9:H9)</f>
        <v>32742858.506032087</v>
      </c>
      <c r="J9" s="22"/>
      <c r="K9" s="13">
        <f>+'Projected Revenue on F2022'!C8</f>
        <v>10772500000</v>
      </c>
      <c r="L9" s="13"/>
      <c r="M9" s="36">
        <f>ROUND(G9/$K9,6)</f>
        <v>2.3E-3</v>
      </c>
      <c r="N9" s="36">
        <f>ROUND((H9)/$K9,6)</f>
        <v>7.3899999999999997E-4</v>
      </c>
      <c r="O9" s="36">
        <f>SUM(M9:N9)</f>
        <v>3.039E-3</v>
      </c>
      <c r="Q9" s="22">
        <f>+O9*K9-I9</f>
        <v>-5231.0060320869088</v>
      </c>
      <c r="R9" s="55"/>
      <c r="S9" s="89"/>
      <c r="T9" s="208" t="s">
        <v>345</v>
      </c>
      <c r="U9" s="209"/>
    </row>
    <row r="10" spans="1:21" ht="15" x14ac:dyDescent="0.25">
      <c r="A10" s="15">
        <f>+A9+1</f>
        <v>3</v>
      </c>
      <c r="B10" s="17" t="s">
        <v>26</v>
      </c>
      <c r="D10" s="5">
        <f>SUM(D9:D9)</f>
        <v>6327012747.6898909</v>
      </c>
      <c r="E10" s="64">
        <f>+D10/$D$35</f>
        <v>0.59251379477431076</v>
      </c>
      <c r="G10" s="5">
        <f>SUM(G9:G9)</f>
        <v>24780011.400617085</v>
      </c>
      <c r="H10" s="46">
        <f>SUM(H9:H9)</f>
        <v>7962847.1054150034</v>
      </c>
      <c r="I10" s="5">
        <f>SUM(I9:I9)</f>
        <v>32742858.506032087</v>
      </c>
      <c r="J10" s="5"/>
      <c r="K10" s="4">
        <f>SUM(K9:K9)</f>
        <v>10772500000</v>
      </c>
      <c r="L10" s="7"/>
      <c r="M10" s="37">
        <f>ROUND(G10/$K10,6)</f>
        <v>2.3E-3</v>
      </c>
      <c r="N10" s="37">
        <f t="shared" ref="N10" si="0">ROUND((H10)/$K10,6)</f>
        <v>7.3899999999999997E-4</v>
      </c>
      <c r="O10" s="37">
        <f>SUM(M10:N10)</f>
        <v>3.039E-3</v>
      </c>
      <c r="Q10" s="5">
        <f>SUM(Q9:Q9)</f>
        <v>-5231.0060320869088</v>
      </c>
      <c r="S10"/>
      <c r="T10" s="208"/>
      <c r="U10" s="209"/>
    </row>
    <row r="11" spans="1:21" ht="15" x14ac:dyDescent="0.25">
      <c r="A11" s="15">
        <f>+A10+1</f>
        <v>4</v>
      </c>
      <c r="D11" s="6"/>
      <c r="E11" s="65"/>
      <c r="G11" s="6"/>
      <c r="H11" s="47"/>
      <c r="I11" s="6"/>
      <c r="J11" s="6"/>
      <c r="K11" s="7"/>
      <c r="L11" s="7"/>
      <c r="M11" s="38"/>
      <c r="N11" s="38"/>
      <c r="O11" s="38"/>
      <c r="Q11" s="6"/>
      <c r="S11"/>
      <c r="T11" s="208"/>
      <c r="U11" s="209"/>
    </row>
    <row r="12" spans="1:21" ht="15" x14ac:dyDescent="0.25">
      <c r="A12" s="15">
        <f>+A11+1</f>
        <v>5</v>
      </c>
      <c r="B12" s="11" t="s">
        <v>8</v>
      </c>
      <c r="D12" s="6"/>
      <c r="E12" s="65"/>
      <c r="G12" s="6"/>
      <c r="H12" s="47"/>
      <c r="I12" s="6"/>
      <c r="J12" s="6"/>
      <c r="K12" s="7"/>
      <c r="L12" s="7"/>
      <c r="M12" s="38"/>
      <c r="N12" s="38"/>
      <c r="O12" s="38"/>
      <c r="Q12" s="6"/>
      <c r="S12"/>
      <c r="T12" s="208"/>
      <c r="U12" s="209"/>
    </row>
    <row r="13" spans="1:21" ht="15" x14ac:dyDescent="0.25">
      <c r="A13" s="15">
        <f t="shared" ref="A13:A37" si="1">+A12+1</f>
        <v>6</v>
      </c>
      <c r="B13" s="21" t="s">
        <v>9</v>
      </c>
      <c r="C13" s="18" t="s">
        <v>77</v>
      </c>
      <c r="D13" s="22">
        <f>'UE-190529 Compliance PLR ECOS'!G71</f>
        <v>1342620656.7711043</v>
      </c>
      <c r="E13" s="63">
        <f t="shared" ref="E13:E15" si="2">+D13/$D$35</f>
        <v>0.12573410106946345</v>
      </c>
      <c r="G13" s="22">
        <f>+E13*$G$37</f>
        <v>5258430.2431885423</v>
      </c>
      <c r="H13" s="40">
        <f t="shared" ref="H13:H15" si="3">+E13*$H$37</f>
        <v>1689752.0894585978</v>
      </c>
      <c r="I13" s="22">
        <f>SUM(G13:H13)</f>
        <v>6948182.3326471401</v>
      </c>
      <c r="J13" s="22"/>
      <c r="K13" s="13">
        <f>SUM('Projected Revenue on F2022'!C12:C13)</f>
        <v>2721620000</v>
      </c>
      <c r="L13" s="13"/>
      <c r="M13" s="36">
        <f>ROUND(G13/$K13,6)</f>
        <v>1.9319999999999999E-3</v>
      </c>
      <c r="N13" s="36">
        <f t="shared" ref="N13:N16" si="4">ROUND((H13)/$K13,6)</f>
        <v>6.2100000000000002E-4</v>
      </c>
      <c r="O13" s="36">
        <f t="shared" ref="O13:O15" si="5">SUM(M13:N13)</f>
        <v>2.5529999999999997E-3</v>
      </c>
      <c r="Q13" s="22">
        <f t="shared" ref="Q13:Q15" si="6">+O13*K13-I13</f>
        <v>113.5273528592661</v>
      </c>
      <c r="R13" s="55"/>
      <c r="S13"/>
      <c r="T13" s="208" t="s">
        <v>345</v>
      </c>
      <c r="U13" s="209"/>
    </row>
    <row r="14" spans="1:21" ht="15" x14ac:dyDescent="0.25">
      <c r="A14" s="15">
        <f t="shared" si="1"/>
        <v>7</v>
      </c>
      <c r="B14" s="21" t="s">
        <v>10</v>
      </c>
      <c r="C14" s="60" t="s">
        <v>86</v>
      </c>
      <c r="D14" s="22">
        <f>'UE-190529 Compliance PLR ECOS'!H71</f>
        <v>1318719087.6980696</v>
      </c>
      <c r="E14" s="63">
        <f t="shared" si="2"/>
        <v>0.12349576048801056</v>
      </c>
      <c r="G14" s="22">
        <f>+E14*$G$37</f>
        <v>5164818.7431423813</v>
      </c>
      <c r="H14" s="40">
        <f t="shared" si="3"/>
        <v>1659670.8255671065</v>
      </c>
      <c r="I14" s="22">
        <f>SUM(G14:H14)</f>
        <v>6824489.568709488</v>
      </c>
      <c r="J14" s="22"/>
      <c r="K14" s="13">
        <f>SUM('Projected Revenue on F2022'!C9,'Projected Revenue on F2022'!C14:C15,'Projected Revenue on F2022'!C18)</f>
        <v>2904653000</v>
      </c>
      <c r="L14" s="13"/>
      <c r="M14" s="36">
        <f>ROUND(G14/$K14,6)</f>
        <v>1.7780000000000001E-3</v>
      </c>
      <c r="N14" s="36">
        <f t="shared" si="4"/>
        <v>5.71E-4</v>
      </c>
      <c r="O14" s="36">
        <f t="shared" si="5"/>
        <v>2.349E-3</v>
      </c>
      <c r="Q14" s="22">
        <f t="shared" si="6"/>
        <v>-1459.671709488146</v>
      </c>
      <c r="R14" s="55"/>
      <c r="S14"/>
      <c r="T14" s="208" t="s">
        <v>345</v>
      </c>
      <c r="U14" s="209"/>
    </row>
    <row r="15" spans="1:21" ht="15" x14ac:dyDescent="0.25">
      <c r="A15" s="15">
        <f t="shared" si="1"/>
        <v>8</v>
      </c>
      <c r="B15" s="21" t="s">
        <v>11</v>
      </c>
      <c r="C15" s="82" t="s">
        <v>120</v>
      </c>
      <c r="D15" s="6">
        <f>'UE-190529 Compliance PLR ECOS'!I71</f>
        <v>733876904.98253739</v>
      </c>
      <c r="E15" s="65">
        <f t="shared" si="2"/>
        <v>6.8726302160082547E-2</v>
      </c>
      <c r="G15" s="6">
        <f>+E15*$G$37</f>
        <v>2874259.7490034634</v>
      </c>
      <c r="H15" s="47">
        <f t="shared" si="3"/>
        <v>923619.06346795021</v>
      </c>
      <c r="I15" s="6">
        <f>SUM(G15:H15)</f>
        <v>3797878.8124714135</v>
      </c>
      <c r="J15" s="6"/>
      <c r="K15" s="7">
        <f>SUM('Projected Revenue on F2022'!C16:C17)</f>
        <v>1824302000</v>
      </c>
      <c r="L15" s="7"/>
      <c r="M15" s="38">
        <f>ROUND(G15/$K15,6)</f>
        <v>1.5759999999999999E-3</v>
      </c>
      <c r="N15" s="36">
        <f t="shared" si="4"/>
        <v>5.0600000000000005E-4</v>
      </c>
      <c r="O15" s="38">
        <f t="shared" si="5"/>
        <v>2.0820000000000001E-3</v>
      </c>
      <c r="Q15" s="6">
        <f t="shared" si="6"/>
        <v>317.95152858644724</v>
      </c>
      <c r="R15" s="55"/>
      <c r="S15"/>
      <c r="T15" s="208" t="s">
        <v>345</v>
      </c>
      <c r="U15" s="209"/>
    </row>
    <row r="16" spans="1:21" ht="15" x14ac:dyDescent="0.25">
      <c r="A16" s="15">
        <f t="shared" si="1"/>
        <v>9</v>
      </c>
      <c r="B16" s="14" t="s">
        <v>12</v>
      </c>
      <c r="D16" s="5">
        <f>SUM(D13:D15)</f>
        <v>3395216649.4517112</v>
      </c>
      <c r="E16" s="64">
        <f>+D16/$D$35</f>
        <v>0.31795616371755653</v>
      </c>
      <c r="G16" s="5">
        <f>SUM(G13:G15)</f>
        <v>13297508.735334385</v>
      </c>
      <c r="H16" s="46">
        <f>SUM(H13:H15)</f>
        <v>4273041.9784936551</v>
      </c>
      <c r="I16" s="5">
        <f>SUM(I13:I15)</f>
        <v>17570550.713828042</v>
      </c>
      <c r="J16" s="5"/>
      <c r="K16" s="4">
        <f>SUM(K13:K15)</f>
        <v>7450575000</v>
      </c>
      <c r="L16" s="7"/>
      <c r="M16" s="37">
        <f>ROUND(G16/$K16,6)</f>
        <v>1.7849999999999999E-3</v>
      </c>
      <c r="N16" s="37">
        <f t="shared" si="4"/>
        <v>5.7399999999999997E-4</v>
      </c>
      <c r="O16" s="37">
        <f>SUM(M16:N16)</f>
        <v>2.359E-3</v>
      </c>
      <c r="Q16" s="5">
        <f>SUM(Q13:Q15)</f>
        <v>-1028.1928280424327</v>
      </c>
      <c r="S16"/>
      <c r="T16" s="208"/>
      <c r="U16" s="209"/>
    </row>
    <row r="17" spans="1:21" ht="15" x14ac:dyDescent="0.25">
      <c r="A17" s="15">
        <f t="shared" si="1"/>
        <v>10</v>
      </c>
      <c r="D17" s="6"/>
      <c r="E17" s="65"/>
      <c r="G17" s="6"/>
      <c r="H17" s="47"/>
      <c r="I17" s="6"/>
      <c r="J17" s="6"/>
      <c r="K17" s="7"/>
      <c r="L17" s="7"/>
      <c r="M17" s="38"/>
      <c r="N17" s="38"/>
      <c r="O17" s="38"/>
      <c r="Q17" s="6"/>
      <c r="S17"/>
      <c r="T17" s="208"/>
      <c r="U17" s="209"/>
    </row>
    <row r="18" spans="1:21" ht="15" x14ac:dyDescent="0.25">
      <c r="A18" s="15">
        <f t="shared" si="1"/>
        <v>11</v>
      </c>
      <c r="B18" s="11" t="s">
        <v>13</v>
      </c>
      <c r="D18" s="6"/>
      <c r="E18" s="65"/>
      <c r="G18" s="6"/>
      <c r="H18" s="47"/>
      <c r="I18" s="6"/>
      <c r="J18" s="6"/>
      <c r="K18" s="7"/>
      <c r="L18" s="7"/>
      <c r="M18" s="38"/>
      <c r="N18" s="38"/>
      <c r="O18" s="38"/>
      <c r="Q18" s="6"/>
      <c r="S18"/>
      <c r="T18" s="208"/>
      <c r="U18" s="209"/>
    </row>
    <row r="19" spans="1:21" ht="15" x14ac:dyDescent="0.25">
      <c r="A19" s="15">
        <f t="shared" si="1"/>
        <v>12</v>
      </c>
      <c r="B19" s="21" t="s">
        <v>22</v>
      </c>
      <c r="C19" s="60" t="s">
        <v>87</v>
      </c>
      <c r="D19" s="22">
        <f>'UE-190529 Compliance PLR ECOS'!U71</f>
        <v>542139448.18333435</v>
      </c>
      <c r="E19" s="63">
        <f t="shared" ref="E19:E21" si="7">+D19/$D$35</f>
        <v>5.0770421137090876E-2</v>
      </c>
      <c r="G19" s="22">
        <f>+E19*$G$37</f>
        <v>2123311.9392105481</v>
      </c>
      <c r="H19" s="40">
        <f t="shared" ref="H19:H20" si="8">+E19*$H$37</f>
        <v>682308.33536318666</v>
      </c>
      <c r="I19" s="22">
        <f>SUM(G19:H19)</f>
        <v>2805620.274573735</v>
      </c>
      <c r="J19" s="22"/>
      <c r="K19" s="13">
        <f>SUM('Projected Revenue on F2022'!C21:C23)</f>
        <v>1333989000</v>
      </c>
      <c r="L19" s="13"/>
      <c r="M19" s="36">
        <f>ROUND(G19/$K19,6)</f>
        <v>1.5920000000000001E-3</v>
      </c>
      <c r="N19" s="36">
        <f t="shared" ref="N19:N31" si="9">ROUND((H19)/$K19,6)</f>
        <v>5.1099999999999995E-4</v>
      </c>
      <c r="O19" s="36">
        <f t="shared" ref="O19:O20" si="10">SUM(M19:N19)</f>
        <v>2.1029999999999998E-3</v>
      </c>
      <c r="Q19" s="22">
        <f t="shared" ref="Q19:Q20" si="11">+O19*K19-I19</f>
        <v>-241.40757373534143</v>
      </c>
      <c r="R19" s="55"/>
      <c r="S19"/>
      <c r="T19" s="208" t="s">
        <v>345</v>
      </c>
      <c r="U19" s="209"/>
    </row>
    <row r="20" spans="1:21" ht="15" x14ac:dyDescent="0.25">
      <c r="A20" s="15">
        <f t="shared" si="1"/>
        <v>13</v>
      </c>
      <c r="B20" s="19" t="s">
        <v>14</v>
      </c>
      <c r="C20" s="18">
        <v>43</v>
      </c>
      <c r="D20" s="22">
        <f>'UE-190529 Compliance PLR ECOS'!S71</f>
        <v>63939436.447782241</v>
      </c>
      <c r="E20" s="63">
        <f t="shared" si="7"/>
        <v>5.9878175746111532E-3</v>
      </c>
      <c r="G20" s="22">
        <f>+E20*$G$37</f>
        <v>250421.49072697479</v>
      </c>
      <c r="H20" s="40">
        <f t="shared" si="8"/>
        <v>80470.828295072701</v>
      </c>
      <c r="I20" s="22">
        <f>SUM(G20:H20)</f>
        <v>330892.31902204751</v>
      </c>
      <c r="J20" s="22"/>
      <c r="K20" s="13">
        <f>SUM('Projected Revenue on F2022'!C24)</f>
        <v>119574000</v>
      </c>
      <c r="L20" s="13"/>
      <c r="M20" s="36">
        <f>ROUND(G20/$K20,6)</f>
        <v>2.0939999999999999E-3</v>
      </c>
      <c r="N20" s="36">
        <f t="shared" si="9"/>
        <v>6.7299999999999999E-4</v>
      </c>
      <c r="O20" s="36">
        <f t="shared" si="10"/>
        <v>2.7669999999999999E-3</v>
      </c>
      <c r="Q20" s="22">
        <f t="shared" si="11"/>
        <v>-31.061022047535516</v>
      </c>
      <c r="R20" s="55"/>
      <c r="S20"/>
      <c r="T20" s="208" t="s">
        <v>348</v>
      </c>
      <c r="U20" s="209"/>
    </row>
    <row r="21" spans="1:21" ht="15" x14ac:dyDescent="0.25">
      <c r="A21" s="15">
        <f t="shared" si="1"/>
        <v>14</v>
      </c>
      <c r="B21" s="17" t="s">
        <v>15</v>
      </c>
      <c r="D21" s="5">
        <f>SUM(D19:D20)</f>
        <v>606078884.63111663</v>
      </c>
      <c r="E21" s="64">
        <f t="shared" si="7"/>
        <v>5.6758238711702033E-2</v>
      </c>
      <c r="G21" s="5">
        <f>SUM(G19:G20)</f>
        <v>2373733.4299375229</v>
      </c>
      <c r="H21" s="46">
        <f>SUM(H19:H20)</f>
        <v>762779.16365825932</v>
      </c>
      <c r="I21" s="5">
        <f>SUM(I19:I20)</f>
        <v>3136512.5935957823</v>
      </c>
      <c r="J21" s="5"/>
      <c r="K21" s="4">
        <f>SUM(K19:K20)</f>
        <v>1453563000</v>
      </c>
      <c r="L21" s="7"/>
      <c r="M21" s="37">
        <f>ROUND(G21/$K21,6)</f>
        <v>1.6329999999999999E-3</v>
      </c>
      <c r="N21" s="37">
        <f t="shared" si="9"/>
        <v>5.2499999999999997E-4</v>
      </c>
      <c r="O21" s="37">
        <f>SUM(M21:N21)</f>
        <v>2.1579999999999998E-3</v>
      </c>
      <c r="Q21" s="5">
        <f>SUM(Q19:Q20)</f>
        <v>-272.46859578287695</v>
      </c>
      <c r="S21"/>
      <c r="T21" s="208"/>
      <c r="U21" s="209"/>
    </row>
    <row r="22" spans="1:21" ht="15" x14ac:dyDescent="0.25">
      <c r="A22" s="15">
        <f t="shared" si="1"/>
        <v>15</v>
      </c>
      <c r="D22" s="12"/>
      <c r="E22" s="66"/>
      <c r="G22" s="12"/>
      <c r="H22" s="34"/>
      <c r="I22" s="12"/>
      <c r="J22" s="12"/>
      <c r="K22" s="8"/>
      <c r="L22" s="31"/>
      <c r="M22" s="35"/>
      <c r="N22" s="35"/>
      <c r="O22" s="35"/>
      <c r="Q22" s="12"/>
      <c r="S22"/>
      <c r="T22" s="208"/>
      <c r="U22" s="209"/>
    </row>
    <row r="23" spans="1:21" ht="15" x14ac:dyDescent="0.25">
      <c r="A23" s="15">
        <f t="shared" si="1"/>
        <v>16</v>
      </c>
      <c r="B23" s="14" t="s">
        <v>294</v>
      </c>
      <c r="C23" s="118" t="s">
        <v>321</v>
      </c>
      <c r="D23" s="5">
        <f>'UE-190529 Compliance PLR ECOS'!K71</f>
        <v>44346799.411662243</v>
      </c>
      <c r="E23" s="64">
        <f>+D23/$D$35</f>
        <v>4.1530010217053935E-3</v>
      </c>
      <c r="G23" s="5">
        <f>+E23*$G$37</f>
        <v>173686.10414181688</v>
      </c>
      <c r="H23" s="46">
        <f>+E23*$H$37</f>
        <v>55812.560747330172</v>
      </c>
      <c r="I23" s="5">
        <f>SUM(G23:H23)</f>
        <v>229498.66488914704</v>
      </c>
      <c r="J23" s="5"/>
      <c r="K23" s="42">
        <f>SUM('Projected Revenue on F2022'!C35)</f>
        <v>289426000</v>
      </c>
      <c r="L23" s="7"/>
      <c r="M23" s="37">
        <f>ROUND(G23/$K23,6)</f>
        <v>5.9999999999999995E-4</v>
      </c>
      <c r="N23" s="37">
        <f t="shared" si="9"/>
        <v>1.93E-4</v>
      </c>
      <c r="O23" s="37">
        <f>SUM(M23:N23)</f>
        <v>7.9299999999999998E-4</v>
      </c>
      <c r="Q23" s="5">
        <f>+O23*K23-I23</f>
        <v>16.153110852959799</v>
      </c>
      <c r="R23" s="55"/>
      <c r="S23"/>
      <c r="T23" s="208" t="s">
        <v>345</v>
      </c>
      <c r="U23" s="209"/>
    </row>
    <row r="24" spans="1:21" ht="15" x14ac:dyDescent="0.25">
      <c r="A24" s="15">
        <f t="shared" si="1"/>
        <v>17</v>
      </c>
      <c r="D24" s="12"/>
      <c r="E24" s="66"/>
      <c r="G24" s="12"/>
      <c r="H24" s="34"/>
      <c r="I24" s="12"/>
      <c r="J24" s="12"/>
      <c r="K24" s="8"/>
      <c r="L24" s="31"/>
      <c r="M24" s="35"/>
      <c r="N24" s="35"/>
      <c r="O24" s="35"/>
      <c r="Q24" s="12"/>
      <c r="S24"/>
      <c r="T24" s="208"/>
      <c r="U24" s="209"/>
    </row>
    <row r="25" spans="1:21" ht="15" x14ac:dyDescent="0.25">
      <c r="A25" s="15">
        <f t="shared" si="1"/>
        <v>18</v>
      </c>
      <c r="B25" s="11" t="s">
        <v>24</v>
      </c>
      <c r="C25" s="60" t="s">
        <v>65</v>
      </c>
      <c r="D25" s="5">
        <f>'UE-190529 Compliance PLR ECOS'!L71</f>
        <v>183018784.99283093</v>
      </c>
      <c r="E25" s="64">
        <f>+D25/$D$35</f>
        <v>1.7139392496194953E-2</v>
      </c>
      <c r="G25" s="5">
        <f>+E25*$G$37</f>
        <v>716800.76514865959</v>
      </c>
      <c r="H25" s="46">
        <f>+E25*$H$37</f>
        <v>230337.86408109262</v>
      </c>
      <c r="I25" s="5">
        <f>SUM(G25:H25)</f>
        <v>947138.62922975223</v>
      </c>
      <c r="J25" s="5"/>
      <c r="K25" s="4">
        <f>SUM('Projected Revenue on F2022'!C27:C28)</f>
        <v>602098000</v>
      </c>
      <c r="L25" s="7"/>
      <c r="M25" s="37">
        <f>ROUND(G25/$K25,6)</f>
        <v>1.191E-3</v>
      </c>
      <c r="N25" s="37">
        <f t="shared" si="9"/>
        <v>3.8299999999999999E-4</v>
      </c>
      <c r="O25" s="37">
        <f>SUM(M25:N25)</f>
        <v>1.5739999999999999E-3</v>
      </c>
      <c r="Q25" s="5">
        <f>+O25*K25-I25</f>
        <v>563.62277024774812</v>
      </c>
      <c r="R25" s="55"/>
      <c r="S25"/>
      <c r="T25" s="208" t="s">
        <v>348</v>
      </c>
      <c r="U25" s="209"/>
    </row>
    <row r="26" spans="1:21" ht="15" x14ac:dyDescent="0.25">
      <c r="A26" s="15">
        <f t="shared" si="1"/>
        <v>19</v>
      </c>
      <c r="D26" s="12"/>
      <c r="E26" s="66"/>
      <c r="G26" s="12"/>
      <c r="H26" s="34"/>
      <c r="I26" s="12"/>
      <c r="J26" s="12"/>
      <c r="K26" s="8"/>
      <c r="L26" s="31"/>
      <c r="M26" s="35"/>
      <c r="N26" s="35"/>
      <c r="O26" s="35"/>
      <c r="Q26" s="12"/>
      <c r="S26"/>
      <c r="T26" s="210"/>
      <c r="U26" s="209"/>
    </row>
    <row r="27" spans="1:21" ht="15" x14ac:dyDescent="0.25">
      <c r="A27" s="15">
        <f t="shared" si="1"/>
        <v>20</v>
      </c>
      <c r="B27" s="11" t="s">
        <v>17</v>
      </c>
      <c r="C27" s="18" t="s">
        <v>18</v>
      </c>
      <c r="D27" s="5">
        <f>'UE-190529 Compliance PLR ECOS'!N71</f>
        <v>110970702.81193693</v>
      </c>
      <c r="E27" s="64">
        <f>+D27/$D$35</f>
        <v>1.0392214280883215E-2</v>
      </c>
      <c r="G27" s="5">
        <f>+E27*$G$37</f>
        <v>434621.42253756488</v>
      </c>
      <c r="H27" s="46">
        <f>+E27*$H$37</f>
        <v>139661.91865103084</v>
      </c>
      <c r="I27" s="5">
        <f>SUM(G27:H27)</f>
        <v>574283.34118859575</v>
      </c>
      <c r="J27" s="5"/>
      <c r="K27" s="4">
        <f>SUM('Projected Revenue on F2022'!C31)</f>
        <v>63800000</v>
      </c>
      <c r="L27" s="7"/>
      <c r="M27" s="37">
        <f>ROUND(G27/$K27,6)</f>
        <v>6.8120000000000003E-3</v>
      </c>
      <c r="N27" s="37">
        <f t="shared" si="9"/>
        <v>2.189E-3</v>
      </c>
      <c r="O27" s="37">
        <f>SUM(M27:N27)</f>
        <v>9.0010000000000003E-3</v>
      </c>
      <c r="Q27" s="5">
        <f>+O27*K27-I27</f>
        <v>-19.541188595700078</v>
      </c>
      <c r="R27" s="55"/>
      <c r="S27"/>
      <c r="T27" s="264" t="s">
        <v>346</v>
      </c>
      <c r="U27" s="265"/>
    </row>
    <row r="28" spans="1:21" ht="15" x14ac:dyDescent="0.25">
      <c r="A28" s="15">
        <f t="shared" si="1"/>
        <v>21</v>
      </c>
      <c r="C28" s="18"/>
      <c r="D28" s="12"/>
      <c r="E28" s="66"/>
      <c r="G28" s="12"/>
      <c r="H28" s="34"/>
      <c r="I28" s="12"/>
      <c r="J28" s="12"/>
      <c r="K28" s="8"/>
      <c r="L28" s="31"/>
      <c r="M28" s="35"/>
      <c r="N28" s="35"/>
      <c r="O28" s="35"/>
      <c r="Q28" s="12"/>
      <c r="S28"/>
      <c r="T28" s="210"/>
      <c r="U28" s="209"/>
    </row>
    <row r="29" spans="1:21" ht="15" x14ac:dyDescent="0.25">
      <c r="A29" s="15">
        <f t="shared" si="1"/>
        <v>22</v>
      </c>
      <c r="B29" s="17" t="s">
        <v>21</v>
      </c>
      <c r="C29" s="20" t="s">
        <v>66</v>
      </c>
      <c r="D29" s="5">
        <f>'UE-190529 Compliance PLR ECOS'!M71</f>
        <v>8095585.6017976543</v>
      </c>
      <c r="E29" s="64">
        <f>+D29/$D$35</f>
        <v>7.5813758200388973E-4</v>
      </c>
      <c r="G29" s="5">
        <f>+E29*$G$37</f>
        <v>31706.701330807864</v>
      </c>
      <c r="H29" s="46">
        <f>+E29*$H$37</f>
        <v>10188.680337249327</v>
      </c>
      <c r="I29" s="5">
        <f>SUM(G29:H29)</f>
        <v>41895.381668057191</v>
      </c>
      <c r="J29" s="5"/>
      <c r="K29" s="4">
        <f>SUM('Projected Revenue on F2022'!C33)</f>
        <v>1959816000</v>
      </c>
      <c r="L29" s="7"/>
      <c r="M29" s="37">
        <f>ROUND(G29/$K29,6)</f>
        <v>1.5999999999999999E-5</v>
      </c>
      <c r="N29" s="37">
        <f t="shared" si="9"/>
        <v>5.0000000000000004E-6</v>
      </c>
      <c r="O29" s="37">
        <f>SUM(M29:N29)</f>
        <v>2.0999999999999999E-5</v>
      </c>
      <c r="Q29" s="5">
        <f>+O29*K29-I29</f>
        <v>-739.24566805719223</v>
      </c>
      <c r="R29" s="55"/>
      <c r="S29"/>
      <c r="T29" s="264" t="s">
        <v>349</v>
      </c>
      <c r="U29" s="265"/>
    </row>
    <row r="30" spans="1:21" ht="15" x14ac:dyDescent="0.25">
      <c r="A30" s="15">
        <f t="shared" si="1"/>
        <v>23</v>
      </c>
      <c r="D30" s="12"/>
      <c r="E30" s="66"/>
      <c r="G30" s="12"/>
      <c r="H30" s="34"/>
      <c r="I30" s="12"/>
      <c r="J30" s="12"/>
      <c r="K30" s="8"/>
      <c r="L30" s="31"/>
      <c r="M30" s="35"/>
      <c r="N30" s="35"/>
      <c r="O30" s="35"/>
      <c r="Q30" s="12"/>
      <c r="S30"/>
      <c r="T30" s="210"/>
      <c r="U30" s="209"/>
    </row>
    <row r="31" spans="1:21" ht="15.75" thickBot="1" x14ac:dyDescent="0.3">
      <c r="A31" s="15">
        <f t="shared" si="1"/>
        <v>24</v>
      </c>
      <c r="B31" s="14" t="s">
        <v>19</v>
      </c>
      <c r="D31" s="10">
        <f>SUM(D10,D16,D21,D23,D25,D27,D29)</f>
        <v>10674740154.590946</v>
      </c>
      <c r="E31" s="67">
        <f>+D31/$D$35</f>
        <v>0.99967094258435674</v>
      </c>
      <c r="G31" s="10">
        <f>SUM(G10,G16,G21,G23,G25,G27,G29)</f>
        <v>41808068.559047855</v>
      </c>
      <c r="H31" s="48">
        <f>SUM(H10,H16,H21,H23,H25,H27,H29)</f>
        <v>13434669.271383623</v>
      </c>
      <c r="I31" s="10">
        <f>SUM(I10,I16,I21,I23,I25,I27,I29)</f>
        <v>55242737.830431461</v>
      </c>
      <c r="J31" s="10"/>
      <c r="K31" s="9">
        <f>SUM(K10,K16,K21,K23,K25,K27,K29)</f>
        <v>22591778000</v>
      </c>
      <c r="L31" s="7"/>
      <c r="M31" s="39">
        <f>ROUND(G31/$K31,6)</f>
        <v>1.851E-3</v>
      </c>
      <c r="N31" s="39">
        <f t="shared" si="9"/>
        <v>5.9500000000000004E-4</v>
      </c>
      <c r="O31" s="39">
        <f>SUM(M31:N31)</f>
        <v>2.4460000000000003E-3</v>
      </c>
      <c r="Q31" s="10">
        <f>SUM(Q10,Q16,Q21,Q23,Q25,Q27,Q29)</f>
        <v>-6710.6784314644028</v>
      </c>
      <c r="S31"/>
      <c r="T31" s="210"/>
      <c r="U31" s="209"/>
    </row>
    <row r="32" spans="1:21" ht="15.75" thickTop="1" x14ac:dyDescent="0.25">
      <c r="A32" s="15">
        <f t="shared" si="1"/>
        <v>25</v>
      </c>
      <c r="D32" s="16"/>
      <c r="E32" s="68"/>
      <c r="G32" s="16"/>
      <c r="H32" s="16"/>
      <c r="I32" s="16"/>
      <c r="J32" s="16"/>
      <c r="K32" s="32"/>
      <c r="L32" s="7"/>
      <c r="M32" s="59"/>
      <c r="N32" s="59"/>
      <c r="O32" s="59"/>
      <c r="Q32" s="16"/>
      <c r="S32"/>
      <c r="T32" s="210"/>
      <c r="U32" s="209"/>
    </row>
    <row r="33" spans="1:21" ht="15" x14ac:dyDescent="0.25">
      <c r="A33" s="15">
        <f t="shared" si="1"/>
        <v>26</v>
      </c>
      <c r="B33" s="14" t="s">
        <v>363</v>
      </c>
      <c r="D33" s="5">
        <f>'UE-190529 Compliance PLR ECOS'!O71</f>
        <v>3513758.6362680881</v>
      </c>
      <c r="E33" s="64">
        <f>+D33/$D$35</f>
        <v>3.2905741564316757E-4</v>
      </c>
      <c r="G33" s="5">
        <f>+E33*$G$37</f>
        <v>13761.783409956173</v>
      </c>
      <c r="H33" s="46">
        <f>+E33*$H$37</f>
        <v>4422.2327189320358</v>
      </c>
      <c r="I33" s="5">
        <f>SUM(G33:H33)</f>
        <v>18184.016128888208</v>
      </c>
      <c r="J33" s="5"/>
      <c r="K33" s="4">
        <f>SUM('Projected Revenue on F2022'!C39)</f>
        <v>7101000</v>
      </c>
      <c r="L33" s="7"/>
      <c r="M33" s="37"/>
      <c r="N33" s="37"/>
      <c r="O33" s="37"/>
      <c r="Q33" s="5"/>
      <c r="R33" s="55"/>
      <c r="S33"/>
      <c r="T33" s="210"/>
      <c r="U33" s="209"/>
    </row>
    <row r="34" spans="1:21" ht="15" x14ac:dyDescent="0.25">
      <c r="A34" s="15">
        <f t="shared" si="1"/>
        <v>27</v>
      </c>
      <c r="D34" s="12"/>
      <c r="E34" s="66"/>
      <c r="G34" s="12"/>
      <c r="H34" s="34"/>
      <c r="I34" s="12"/>
      <c r="J34" s="12"/>
      <c r="K34" s="8"/>
      <c r="L34" s="31"/>
      <c r="M34" s="35"/>
      <c r="N34" s="35"/>
      <c r="O34" s="35"/>
      <c r="Q34" s="12"/>
      <c r="S34"/>
      <c r="T34" s="208"/>
      <c r="U34" s="209"/>
    </row>
    <row r="35" spans="1:21" ht="15.75" thickBot="1" x14ac:dyDescent="0.3">
      <c r="A35" s="15">
        <f t="shared" si="1"/>
        <v>28</v>
      </c>
      <c r="B35" s="14" t="s">
        <v>20</v>
      </c>
      <c r="D35" s="10">
        <f>SUM(D31,D33)</f>
        <v>10678253913.227215</v>
      </c>
      <c r="E35" s="67">
        <f>SUM(E31,E33)</f>
        <v>0.99999999999999989</v>
      </c>
      <c r="G35" s="10">
        <f>SUM(G31,G33)</f>
        <v>41821830.342457809</v>
      </c>
      <c r="H35" s="48">
        <f>SUM(H31,H33)</f>
        <v>13439091.504102554</v>
      </c>
      <c r="I35" s="10">
        <f>SUM(I31,I33)</f>
        <v>55260921.846560352</v>
      </c>
      <c r="J35" s="10"/>
      <c r="K35" s="9">
        <f>SUM(K31,K33)</f>
        <v>22598879000</v>
      </c>
      <c r="L35" s="7"/>
      <c r="M35" s="39">
        <f>ROUND(G35/$K35,6)</f>
        <v>1.851E-3</v>
      </c>
      <c r="N35" s="39">
        <f t="shared" ref="N35" si="12">ROUND((H35)/$K35,6)</f>
        <v>5.9500000000000004E-4</v>
      </c>
      <c r="O35" s="39">
        <f>SUM(M35:N35)</f>
        <v>2.4460000000000003E-3</v>
      </c>
      <c r="P35" s="55"/>
      <c r="Q35" s="10">
        <f>SUM(Q31,Q33)</f>
        <v>-6710.6784314644028</v>
      </c>
      <c r="R35" s="55"/>
      <c r="S35"/>
      <c r="T35" s="211"/>
      <c r="U35" s="212"/>
    </row>
    <row r="36" spans="1:21" ht="15.75" thickTop="1" x14ac:dyDescent="0.25">
      <c r="A36" s="15">
        <f t="shared" si="1"/>
        <v>29</v>
      </c>
      <c r="P36" s="56"/>
      <c r="R36" s="55"/>
      <c r="T36"/>
      <c r="U36"/>
    </row>
    <row r="37" spans="1:21" ht="15.75" thickBot="1" x14ac:dyDescent="0.3">
      <c r="A37" s="15">
        <f t="shared" si="1"/>
        <v>30</v>
      </c>
      <c r="B37" s="11" t="s">
        <v>67</v>
      </c>
      <c r="D37" s="12"/>
      <c r="G37" s="224">
        <f>+'2022 PRELIM Rev Req'!H18</f>
        <v>41821830.342457801</v>
      </c>
      <c r="H37" s="224">
        <f>+'2022 PRELIM Rev Req'!H19</f>
        <v>13439091.504102552</v>
      </c>
      <c r="I37" s="90">
        <f>SUM(G37:H37)</f>
        <v>55260921.846560352</v>
      </c>
      <c r="T37"/>
      <c r="U37"/>
    </row>
    <row r="38" spans="1:21" ht="15.75" thickTop="1" x14ac:dyDescent="0.25">
      <c r="G38" s="54" t="s">
        <v>5</v>
      </c>
      <c r="H38" s="54" t="s">
        <v>6</v>
      </c>
      <c r="T38"/>
      <c r="U38"/>
    </row>
  </sheetData>
  <mergeCells count="5">
    <mergeCell ref="A1:Q1"/>
    <mergeCell ref="A2:Q2"/>
    <mergeCell ref="A3:Q3"/>
    <mergeCell ref="T27:U27"/>
    <mergeCell ref="T29:U29"/>
  </mergeCells>
  <printOptions horizontalCentered="1"/>
  <pageMargins left="0.7" right="0.7" top="0.75" bottom="0.75" header="0.3" footer="0.3"/>
  <pageSetup scale="67" fitToHeight="0" orientation="landscape" r:id="rId1"/>
  <headerFooter alignWithMargins="0">
    <oddFooter xml:space="preserve">&amp;L&amp;F
&amp;A&amp;RPage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zoomScaleNormal="100" workbookViewId="0">
      <pane xSplit="4" ySplit="6" topLeftCell="E7" activePane="bottomRight" state="frozen"/>
      <selection activeCell="E8" sqref="E8"/>
      <selection pane="topRight" activeCell="E8" sqref="E8"/>
      <selection pane="bottomLeft" activeCell="E8" sqref="E8"/>
      <selection pane="bottomRight" activeCell="L34" sqref="L34"/>
    </sheetView>
  </sheetViews>
  <sheetFormatPr defaultColWidth="5.85546875" defaultRowHeight="12.75" x14ac:dyDescent="0.2"/>
  <cols>
    <col min="1" max="1" width="21" style="62" customWidth="1"/>
    <col min="2" max="2" width="6" style="62" bestFit="1" customWidth="1"/>
    <col min="3" max="3" width="9.42578125" style="62" bestFit="1" customWidth="1"/>
    <col min="4" max="4" width="11.5703125" style="62" bestFit="1" customWidth="1"/>
    <col min="5" max="6" width="8.7109375" style="62" bestFit="1" customWidth="1"/>
    <col min="7" max="7" width="11.28515625" style="62" bestFit="1" customWidth="1"/>
    <col min="8" max="8" width="9.42578125" style="62" bestFit="1" customWidth="1"/>
    <col min="9" max="10" width="6.7109375" style="62" bestFit="1" customWidth="1"/>
    <col min="11" max="11" width="8" style="62" bestFit="1" customWidth="1"/>
    <col min="12" max="12" width="7.140625" style="62" bestFit="1" customWidth="1"/>
    <col min="13" max="14" width="8.28515625" style="62" bestFit="1" customWidth="1"/>
    <col min="15" max="15" width="8.42578125" style="62" customWidth="1"/>
    <col min="16" max="16" width="8.28515625" style="62" bestFit="1" customWidth="1"/>
    <col min="17" max="17" width="13.42578125" style="62" customWidth="1"/>
    <col min="18" max="18" width="10.28515625" style="62" customWidth="1"/>
    <col min="19" max="19" width="9.85546875" style="62" customWidth="1"/>
    <col min="20" max="20" width="11" style="62" customWidth="1"/>
    <col min="21" max="21" width="12.140625" style="62" customWidth="1"/>
    <col min="22" max="22" width="10.42578125" style="62" customWidth="1"/>
    <col min="23" max="16384" width="5.85546875" style="62"/>
  </cols>
  <sheetData>
    <row r="1" spans="1:12" s="61" customFormat="1" ht="1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61" customFormat="1" ht="15" x14ac:dyDescent="0.25">
      <c r="A2" s="148" t="s">
        <v>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61" customFormat="1" ht="15" x14ac:dyDescent="0.25">
      <c r="A3" s="148" t="s">
        <v>369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61" customFormat="1" ht="15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61" customFormat="1" ht="15" x14ac:dyDescent="0.25">
      <c r="A5" s="151"/>
      <c r="B5" s="151"/>
      <c r="C5" s="269" t="s">
        <v>330</v>
      </c>
      <c r="D5" s="269"/>
      <c r="E5" s="269"/>
      <c r="F5" s="269"/>
      <c r="G5" s="152"/>
      <c r="H5" s="269" t="s">
        <v>331</v>
      </c>
      <c r="I5" s="269"/>
      <c r="J5" s="269"/>
      <c r="K5" s="269"/>
      <c r="L5" s="153"/>
    </row>
    <row r="6" spans="1:12" s="61" customFormat="1" ht="34.5" x14ac:dyDescent="0.25">
      <c r="A6" s="154" t="s">
        <v>34</v>
      </c>
      <c r="B6" s="154" t="s">
        <v>62</v>
      </c>
      <c r="C6" s="154" t="s">
        <v>332</v>
      </c>
      <c r="D6" s="154" t="s">
        <v>333</v>
      </c>
      <c r="E6" s="154" t="s">
        <v>334</v>
      </c>
      <c r="F6" s="154" t="s">
        <v>335</v>
      </c>
      <c r="G6" s="152"/>
      <c r="H6" s="154" t="s">
        <v>332</v>
      </c>
      <c r="I6" s="154" t="s">
        <v>333</v>
      </c>
      <c r="J6" s="154" t="s">
        <v>334</v>
      </c>
      <c r="K6" s="154" t="s">
        <v>335</v>
      </c>
      <c r="L6" s="155" t="s">
        <v>336</v>
      </c>
    </row>
    <row r="7" spans="1:12" s="61" customFormat="1" ht="15" x14ac:dyDescent="0.25">
      <c r="A7" s="151" t="s">
        <v>61</v>
      </c>
      <c r="B7" s="156">
        <v>1106</v>
      </c>
      <c r="C7" s="157">
        <f>ROUND(+$E$26,2)</f>
        <v>7.49</v>
      </c>
      <c r="D7" s="157">
        <f t="shared" ref="D7:D18" si="0">ROUND(IF($B7&gt;600,600*$E$59,$B7*$E$37),2)</f>
        <v>58.08</v>
      </c>
      <c r="E7" s="157">
        <f t="shared" ref="E7:E18" si="1">ROUND(IF($B7&gt;600,($B7-600)*$E$60,0),2)</f>
        <v>59.02</v>
      </c>
      <c r="F7" s="158">
        <f t="shared" ref="F7:F18" si="2">SUM(C7:E7)</f>
        <v>124.59</v>
      </c>
      <c r="G7" s="152"/>
      <c r="H7" s="157">
        <f>ROUND(+$F$26,2)</f>
        <v>7.49</v>
      </c>
      <c r="I7" s="157">
        <f t="shared" ref="I7:I18" si="3">ROUND(IF($B7&gt;600,600*$F$59,$B7*$F$37),2)</f>
        <v>58.06</v>
      </c>
      <c r="J7" s="157">
        <f t="shared" ref="J7:J18" si="4">ROUND(IF($B7&gt;600,($B7-600)*$F$60,0),2)</f>
        <v>59</v>
      </c>
      <c r="K7" s="158">
        <f t="shared" ref="K7:K18" si="5">SUM(H7:J7)</f>
        <v>124.55</v>
      </c>
      <c r="L7" s="158">
        <f>+K7-F7</f>
        <v>-4.0000000000006253E-2</v>
      </c>
    </row>
    <row r="8" spans="1:12" s="61" customFormat="1" ht="15" x14ac:dyDescent="0.25">
      <c r="A8" s="151" t="s">
        <v>60</v>
      </c>
      <c r="B8" s="156">
        <v>1020</v>
      </c>
      <c r="C8" s="157">
        <f t="shared" ref="C8:C18" si="6">ROUND(+$E$26,2)</f>
        <v>7.49</v>
      </c>
      <c r="D8" s="157">
        <f t="shared" si="0"/>
        <v>58.08</v>
      </c>
      <c r="E8" s="157">
        <f t="shared" si="1"/>
        <v>48.99</v>
      </c>
      <c r="F8" s="158">
        <f t="shared" si="2"/>
        <v>114.56</v>
      </c>
      <c r="G8" s="152"/>
      <c r="H8" s="157">
        <f t="shared" ref="H8:H18" si="7">ROUND(+$F$26,2)</f>
        <v>7.49</v>
      </c>
      <c r="I8" s="157">
        <f t="shared" si="3"/>
        <v>58.06</v>
      </c>
      <c r="J8" s="157">
        <f t="shared" si="4"/>
        <v>48.97</v>
      </c>
      <c r="K8" s="158">
        <f t="shared" si="5"/>
        <v>114.52</v>
      </c>
      <c r="L8" s="158">
        <f t="shared" ref="L8:L18" si="8">+K8-F8</f>
        <v>-4.0000000000006253E-2</v>
      </c>
    </row>
    <row r="9" spans="1:12" s="61" customFormat="1" ht="15" x14ac:dyDescent="0.25">
      <c r="A9" s="151" t="s">
        <v>59</v>
      </c>
      <c r="B9" s="156">
        <v>888</v>
      </c>
      <c r="C9" s="157">
        <f t="shared" si="6"/>
        <v>7.49</v>
      </c>
      <c r="D9" s="157">
        <f t="shared" si="0"/>
        <v>58.08</v>
      </c>
      <c r="E9" s="157">
        <f t="shared" si="1"/>
        <v>33.590000000000003</v>
      </c>
      <c r="F9" s="158">
        <f t="shared" si="2"/>
        <v>99.16</v>
      </c>
      <c r="G9" s="152"/>
      <c r="H9" s="157">
        <f t="shared" si="7"/>
        <v>7.49</v>
      </c>
      <c r="I9" s="157">
        <f t="shared" si="3"/>
        <v>58.06</v>
      </c>
      <c r="J9" s="157">
        <f t="shared" si="4"/>
        <v>33.58</v>
      </c>
      <c r="K9" s="158">
        <f t="shared" si="5"/>
        <v>99.13</v>
      </c>
      <c r="L9" s="158">
        <f t="shared" si="8"/>
        <v>-3.0000000000001137E-2</v>
      </c>
    </row>
    <row r="10" spans="1:12" s="61" customFormat="1" ht="15" x14ac:dyDescent="0.25">
      <c r="A10" s="151" t="s">
        <v>58</v>
      </c>
      <c r="B10" s="156">
        <v>853</v>
      </c>
      <c r="C10" s="157">
        <f t="shared" si="6"/>
        <v>7.49</v>
      </c>
      <c r="D10" s="157">
        <f t="shared" si="0"/>
        <v>58.08</v>
      </c>
      <c r="E10" s="157">
        <f t="shared" si="1"/>
        <v>29.51</v>
      </c>
      <c r="F10" s="158">
        <f t="shared" si="2"/>
        <v>95.08</v>
      </c>
      <c r="G10" s="152"/>
      <c r="H10" s="157">
        <f t="shared" si="7"/>
        <v>7.49</v>
      </c>
      <c r="I10" s="157">
        <f t="shared" si="3"/>
        <v>58.06</v>
      </c>
      <c r="J10" s="157">
        <f t="shared" si="4"/>
        <v>29.5</v>
      </c>
      <c r="K10" s="158">
        <f t="shared" si="5"/>
        <v>95.05</v>
      </c>
      <c r="L10" s="158">
        <f t="shared" si="8"/>
        <v>-3.0000000000001137E-2</v>
      </c>
    </row>
    <row r="11" spans="1:12" s="61" customFormat="1" ht="15" x14ac:dyDescent="0.25">
      <c r="A11" s="151" t="s">
        <v>57</v>
      </c>
      <c r="B11" s="156">
        <v>716</v>
      </c>
      <c r="C11" s="157">
        <f t="shared" si="6"/>
        <v>7.49</v>
      </c>
      <c r="D11" s="157">
        <f t="shared" si="0"/>
        <v>58.08</v>
      </c>
      <c r="E11" s="157">
        <f t="shared" si="1"/>
        <v>13.53</v>
      </c>
      <c r="F11" s="158">
        <f t="shared" si="2"/>
        <v>79.099999999999994</v>
      </c>
      <c r="G11" s="152"/>
      <c r="H11" s="157">
        <f t="shared" si="7"/>
        <v>7.49</v>
      </c>
      <c r="I11" s="157">
        <f t="shared" si="3"/>
        <v>58.06</v>
      </c>
      <c r="J11" s="157">
        <f t="shared" si="4"/>
        <v>13.53</v>
      </c>
      <c r="K11" s="158">
        <f t="shared" si="5"/>
        <v>79.08</v>
      </c>
      <c r="L11" s="158">
        <f t="shared" si="8"/>
        <v>-1.9999999999996021E-2</v>
      </c>
    </row>
    <row r="12" spans="1:12" s="61" customFormat="1" ht="15" x14ac:dyDescent="0.25">
      <c r="A12" s="151" t="s">
        <v>56</v>
      </c>
      <c r="B12" s="156">
        <v>644</v>
      </c>
      <c r="C12" s="157">
        <f t="shared" si="6"/>
        <v>7.49</v>
      </c>
      <c r="D12" s="157">
        <f t="shared" si="0"/>
        <v>58.08</v>
      </c>
      <c r="E12" s="157">
        <f t="shared" si="1"/>
        <v>5.13</v>
      </c>
      <c r="F12" s="158">
        <f t="shared" si="2"/>
        <v>70.699999999999989</v>
      </c>
      <c r="G12" s="152"/>
      <c r="H12" s="157">
        <f t="shared" si="7"/>
        <v>7.49</v>
      </c>
      <c r="I12" s="157">
        <f t="shared" si="3"/>
        <v>58.06</v>
      </c>
      <c r="J12" s="157">
        <f t="shared" si="4"/>
        <v>5.13</v>
      </c>
      <c r="K12" s="158">
        <f t="shared" si="5"/>
        <v>70.679999999999993</v>
      </c>
      <c r="L12" s="158">
        <f t="shared" si="8"/>
        <v>-1.9999999999996021E-2</v>
      </c>
    </row>
    <row r="13" spans="1:12" s="61" customFormat="1" ht="15" x14ac:dyDescent="0.25">
      <c r="A13" s="151" t="s">
        <v>55</v>
      </c>
      <c r="B13" s="156">
        <v>632</v>
      </c>
      <c r="C13" s="157">
        <f t="shared" si="6"/>
        <v>7.49</v>
      </c>
      <c r="D13" s="157">
        <f t="shared" si="0"/>
        <v>58.08</v>
      </c>
      <c r="E13" s="157">
        <f t="shared" si="1"/>
        <v>3.73</v>
      </c>
      <c r="F13" s="158">
        <f t="shared" si="2"/>
        <v>69.3</v>
      </c>
      <c r="G13" s="152"/>
      <c r="H13" s="157">
        <f t="shared" si="7"/>
        <v>7.49</v>
      </c>
      <c r="I13" s="157">
        <f t="shared" si="3"/>
        <v>58.06</v>
      </c>
      <c r="J13" s="157">
        <f t="shared" si="4"/>
        <v>3.73</v>
      </c>
      <c r="K13" s="158">
        <f t="shared" si="5"/>
        <v>69.28</v>
      </c>
      <c r="L13" s="158">
        <f t="shared" si="8"/>
        <v>-1.9999999999996021E-2</v>
      </c>
    </row>
    <row r="14" spans="1:12" s="61" customFormat="1" ht="15" x14ac:dyDescent="0.25">
      <c r="A14" s="151" t="s">
        <v>54</v>
      </c>
      <c r="B14" s="156">
        <v>672</v>
      </c>
      <c r="C14" s="157">
        <f t="shared" si="6"/>
        <v>7.49</v>
      </c>
      <c r="D14" s="157">
        <f t="shared" si="0"/>
        <v>58.08</v>
      </c>
      <c r="E14" s="157">
        <f t="shared" si="1"/>
        <v>8.4</v>
      </c>
      <c r="F14" s="158">
        <f t="shared" si="2"/>
        <v>73.97</v>
      </c>
      <c r="G14" s="152"/>
      <c r="H14" s="157">
        <f t="shared" si="7"/>
        <v>7.49</v>
      </c>
      <c r="I14" s="157">
        <f t="shared" si="3"/>
        <v>58.06</v>
      </c>
      <c r="J14" s="157">
        <f t="shared" si="4"/>
        <v>8.4</v>
      </c>
      <c r="K14" s="158">
        <f t="shared" si="5"/>
        <v>73.95</v>
      </c>
      <c r="L14" s="158">
        <f t="shared" si="8"/>
        <v>-1.9999999999996021E-2</v>
      </c>
    </row>
    <row r="15" spans="1:12" s="61" customFormat="1" ht="15" x14ac:dyDescent="0.25">
      <c r="A15" s="151" t="s">
        <v>53</v>
      </c>
      <c r="B15" s="156">
        <v>675</v>
      </c>
      <c r="C15" s="157">
        <f t="shared" si="6"/>
        <v>7.49</v>
      </c>
      <c r="D15" s="157">
        <f t="shared" si="0"/>
        <v>58.08</v>
      </c>
      <c r="E15" s="157">
        <f t="shared" si="1"/>
        <v>8.75</v>
      </c>
      <c r="F15" s="158">
        <f t="shared" si="2"/>
        <v>74.319999999999993</v>
      </c>
      <c r="G15" s="152"/>
      <c r="H15" s="157">
        <f t="shared" si="7"/>
        <v>7.49</v>
      </c>
      <c r="I15" s="157">
        <f t="shared" si="3"/>
        <v>58.06</v>
      </c>
      <c r="J15" s="157">
        <f t="shared" si="4"/>
        <v>8.75</v>
      </c>
      <c r="K15" s="158">
        <f t="shared" si="5"/>
        <v>74.3</v>
      </c>
      <c r="L15" s="158">
        <f t="shared" si="8"/>
        <v>-1.9999999999996021E-2</v>
      </c>
    </row>
    <row r="16" spans="1:12" s="61" customFormat="1" ht="15" x14ac:dyDescent="0.25">
      <c r="A16" s="151" t="s">
        <v>52</v>
      </c>
      <c r="B16" s="156">
        <v>730</v>
      </c>
      <c r="C16" s="157">
        <f t="shared" si="6"/>
        <v>7.49</v>
      </c>
      <c r="D16" s="157">
        <f t="shared" si="0"/>
        <v>58.08</v>
      </c>
      <c r="E16" s="157">
        <f t="shared" si="1"/>
        <v>15.16</v>
      </c>
      <c r="F16" s="158">
        <f t="shared" si="2"/>
        <v>80.72999999999999</v>
      </c>
      <c r="G16" s="152"/>
      <c r="H16" s="157">
        <f t="shared" si="7"/>
        <v>7.49</v>
      </c>
      <c r="I16" s="157">
        <f t="shared" si="3"/>
        <v>58.06</v>
      </c>
      <c r="J16" s="157">
        <f t="shared" si="4"/>
        <v>15.16</v>
      </c>
      <c r="K16" s="158">
        <f t="shared" si="5"/>
        <v>80.709999999999994</v>
      </c>
      <c r="L16" s="158">
        <f t="shared" si="8"/>
        <v>-1.9999999999996021E-2</v>
      </c>
    </row>
    <row r="17" spans="1:12" s="61" customFormat="1" ht="15" x14ac:dyDescent="0.25">
      <c r="A17" s="151" t="s">
        <v>51</v>
      </c>
      <c r="B17" s="156">
        <v>1019</v>
      </c>
      <c r="C17" s="157">
        <f t="shared" si="6"/>
        <v>7.49</v>
      </c>
      <c r="D17" s="157">
        <f t="shared" si="0"/>
        <v>58.08</v>
      </c>
      <c r="E17" s="157">
        <f t="shared" si="1"/>
        <v>48.87</v>
      </c>
      <c r="F17" s="158">
        <f t="shared" si="2"/>
        <v>114.44</v>
      </c>
      <c r="G17" s="152"/>
      <c r="H17" s="157">
        <f t="shared" si="7"/>
        <v>7.49</v>
      </c>
      <c r="I17" s="157">
        <f t="shared" si="3"/>
        <v>58.06</v>
      </c>
      <c r="J17" s="157">
        <f t="shared" si="4"/>
        <v>48.86</v>
      </c>
      <c r="K17" s="158">
        <f t="shared" si="5"/>
        <v>114.41</v>
      </c>
      <c r="L17" s="158">
        <f t="shared" si="8"/>
        <v>-3.0000000000001137E-2</v>
      </c>
    </row>
    <row r="18" spans="1:12" s="61" customFormat="1" ht="15" x14ac:dyDescent="0.25">
      <c r="A18" s="151" t="s">
        <v>50</v>
      </c>
      <c r="B18" s="156">
        <v>1099</v>
      </c>
      <c r="C18" s="157">
        <f t="shared" si="6"/>
        <v>7.49</v>
      </c>
      <c r="D18" s="157">
        <f t="shared" si="0"/>
        <v>58.08</v>
      </c>
      <c r="E18" s="157">
        <f t="shared" si="1"/>
        <v>58.2</v>
      </c>
      <c r="F18" s="158">
        <f t="shared" si="2"/>
        <v>123.77</v>
      </c>
      <c r="G18" s="152"/>
      <c r="H18" s="157">
        <f t="shared" si="7"/>
        <v>7.49</v>
      </c>
      <c r="I18" s="157">
        <f t="shared" si="3"/>
        <v>58.06</v>
      </c>
      <c r="J18" s="157">
        <f t="shared" si="4"/>
        <v>58.18</v>
      </c>
      <c r="K18" s="158">
        <f t="shared" si="5"/>
        <v>123.72999999999999</v>
      </c>
      <c r="L18" s="158">
        <f t="shared" si="8"/>
        <v>-4.0000000000006253E-2</v>
      </c>
    </row>
    <row r="19" spans="1:12" s="61" customFormat="1" ht="15" x14ac:dyDescent="0.25">
      <c r="A19" s="151"/>
      <c r="B19" s="151"/>
      <c r="C19" s="157"/>
      <c r="D19" s="151"/>
      <c r="E19" s="151"/>
      <c r="F19" s="151"/>
      <c r="G19" s="152"/>
      <c r="H19" s="157"/>
      <c r="I19" s="151"/>
      <c r="J19" s="151"/>
      <c r="K19" s="151"/>
      <c r="L19" s="151"/>
    </row>
    <row r="20" spans="1:12" s="61" customFormat="1" ht="15.75" thickBot="1" x14ac:dyDescent="0.3">
      <c r="A20" s="159" t="s">
        <v>49</v>
      </c>
      <c r="B20" s="160">
        <f>SUM(B7:B19)</f>
        <v>10054</v>
      </c>
      <c r="C20" s="161">
        <f>SUM(C7:C19)</f>
        <v>89.88</v>
      </c>
      <c r="D20" s="161">
        <f>SUM(D7:D19)</f>
        <v>696.96</v>
      </c>
      <c r="E20" s="161">
        <f>SUM(E7:E19)</f>
        <v>332.88</v>
      </c>
      <c r="F20" s="161">
        <f>SUM(F7:F19)</f>
        <v>1119.72</v>
      </c>
      <c r="G20" s="152"/>
      <c r="H20" s="161">
        <f>SUM(H7:H19)</f>
        <v>89.88</v>
      </c>
      <c r="I20" s="161">
        <f>SUM(I7:I19)</f>
        <v>696.7199999999998</v>
      </c>
      <c r="J20" s="161">
        <f>SUM(J7:J19)</f>
        <v>332.79</v>
      </c>
      <c r="K20" s="161">
        <f>SUM(K7:K19)</f>
        <v>1119.3899999999999</v>
      </c>
      <c r="L20" s="161">
        <f t="shared" ref="L20" si="9">+K20-F20</f>
        <v>-0.33000000000015461</v>
      </c>
    </row>
    <row r="21" spans="1:12" s="61" customFormat="1" ht="15.75" thickTop="1" x14ac:dyDescent="0.25">
      <c r="A21" s="151"/>
      <c r="B21" s="151"/>
      <c r="C21" s="151"/>
      <c r="D21" s="151"/>
      <c r="E21" s="151"/>
      <c r="F21" s="151"/>
      <c r="G21" s="152"/>
      <c r="H21" s="151"/>
      <c r="I21" s="151"/>
      <c r="J21" s="151"/>
      <c r="K21" s="151"/>
      <c r="L21" s="151"/>
    </row>
    <row r="22" spans="1:12" s="61" customFormat="1" ht="15.75" thickBot="1" x14ac:dyDescent="0.3">
      <c r="A22" s="162" t="s">
        <v>337</v>
      </c>
      <c r="B22" s="163">
        <f>ROUND(AVERAGE(B7:B18),-2)</f>
        <v>800</v>
      </c>
      <c r="C22" s="164">
        <f>ROUND(+$E$26,2)</f>
        <v>7.49</v>
      </c>
      <c r="D22" s="164">
        <f>ROUND(IF($B22&gt;600,600*$E$59,$B22*$E$37),2)</f>
        <v>58.08</v>
      </c>
      <c r="E22" s="164">
        <f>ROUND(IF($B22&gt;600,($B22-600)*$E$60,0),2)</f>
        <v>23.33</v>
      </c>
      <c r="F22" s="164">
        <f>SUM(C22:E22)</f>
        <v>88.899999999999991</v>
      </c>
      <c r="G22" s="152"/>
      <c r="H22" s="164">
        <f>ROUND(+$F$26,2)</f>
        <v>7.49</v>
      </c>
      <c r="I22" s="164">
        <f>ROUND(IF($B22&gt;600,600*$F$59,$B22*$F$37),2)</f>
        <v>58.06</v>
      </c>
      <c r="J22" s="164">
        <f>ROUND(IF($B22&gt;600,($B22-600)*$F$60,0),2)</f>
        <v>23.32</v>
      </c>
      <c r="K22" s="164">
        <f>SUM(H22:J22)</f>
        <v>88.87</v>
      </c>
      <c r="L22" s="164">
        <f t="shared" ref="L22" si="10">+K22-F22</f>
        <v>-2.9999999999986926E-2</v>
      </c>
    </row>
    <row r="23" spans="1:12" s="61" customFormat="1" ht="15.75" thickTop="1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spans="1:12" s="61" customFormat="1" ht="45.75" x14ac:dyDescent="0.25">
      <c r="A24" s="165" t="s">
        <v>108</v>
      </c>
      <c r="B24" s="166"/>
      <c r="C24" s="166"/>
      <c r="D24" s="166"/>
      <c r="E24" s="167" t="s">
        <v>403</v>
      </c>
      <c r="F24" s="167" t="s">
        <v>404</v>
      </c>
      <c r="G24" s="151"/>
      <c r="H24" s="151"/>
      <c r="I24" s="151"/>
      <c r="J24" s="151"/>
      <c r="K24" s="151"/>
      <c r="L24" s="151"/>
    </row>
    <row r="25" spans="1:12" s="61" customFormat="1" ht="15" x14ac:dyDescent="0.25">
      <c r="A25" s="268" t="s">
        <v>48</v>
      </c>
      <c r="B25" s="268"/>
      <c r="C25" s="268"/>
      <c r="D25" s="268"/>
      <c r="E25" s="168"/>
      <c r="F25" s="168"/>
      <c r="G25" s="151"/>
      <c r="H25" s="151"/>
      <c r="I25" s="151"/>
      <c r="J25" s="151"/>
      <c r="K25" s="151"/>
      <c r="L25" s="151"/>
    </row>
    <row r="26" spans="1:12" s="61" customFormat="1" ht="15" x14ac:dyDescent="0.25">
      <c r="A26" s="271" t="s">
        <v>109</v>
      </c>
      <c r="B26" s="271"/>
      <c r="C26" s="271"/>
      <c r="D26" s="271"/>
      <c r="E26" s="169">
        <v>7.49</v>
      </c>
      <c r="F26" s="169">
        <f>+E26</f>
        <v>7.49</v>
      </c>
      <c r="G26" s="151" t="s">
        <v>38</v>
      </c>
      <c r="H26" s="151"/>
      <c r="I26" s="151"/>
      <c r="J26" s="151"/>
      <c r="K26" s="151"/>
      <c r="L26" s="151"/>
    </row>
    <row r="27" spans="1:12" s="61" customFormat="1" ht="15.75" thickBot="1" x14ac:dyDescent="0.3">
      <c r="A27" s="267" t="s">
        <v>82</v>
      </c>
      <c r="B27" s="267"/>
      <c r="C27" s="267"/>
      <c r="D27" s="267"/>
      <c r="E27" s="170">
        <f>SUM(E26)</f>
        <v>7.49</v>
      </c>
      <c r="F27" s="170">
        <f>SUM(F26:F26)</f>
        <v>7.49</v>
      </c>
      <c r="G27" s="151"/>
      <c r="H27" s="151"/>
      <c r="I27" s="151"/>
      <c r="J27" s="151"/>
      <c r="K27" s="151"/>
      <c r="L27" s="151"/>
    </row>
    <row r="28" spans="1:12" s="61" customFormat="1" ht="15.75" thickTop="1" x14ac:dyDescent="0.25">
      <c r="A28" s="268" t="s">
        <v>47</v>
      </c>
      <c r="B28" s="268"/>
      <c r="C28" s="268"/>
      <c r="D28" s="268"/>
      <c r="E28" s="171"/>
      <c r="F28" s="171"/>
      <c r="G28" s="151"/>
      <c r="H28" s="151"/>
      <c r="I28" s="151"/>
      <c r="J28" s="151"/>
      <c r="K28" s="151"/>
      <c r="L28" s="151"/>
    </row>
    <row r="29" spans="1:12" s="61" customFormat="1" ht="15" x14ac:dyDescent="0.25">
      <c r="A29" s="271" t="s">
        <v>46</v>
      </c>
      <c r="B29" s="271"/>
      <c r="C29" s="271"/>
      <c r="D29" s="271"/>
      <c r="E29" s="172">
        <v>9.1343999999999995E-2</v>
      </c>
      <c r="F29" s="172">
        <f>+E29</f>
        <v>9.1343999999999995E-2</v>
      </c>
      <c r="G29" s="151" t="s">
        <v>83</v>
      </c>
      <c r="H29" s="151"/>
      <c r="I29" s="151"/>
      <c r="J29" s="151"/>
      <c r="K29" s="151"/>
      <c r="L29" s="151"/>
    </row>
    <row r="30" spans="1:12" s="61" customFormat="1" ht="15" x14ac:dyDescent="0.25">
      <c r="A30" s="173" t="s">
        <v>41</v>
      </c>
      <c r="B30" s="173"/>
      <c r="C30" s="173"/>
      <c r="D30" s="173"/>
      <c r="E30" s="172">
        <v>1.3519999999999999E-3</v>
      </c>
      <c r="F30" s="172">
        <f t="shared" ref="F30:F36" si="11">+E30</f>
        <v>1.3519999999999999E-3</v>
      </c>
      <c r="G30" s="151" t="s">
        <v>83</v>
      </c>
      <c r="H30" s="151"/>
      <c r="I30" s="151"/>
      <c r="J30" s="151"/>
      <c r="K30" s="151"/>
      <c r="L30" s="151"/>
    </row>
    <row r="31" spans="1:12" s="61" customFormat="1" ht="15" x14ac:dyDescent="0.25">
      <c r="A31" s="179" t="s">
        <v>39</v>
      </c>
      <c r="B31" s="179"/>
      <c r="C31" s="179"/>
      <c r="D31" s="179"/>
      <c r="E31" s="180">
        <f>'2022 Prop Tax Rate Impacts'!F8</f>
        <v>3.0720000000000001E-3</v>
      </c>
      <c r="F31" s="180">
        <f>'2022 Prop Tax Rate Impacts'!G8</f>
        <v>3.039E-3</v>
      </c>
      <c r="G31" s="174" t="s">
        <v>83</v>
      </c>
      <c r="H31" s="174"/>
      <c r="I31" s="174"/>
      <c r="J31" s="174"/>
      <c r="K31" s="151"/>
      <c r="L31" s="151"/>
    </row>
    <row r="32" spans="1:12" s="61" customFormat="1" ht="15" x14ac:dyDescent="0.25">
      <c r="A32" s="173" t="s">
        <v>338</v>
      </c>
      <c r="B32" s="173"/>
      <c r="C32" s="173"/>
      <c r="D32" s="173"/>
      <c r="E32" s="172">
        <v>8.4999999999999995E-4</v>
      </c>
      <c r="F32" s="172">
        <f t="shared" si="11"/>
        <v>8.4999999999999995E-4</v>
      </c>
      <c r="G32" s="174" t="s">
        <v>83</v>
      </c>
      <c r="H32" s="174"/>
      <c r="I32" s="174"/>
      <c r="J32" s="174"/>
      <c r="K32" s="151"/>
      <c r="L32" s="151"/>
    </row>
    <row r="33" spans="1:12" s="61" customFormat="1" ht="15" x14ac:dyDescent="0.25">
      <c r="A33" s="173" t="s">
        <v>339</v>
      </c>
      <c r="B33" s="173"/>
      <c r="C33" s="173"/>
      <c r="D33" s="173"/>
      <c r="E33" s="172">
        <v>0</v>
      </c>
      <c r="F33" s="172">
        <f t="shared" si="11"/>
        <v>0</v>
      </c>
      <c r="G33" s="174" t="s">
        <v>83</v>
      </c>
      <c r="H33" s="174"/>
      <c r="I33" s="174"/>
      <c r="J33" s="174"/>
      <c r="K33" s="151"/>
      <c r="L33" s="151"/>
    </row>
    <row r="34" spans="1:12" s="61" customFormat="1" ht="15" x14ac:dyDescent="0.25">
      <c r="A34" s="173" t="s">
        <v>340</v>
      </c>
      <c r="B34" s="173"/>
      <c r="C34" s="173"/>
      <c r="D34" s="173"/>
      <c r="E34" s="172">
        <v>-8.8400000000000002E-4</v>
      </c>
      <c r="F34" s="172">
        <f t="shared" si="11"/>
        <v>-8.8400000000000002E-4</v>
      </c>
      <c r="G34" s="174" t="s">
        <v>83</v>
      </c>
      <c r="H34" s="174"/>
      <c r="I34" s="174"/>
      <c r="J34" s="174"/>
      <c r="K34" s="151"/>
      <c r="L34" s="151"/>
    </row>
    <row r="35" spans="1:12" s="61" customFormat="1" ht="15" x14ac:dyDescent="0.25">
      <c r="A35" s="173" t="s">
        <v>37</v>
      </c>
      <c r="B35" s="173"/>
      <c r="C35" s="173"/>
      <c r="D35" s="173"/>
      <c r="E35" s="172">
        <v>-4.17E-4</v>
      </c>
      <c r="F35" s="172">
        <f t="shared" si="11"/>
        <v>-4.17E-4</v>
      </c>
      <c r="G35" s="174" t="s">
        <v>83</v>
      </c>
      <c r="H35" s="174"/>
      <c r="I35" s="174"/>
      <c r="J35" s="174"/>
      <c r="K35" s="151"/>
      <c r="L35" s="151"/>
    </row>
    <row r="36" spans="1:12" s="61" customFormat="1" ht="15" x14ac:dyDescent="0.25">
      <c r="A36" s="173" t="s">
        <v>341</v>
      </c>
      <c r="B36" s="173"/>
      <c r="C36" s="173"/>
      <c r="D36" s="173"/>
      <c r="E36" s="172">
        <v>3.1400000000000004E-4</v>
      </c>
      <c r="F36" s="172">
        <f t="shared" si="11"/>
        <v>3.1400000000000004E-4</v>
      </c>
      <c r="G36" s="174" t="s">
        <v>83</v>
      </c>
      <c r="H36" s="174"/>
      <c r="I36" s="174"/>
      <c r="J36" s="174"/>
      <c r="K36" s="151"/>
      <c r="L36" s="151"/>
    </row>
    <row r="37" spans="1:12" s="61" customFormat="1" ht="15.75" thickBot="1" x14ac:dyDescent="0.3">
      <c r="A37" s="267" t="s">
        <v>84</v>
      </c>
      <c r="B37" s="267"/>
      <c r="C37" s="267"/>
      <c r="D37" s="267"/>
      <c r="E37" s="175">
        <f>SUM(E29:E36)</f>
        <v>9.5631000000000008E-2</v>
      </c>
      <c r="F37" s="175">
        <f>SUM(F29:F36)</f>
        <v>9.5598000000000002E-2</v>
      </c>
      <c r="G37" s="174" t="s">
        <v>83</v>
      </c>
      <c r="H37" s="174"/>
      <c r="I37" s="174"/>
      <c r="J37" s="174"/>
      <c r="K37" s="151"/>
      <c r="L37" s="151"/>
    </row>
    <row r="38" spans="1:12" s="61" customFormat="1" ht="15.75" thickTop="1" x14ac:dyDescent="0.25">
      <c r="A38" s="268"/>
      <c r="B38" s="268"/>
      <c r="C38" s="268"/>
      <c r="D38" s="268"/>
      <c r="E38" s="172"/>
      <c r="F38" s="172"/>
      <c r="G38" s="151"/>
      <c r="H38" s="151"/>
      <c r="I38" s="151"/>
      <c r="J38" s="151"/>
      <c r="K38" s="151"/>
      <c r="L38" s="151"/>
    </row>
    <row r="39" spans="1:12" s="61" customFormat="1" ht="15" x14ac:dyDescent="0.25">
      <c r="A39" s="268" t="s">
        <v>45</v>
      </c>
      <c r="B39" s="268"/>
      <c r="C39" s="268"/>
      <c r="D39" s="268"/>
      <c r="E39" s="172">
        <v>0.111175</v>
      </c>
      <c r="F39" s="172">
        <f>+E39</f>
        <v>0.111175</v>
      </c>
      <c r="G39" s="151" t="s">
        <v>83</v>
      </c>
      <c r="H39" s="151"/>
      <c r="I39" s="151"/>
      <c r="J39" s="151"/>
      <c r="K39" s="151"/>
      <c r="L39" s="151"/>
    </row>
    <row r="40" spans="1:12" s="61" customFormat="1" ht="15" x14ac:dyDescent="0.25">
      <c r="A40" s="173" t="s">
        <v>41</v>
      </c>
      <c r="B40" s="173"/>
      <c r="C40" s="173"/>
      <c r="D40" s="173"/>
      <c r="E40" s="172">
        <f t="shared" ref="E40:E46" si="12">+E30</f>
        <v>1.3519999999999999E-3</v>
      </c>
      <c r="F40" s="172">
        <f>F30</f>
        <v>1.3519999999999999E-3</v>
      </c>
      <c r="G40" s="151" t="s">
        <v>83</v>
      </c>
      <c r="H40" s="151"/>
      <c r="I40" s="151"/>
      <c r="J40" s="151"/>
      <c r="K40" s="151"/>
      <c r="L40" s="151"/>
    </row>
    <row r="41" spans="1:12" s="61" customFormat="1" ht="15" x14ac:dyDescent="0.25">
      <c r="A41" s="179" t="s">
        <v>39</v>
      </c>
      <c r="B41" s="179"/>
      <c r="C41" s="179"/>
      <c r="D41" s="179"/>
      <c r="E41" s="180">
        <f>E31</f>
        <v>3.0720000000000001E-3</v>
      </c>
      <c r="F41" s="180">
        <f>F31</f>
        <v>3.039E-3</v>
      </c>
      <c r="G41" s="151" t="s">
        <v>83</v>
      </c>
      <c r="H41" s="151"/>
      <c r="I41" s="151"/>
      <c r="J41" s="151"/>
      <c r="K41" s="151"/>
      <c r="L41" s="151"/>
    </row>
    <row r="42" spans="1:12" s="61" customFormat="1" ht="15" x14ac:dyDescent="0.25">
      <c r="A42" s="173" t="s">
        <v>342</v>
      </c>
      <c r="B42" s="173"/>
      <c r="C42" s="173"/>
      <c r="D42" s="173"/>
      <c r="E42" s="172">
        <f t="shared" si="12"/>
        <v>8.4999999999999995E-4</v>
      </c>
      <c r="F42" s="172">
        <f>F32</f>
        <v>8.4999999999999995E-4</v>
      </c>
      <c r="G42" s="174" t="s">
        <v>83</v>
      </c>
      <c r="H42" s="174"/>
      <c r="I42" s="174"/>
      <c r="J42" s="174"/>
      <c r="K42" s="151"/>
      <c r="L42" s="151"/>
    </row>
    <row r="43" spans="1:12" s="61" customFormat="1" ht="15" x14ac:dyDescent="0.25">
      <c r="A43" s="173" t="s">
        <v>339</v>
      </c>
      <c r="B43" s="173"/>
      <c r="C43" s="173"/>
      <c r="D43" s="173"/>
      <c r="E43" s="172">
        <f t="shared" si="12"/>
        <v>0</v>
      </c>
      <c r="F43" s="172">
        <f>F33</f>
        <v>0</v>
      </c>
      <c r="G43" s="174" t="s">
        <v>83</v>
      </c>
      <c r="H43" s="151"/>
      <c r="I43" s="151"/>
      <c r="J43" s="151"/>
      <c r="K43" s="151"/>
      <c r="L43" s="151"/>
    </row>
    <row r="44" spans="1:12" s="61" customFormat="1" ht="15" x14ac:dyDescent="0.25">
      <c r="A44" s="173" t="s">
        <v>340</v>
      </c>
      <c r="B44" s="173"/>
      <c r="C44" s="173"/>
      <c r="D44" s="173"/>
      <c r="E44" s="172">
        <f t="shared" si="12"/>
        <v>-8.8400000000000002E-4</v>
      </c>
      <c r="F44" s="172">
        <f>F34</f>
        <v>-8.8400000000000002E-4</v>
      </c>
      <c r="G44" s="174" t="s">
        <v>83</v>
      </c>
      <c r="H44" s="151"/>
      <c r="I44" s="151"/>
      <c r="J44" s="151"/>
      <c r="K44" s="151"/>
      <c r="L44" s="151"/>
    </row>
    <row r="45" spans="1:12" s="61" customFormat="1" ht="15" x14ac:dyDescent="0.25">
      <c r="A45" s="173" t="s">
        <v>37</v>
      </c>
      <c r="B45" s="173"/>
      <c r="C45" s="173"/>
      <c r="D45" s="173"/>
      <c r="E45" s="172">
        <f t="shared" si="12"/>
        <v>-4.17E-4</v>
      </c>
      <c r="F45" s="172">
        <f>+F35</f>
        <v>-4.17E-4</v>
      </c>
      <c r="G45" s="174" t="s">
        <v>83</v>
      </c>
      <c r="H45" s="174"/>
      <c r="I45" s="151"/>
      <c r="J45" s="151"/>
      <c r="K45" s="151"/>
      <c r="L45" s="151"/>
    </row>
    <row r="46" spans="1:12" s="61" customFormat="1" ht="15" x14ac:dyDescent="0.25">
      <c r="A46" s="173" t="s">
        <v>341</v>
      </c>
      <c r="B46" s="173"/>
      <c r="C46" s="173"/>
      <c r="D46" s="173"/>
      <c r="E46" s="172">
        <f t="shared" si="12"/>
        <v>3.1400000000000004E-4</v>
      </c>
      <c r="F46" s="172">
        <f t="shared" ref="F46" si="13">F36</f>
        <v>3.1400000000000004E-4</v>
      </c>
      <c r="G46" s="174" t="s">
        <v>83</v>
      </c>
      <c r="H46" s="174"/>
      <c r="I46" s="174"/>
      <c r="J46" s="174"/>
      <c r="K46" s="151"/>
      <c r="L46" s="151"/>
    </row>
    <row r="47" spans="1:12" s="61" customFormat="1" ht="15.75" thickBot="1" x14ac:dyDescent="0.3">
      <c r="A47" s="267" t="s">
        <v>85</v>
      </c>
      <c r="B47" s="267"/>
      <c r="C47" s="267"/>
      <c r="D47" s="267"/>
      <c r="E47" s="175">
        <f>SUM(E39:E46)</f>
        <v>0.11546200000000001</v>
      </c>
      <c r="F47" s="175">
        <f>SUM(F39:F46)</f>
        <v>0.115429</v>
      </c>
      <c r="G47" s="174" t="s">
        <v>83</v>
      </c>
      <c r="H47" s="174"/>
      <c r="I47" s="174"/>
      <c r="J47" s="174"/>
      <c r="K47" s="151"/>
      <c r="L47" s="151"/>
    </row>
    <row r="48" spans="1:12" s="61" customFormat="1" ht="15.75" thickTop="1" x14ac:dyDescent="0.25">
      <c r="A48" s="268"/>
      <c r="B48" s="268"/>
      <c r="C48" s="268"/>
      <c r="D48" s="268"/>
      <c r="E48" s="172"/>
      <c r="F48" s="172"/>
      <c r="G48" s="174"/>
      <c r="H48" s="174"/>
      <c r="I48" s="174"/>
      <c r="J48" s="174"/>
      <c r="K48" s="151"/>
      <c r="L48" s="151"/>
    </row>
    <row r="49" spans="1:12" s="61" customFormat="1" ht="15" x14ac:dyDescent="0.25">
      <c r="A49" s="270" t="s">
        <v>36</v>
      </c>
      <c r="B49" s="270"/>
      <c r="C49" s="270"/>
      <c r="D49" s="270"/>
      <c r="E49" s="172">
        <v>-6.6889999999999996E-3</v>
      </c>
      <c r="F49" s="172">
        <f>+E49</f>
        <v>-6.6889999999999996E-3</v>
      </c>
      <c r="G49" s="174" t="s">
        <v>83</v>
      </c>
      <c r="H49" s="174"/>
      <c r="I49" s="174"/>
      <c r="J49" s="174"/>
      <c r="K49" s="151"/>
      <c r="L49" s="151"/>
    </row>
    <row r="50" spans="1:12" s="61" customFormat="1" ht="15" x14ac:dyDescent="0.25">
      <c r="A50" s="268"/>
      <c r="B50" s="268"/>
      <c r="C50" s="268"/>
      <c r="D50" s="268"/>
      <c r="E50" s="172"/>
      <c r="F50" s="172"/>
      <c r="G50" s="151"/>
      <c r="H50" s="151"/>
      <c r="I50" s="151"/>
      <c r="J50" s="151"/>
      <c r="K50" s="151"/>
      <c r="L50" s="151"/>
    </row>
    <row r="51" spans="1:12" s="61" customFormat="1" ht="15" x14ac:dyDescent="0.25">
      <c r="A51" s="268" t="s">
        <v>110</v>
      </c>
      <c r="B51" s="268"/>
      <c r="C51" s="268"/>
      <c r="D51" s="268"/>
      <c r="E51" s="172"/>
      <c r="F51" s="172"/>
      <c r="G51" s="151" t="s">
        <v>83</v>
      </c>
      <c r="H51" s="151"/>
      <c r="I51" s="151"/>
      <c r="J51" s="151"/>
      <c r="K51" s="151"/>
      <c r="L51" s="151"/>
    </row>
    <row r="52" spans="1:12" s="61" customFormat="1" ht="15" x14ac:dyDescent="0.25">
      <c r="A52" s="266" t="s">
        <v>44</v>
      </c>
      <c r="B52" s="266"/>
      <c r="C52" s="266"/>
      <c r="D52" s="266"/>
      <c r="E52" s="172">
        <v>3.3140000000000001E-3</v>
      </c>
      <c r="F52" s="172">
        <f>+E52</f>
        <v>3.3140000000000001E-3</v>
      </c>
      <c r="G52" s="151" t="s">
        <v>83</v>
      </c>
      <c r="H52" s="174"/>
      <c r="I52" s="174"/>
      <c r="J52" s="174"/>
      <c r="K52" s="151"/>
      <c r="L52" s="151"/>
    </row>
    <row r="53" spans="1:12" s="61" customFormat="1" ht="15" x14ac:dyDescent="0.25">
      <c r="A53" s="266" t="s">
        <v>368</v>
      </c>
      <c r="B53" s="266"/>
      <c r="C53" s="266"/>
      <c r="D53" s="266"/>
      <c r="E53" s="172">
        <v>2.1350000000000002E-3</v>
      </c>
      <c r="F53" s="172">
        <f>+E53</f>
        <v>2.1350000000000002E-3</v>
      </c>
      <c r="G53" s="151" t="s">
        <v>83</v>
      </c>
      <c r="H53" s="174"/>
      <c r="I53" s="174"/>
      <c r="J53" s="174"/>
      <c r="K53" s="151"/>
      <c r="L53" s="151"/>
    </row>
    <row r="54" spans="1:12" s="61" customFormat="1" ht="15" x14ac:dyDescent="0.25">
      <c r="A54" s="266" t="s">
        <v>43</v>
      </c>
      <c r="B54" s="266"/>
      <c r="C54" s="266"/>
      <c r="D54" s="266"/>
      <c r="E54" s="172">
        <v>-1.3910000000000001E-3</v>
      </c>
      <c r="F54" s="172">
        <f>+E54</f>
        <v>-1.3910000000000001E-3</v>
      </c>
      <c r="G54" s="174" t="s">
        <v>83</v>
      </c>
      <c r="H54" s="174"/>
      <c r="I54" s="174"/>
      <c r="J54" s="174"/>
      <c r="K54" s="151"/>
      <c r="L54" s="151"/>
    </row>
    <row r="55" spans="1:12" s="61" customFormat="1" ht="15" x14ac:dyDescent="0.25">
      <c r="A55" s="266" t="s">
        <v>42</v>
      </c>
      <c r="B55" s="266"/>
      <c r="C55" s="266"/>
      <c r="D55" s="266"/>
      <c r="E55" s="172">
        <v>3.8249999999999998E-3</v>
      </c>
      <c r="F55" s="172">
        <f>+E55</f>
        <v>3.8249999999999998E-3</v>
      </c>
      <c r="G55" s="174" t="s">
        <v>83</v>
      </c>
      <c r="H55" s="174"/>
      <c r="I55" s="174"/>
      <c r="J55" s="174"/>
      <c r="K55" s="151"/>
      <c r="L55" s="151"/>
    </row>
    <row r="56" spans="1:12" s="61" customFormat="1" ht="15" x14ac:dyDescent="0.25">
      <c r="A56" s="266" t="s">
        <v>40</v>
      </c>
      <c r="B56" s="266"/>
      <c r="C56" s="266"/>
      <c r="D56" s="266"/>
      <c r="E56" s="172">
        <v>-2.0999999999999999E-5</v>
      </c>
      <c r="F56" s="172">
        <f>+E56</f>
        <v>-2.0999999999999999E-5</v>
      </c>
      <c r="G56" s="174" t="s">
        <v>83</v>
      </c>
      <c r="H56" s="174"/>
      <c r="I56" s="174"/>
      <c r="J56" s="174"/>
      <c r="K56" s="151"/>
      <c r="L56" s="151"/>
    </row>
    <row r="57" spans="1:12" s="61" customFormat="1" ht="15.75" thickBot="1" x14ac:dyDescent="0.3">
      <c r="A57" s="267" t="s">
        <v>111</v>
      </c>
      <c r="B57" s="267"/>
      <c r="C57" s="267"/>
      <c r="D57" s="267"/>
      <c r="E57" s="175">
        <f>SUM(E52:E56)</f>
        <v>7.8620000000000009E-3</v>
      </c>
      <c r="F57" s="175">
        <f>SUM(F52:F56)</f>
        <v>7.8620000000000009E-3</v>
      </c>
      <c r="G57" s="174" t="s">
        <v>83</v>
      </c>
      <c r="H57" s="151"/>
      <c r="I57" s="151"/>
      <c r="J57" s="151"/>
      <c r="K57" s="151"/>
      <c r="L57" s="151"/>
    </row>
    <row r="58" spans="1:12" s="61" customFormat="1" ht="15.75" thickTop="1" x14ac:dyDescent="0.25">
      <c r="A58" s="268"/>
      <c r="B58" s="268"/>
      <c r="C58" s="268"/>
      <c r="D58" s="268"/>
      <c r="E58" s="176"/>
      <c r="F58" s="176"/>
      <c r="G58" s="151"/>
      <c r="H58" s="151"/>
      <c r="I58" s="151"/>
      <c r="J58" s="151"/>
      <c r="K58" s="151"/>
      <c r="L58" s="151"/>
    </row>
    <row r="59" spans="1:12" s="61" customFormat="1" ht="15" x14ac:dyDescent="0.25">
      <c r="A59" s="267" t="s">
        <v>112</v>
      </c>
      <c r="B59" s="267"/>
      <c r="C59" s="267"/>
      <c r="D59" s="267"/>
      <c r="E59" s="176">
        <f>SUM(E37,E49:E49,E57)</f>
        <v>9.6804000000000001E-2</v>
      </c>
      <c r="F59" s="176">
        <f>SUM(F37,F49:F49,F57)</f>
        <v>9.6770999999999996E-2</v>
      </c>
      <c r="G59" s="174" t="s">
        <v>83</v>
      </c>
      <c r="H59" s="151"/>
      <c r="I59" s="177"/>
      <c r="J59" s="151"/>
      <c r="K59" s="151"/>
      <c r="L59" s="151"/>
    </row>
    <row r="60" spans="1:12" s="61" customFormat="1" ht="15" x14ac:dyDescent="0.25">
      <c r="A60" s="267" t="s">
        <v>113</v>
      </c>
      <c r="B60" s="267"/>
      <c r="C60" s="267"/>
      <c r="D60" s="267"/>
      <c r="E60" s="178">
        <f>SUM(E47,E49:E49,E57)</f>
        <v>0.11663500000000002</v>
      </c>
      <c r="F60" s="178">
        <f>SUM(F47,F49:F49,F57)</f>
        <v>0.11660200000000001</v>
      </c>
      <c r="G60" s="174" t="s">
        <v>83</v>
      </c>
      <c r="H60" s="151"/>
      <c r="I60" s="177"/>
      <c r="J60" s="151"/>
      <c r="K60" s="151"/>
      <c r="L60" s="151"/>
    </row>
    <row r="61" spans="1:12" s="151" customFormat="1" ht="11.25" x14ac:dyDescent="0.2"/>
    <row r="62" spans="1:12" s="151" customFormat="1" ht="11.25" x14ac:dyDescent="0.2">
      <c r="F62" s="158"/>
    </row>
    <row r="63" spans="1:12" s="151" customFormat="1" ht="11.25" x14ac:dyDescent="0.2">
      <c r="F63" s="158"/>
    </row>
    <row r="64" spans="1:12" s="151" customFormat="1" ht="11.25" x14ac:dyDescent="0.2"/>
    <row r="65" spans="1:14" s="151" customFormat="1" ht="11.25" x14ac:dyDescent="0.2"/>
    <row r="66" spans="1:14" s="151" customFormat="1" ht="15" x14ac:dyDescent="0.25">
      <c r="A66"/>
      <c r="B66"/>
      <c r="C66"/>
      <c r="D66"/>
      <c r="E66"/>
    </row>
    <row r="67" spans="1:14" s="151" customFormat="1" ht="15" x14ac:dyDescent="0.25">
      <c r="A67"/>
      <c r="B67"/>
      <c r="C67"/>
      <c r="D67"/>
      <c r="E67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1:14" s="151" customFormat="1" ht="15" x14ac:dyDescent="0.25">
      <c r="A68"/>
      <c r="B68"/>
      <c r="C68"/>
      <c r="D68"/>
      <c r="E68"/>
    </row>
    <row r="69" spans="1:14" s="151" customFormat="1" ht="15" x14ac:dyDescent="0.25">
      <c r="A69"/>
      <c r="B69"/>
      <c r="C69"/>
      <c r="D69"/>
      <c r="E69"/>
    </row>
    <row r="70" spans="1:14" s="151" customFormat="1" ht="15" x14ac:dyDescent="0.25">
      <c r="A70"/>
      <c r="B70"/>
      <c r="C70"/>
      <c r="D70"/>
      <c r="E70"/>
    </row>
    <row r="71" spans="1:14" s="151" customFormat="1" ht="15" x14ac:dyDescent="0.25">
      <c r="A71"/>
      <c r="B71"/>
      <c r="C71"/>
      <c r="D71"/>
      <c r="E71"/>
    </row>
    <row r="72" spans="1:14" s="151" customFormat="1" ht="15" x14ac:dyDescent="0.25">
      <c r="A72"/>
      <c r="B72"/>
      <c r="C72"/>
      <c r="D72"/>
      <c r="E72"/>
    </row>
    <row r="73" spans="1:14" s="151" customFormat="1" ht="15" x14ac:dyDescent="0.25">
      <c r="A73"/>
      <c r="B73"/>
      <c r="C73"/>
      <c r="D73"/>
      <c r="E73"/>
    </row>
    <row r="74" spans="1:14" s="151" customFormat="1" ht="15" x14ac:dyDescent="0.25">
      <c r="A74"/>
      <c r="B74"/>
      <c r="C74"/>
      <c r="D74"/>
      <c r="E74"/>
    </row>
    <row r="75" spans="1:14" s="151" customFormat="1" ht="15" x14ac:dyDescent="0.25">
      <c r="A75"/>
      <c r="B75"/>
      <c r="C75"/>
      <c r="D75"/>
      <c r="E75"/>
    </row>
    <row r="76" spans="1:14" s="151" customFormat="1" ht="15" x14ac:dyDescent="0.25">
      <c r="A76"/>
      <c r="B76"/>
      <c r="C76"/>
      <c r="D76"/>
      <c r="E76"/>
    </row>
    <row r="77" spans="1:14" s="151" customFormat="1" ht="15" x14ac:dyDescent="0.25">
      <c r="A77"/>
      <c r="B77"/>
      <c r="C77"/>
      <c r="D77"/>
      <c r="E77"/>
    </row>
    <row r="78" spans="1:14" s="151" customFormat="1" ht="15" x14ac:dyDescent="0.25">
      <c r="A78"/>
      <c r="B78"/>
      <c r="C78"/>
      <c r="D78"/>
      <c r="E78"/>
    </row>
    <row r="79" spans="1:14" s="151" customFormat="1" ht="15" x14ac:dyDescent="0.25">
      <c r="A79"/>
      <c r="B79"/>
      <c r="C79"/>
      <c r="D79"/>
      <c r="E79"/>
    </row>
    <row r="80" spans="1:14" s="151" customFormat="1" ht="15" x14ac:dyDescent="0.25">
      <c r="A80"/>
      <c r="B80"/>
      <c r="C80"/>
      <c r="D80"/>
      <c r="E80"/>
    </row>
    <row r="81" spans="1:5" s="151" customFormat="1" ht="15" x14ac:dyDescent="0.25">
      <c r="A81"/>
      <c r="B81"/>
      <c r="C81"/>
      <c r="D81"/>
      <c r="E81"/>
    </row>
    <row r="82" spans="1:5" s="151" customFormat="1" ht="15" x14ac:dyDescent="0.25">
      <c r="A82"/>
      <c r="B82"/>
      <c r="C82"/>
      <c r="D82"/>
      <c r="E82"/>
    </row>
  </sheetData>
  <mergeCells count="24">
    <mergeCell ref="A58:D58"/>
    <mergeCell ref="A59:D59"/>
    <mergeCell ref="A60:D60"/>
    <mergeCell ref="C5:F5"/>
    <mergeCell ref="H5:K5"/>
    <mergeCell ref="A49:D49"/>
    <mergeCell ref="A50:D50"/>
    <mergeCell ref="A57:D57"/>
    <mergeCell ref="A25:D25"/>
    <mergeCell ref="A26:D26"/>
    <mergeCell ref="A27:D27"/>
    <mergeCell ref="A28:D28"/>
    <mergeCell ref="A29:D29"/>
    <mergeCell ref="A37:D37"/>
    <mergeCell ref="A38:D38"/>
    <mergeCell ref="A39:D39"/>
    <mergeCell ref="A55:D55"/>
    <mergeCell ref="A56:D56"/>
    <mergeCell ref="A47:D47"/>
    <mergeCell ref="A48:D48"/>
    <mergeCell ref="A51:D51"/>
    <mergeCell ref="A52:D52"/>
    <mergeCell ref="A54:D54"/>
    <mergeCell ref="A53:D53"/>
  </mergeCells>
  <printOptions horizontalCentered="1"/>
  <pageMargins left="0.7" right="0.7" top="0.75" bottom="0.75" header="0.3" footer="0.3"/>
  <pageSetup scale="49" orientation="landscape" r:id="rId1"/>
  <headerFooter alignWithMargins="0">
    <oddFooter>&amp;L&amp;F
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E7" sqref="E7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  <col min="12" max="12" width="21.85546875" bestFit="1" customWidth="1"/>
    <col min="13" max="13" width="12.7109375" bestFit="1" customWidth="1"/>
  </cols>
  <sheetData>
    <row r="1" spans="1:13" x14ac:dyDescent="0.25">
      <c r="A1" s="275" t="s">
        <v>0</v>
      </c>
      <c r="B1" s="275"/>
      <c r="C1" s="275"/>
      <c r="D1" s="275"/>
      <c r="E1" s="275"/>
    </row>
    <row r="2" spans="1:13" x14ac:dyDescent="0.25">
      <c r="A2" s="276" t="s">
        <v>280</v>
      </c>
      <c r="B2" s="275"/>
      <c r="C2" s="275"/>
      <c r="D2" s="275"/>
      <c r="E2" s="275"/>
    </row>
    <row r="3" spans="1:13" x14ac:dyDescent="0.25">
      <c r="A3" s="276" t="s">
        <v>281</v>
      </c>
      <c r="B3" s="275"/>
      <c r="C3" s="275"/>
      <c r="D3" s="275"/>
      <c r="E3" s="275"/>
    </row>
    <row r="4" spans="1:13" ht="15.75" thickBot="1" x14ac:dyDescent="0.3">
      <c r="A4" s="276" t="s">
        <v>386</v>
      </c>
      <c r="B4" s="275"/>
      <c r="C4" s="275"/>
      <c r="D4" s="275"/>
      <c r="E4" s="275"/>
    </row>
    <row r="5" spans="1:13" x14ac:dyDescent="0.25">
      <c r="A5" s="61"/>
      <c r="B5" s="61"/>
      <c r="C5" s="61"/>
      <c r="D5" s="61"/>
      <c r="E5" s="61"/>
      <c r="L5" s="204" t="s">
        <v>344</v>
      </c>
      <c r="M5" s="205" t="s">
        <v>343</v>
      </c>
    </row>
    <row r="6" spans="1:13" ht="30" x14ac:dyDescent="0.25">
      <c r="A6" s="96" t="s">
        <v>282</v>
      </c>
      <c r="B6" s="97" t="s">
        <v>283</v>
      </c>
      <c r="C6" s="98" t="s">
        <v>35</v>
      </c>
      <c r="D6" s="98" t="s">
        <v>284</v>
      </c>
      <c r="E6" s="99" t="s">
        <v>285</v>
      </c>
      <c r="L6" s="206"/>
      <c r="M6" s="207"/>
    </row>
    <row r="7" spans="1:13" x14ac:dyDescent="0.25">
      <c r="A7" s="87">
        <v>1</v>
      </c>
      <c r="B7" s="131" t="s">
        <v>400</v>
      </c>
      <c r="C7" s="100">
        <f>SUM(D7:E7)</f>
        <v>41895.381668057191</v>
      </c>
      <c r="D7" s="100">
        <f>+'DRAFT 2022 Prop Tax Rate Design'!G29</f>
        <v>31706.701330807864</v>
      </c>
      <c r="E7" s="100">
        <f>+'DRAFT 2022 Prop Tax Rate Design'!H29</f>
        <v>10188.680337249327</v>
      </c>
      <c r="L7" s="208"/>
      <c r="M7" s="209"/>
    </row>
    <row r="8" spans="1:13" x14ac:dyDescent="0.25">
      <c r="A8" s="87">
        <f t="shared" ref="A8:A10" si="0">+A7+1</f>
        <v>2</v>
      </c>
      <c r="B8" s="131" t="s">
        <v>401</v>
      </c>
      <c r="C8" s="101">
        <f>+F28</f>
        <v>3425615.9950316609</v>
      </c>
      <c r="D8" s="102"/>
      <c r="E8" s="102"/>
      <c r="L8" s="208"/>
      <c r="M8" s="209"/>
    </row>
    <row r="9" spans="1:13" x14ac:dyDescent="0.25">
      <c r="A9" s="87">
        <f t="shared" si="0"/>
        <v>3</v>
      </c>
      <c r="B9" s="61" t="s">
        <v>286</v>
      </c>
      <c r="C9" s="103">
        <f>SUM(D9:E9)</f>
        <v>1.2E-2</v>
      </c>
      <c r="D9" s="103">
        <f>ROUND(D7/$C$8,3)</f>
        <v>8.9999999999999993E-3</v>
      </c>
      <c r="E9" s="103">
        <f>ROUND(E7/$C$8,3)</f>
        <v>3.0000000000000001E-3</v>
      </c>
      <c r="L9" s="208" t="s">
        <v>348</v>
      </c>
      <c r="M9" s="209" t="s">
        <v>350</v>
      </c>
    </row>
    <row r="10" spans="1:13" ht="15.75" thickBot="1" x14ac:dyDescent="0.3">
      <c r="A10" s="87">
        <f t="shared" si="0"/>
        <v>4</v>
      </c>
      <c r="B10" s="61"/>
      <c r="C10" s="61"/>
      <c r="D10" s="61"/>
      <c r="E10" s="61"/>
      <c r="L10" s="211"/>
      <c r="M10" s="212"/>
    </row>
    <row r="11" spans="1:13" x14ac:dyDescent="0.25">
      <c r="A11" s="61"/>
      <c r="B11" s="61"/>
      <c r="C11" s="61"/>
      <c r="D11" s="61"/>
      <c r="E11" s="61"/>
    </row>
    <row r="12" spans="1:13" ht="21" x14ac:dyDescent="0.35">
      <c r="A12" s="277" t="s">
        <v>399</v>
      </c>
      <c r="B12" s="278"/>
      <c r="C12" s="278"/>
      <c r="D12" s="278"/>
      <c r="E12" s="278"/>
      <c r="F12" s="279"/>
    </row>
    <row r="13" spans="1:13" ht="21" x14ac:dyDescent="0.35">
      <c r="A13" s="272" t="s">
        <v>387</v>
      </c>
      <c r="B13" s="273"/>
      <c r="C13" s="273"/>
      <c r="D13" s="273"/>
      <c r="E13" s="273"/>
      <c r="F13" s="274"/>
    </row>
    <row r="14" spans="1:13" ht="15.75" x14ac:dyDescent="0.25">
      <c r="A14" s="104"/>
      <c r="B14" s="105"/>
      <c r="C14" s="105"/>
      <c r="D14" s="105"/>
      <c r="E14" s="105"/>
      <c r="F14" s="106"/>
    </row>
    <row r="15" spans="1:13" x14ac:dyDescent="0.25">
      <c r="A15" s="107" t="s">
        <v>287</v>
      </c>
      <c r="B15" s="108" t="s">
        <v>34</v>
      </c>
      <c r="C15" s="107" t="s">
        <v>288</v>
      </c>
      <c r="D15" s="109" t="s">
        <v>289</v>
      </c>
      <c r="E15" s="109" t="s">
        <v>290</v>
      </c>
      <c r="F15" s="108" t="s">
        <v>35</v>
      </c>
    </row>
    <row r="16" spans="1:13" x14ac:dyDescent="0.25">
      <c r="A16" s="110">
        <v>2022</v>
      </c>
      <c r="B16" s="111">
        <v>5</v>
      </c>
      <c r="C16" s="124">
        <v>9591.6792960200182</v>
      </c>
      <c r="D16" s="125">
        <v>234754.42073658996</v>
      </c>
      <c r="E16" s="126">
        <v>43143.848566510991</v>
      </c>
      <c r="F16" s="112">
        <f>SUM(C16:E16)</f>
        <v>287489.94859912095</v>
      </c>
    </row>
    <row r="17" spans="1:6" x14ac:dyDescent="0.25">
      <c r="A17" s="110"/>
      <c r="B17" s="111">
        <v>6</v>
      </c>
      <c r="C17" s="120">
        <v>8902.5568306197565</v>
      </c>
      <c r="D17" s="121">
        <v>230426.97676259064</v>
      </c>
      <c r="E17" s="127">
        <v>42176.732982336354</v>
      </c>
      <c r="F17" s="112">
        <f t="shared" ref="F17:F27" si="1">SUM(C17:E17)</f>
        <v>281506.26657554676</v>
      </c>
    </row>
    <row r="18" spans="1:6" x14ac:dyDescent="0.25">
      <c r="A18" s="110"/>
      <c r="B18" s="111">
        <v>7</v>
      </c>
      <c r="C18" s="120">
        <v>9151.6998497943787</v>
      </c>
      <c r="D18" s="121">
        <v>241562.52694510604</v>
      </c>
      <c r="E18" s="127">
        <v>46064.201780054122</v>
      </c>
      <c r="F18" s="112">
        <f t="shared" si="1"/>
        <v>296778.42857495457</v>
      </c>
    </row>
    <row r="19" spans="1:6" x14ac:dyDescent="0.25">
      <c r="A19" s="110"/>
      <c r="B19" s="111">
        <v>8</v>
      </c>
      <c r="C19" s="120">
        <v>8929.6186697255071</v>
      </c>
      <c r="D19" s="121">
        <v>239981.57653704542</v>
      </c>
      <c r="E19" s="127">
        <v>47720.533242843303</v>
      </c>
      <c r="F19" s="112">
        <f t="shared" si="1"/>
        <v>296631.72844961425</v>
      </c>
    </row>
    <row r="20" spans="1:6" x14ac:dyDescent="0.25">
      <c r="A20" s="110"/>
      <c r="B20" s="111">
        <v>9</v>
      </c>
      <c r="C20" s="120">
        <v>8916.7999390033219</v>
      </c>
      <c r="D20" s="121">
        <v>237499.12822164211</v>
      </c>
      <c r="E20" s="127">
        <v>47377.116845012322</v>
      </c>
      <c r="F20" s="112">
        <f t="shared" si="1"/>
        <v>293793.04500565771</v>
      </c>
    </row>
    <row r="21" spans="1:6" x14ac:dyDescent="0.25">
      <c r="A21" s="110"/>
      <c r="B21" s="111">
        <v>10</v>
      </c>
      <c r="C21" s="120">
        <v>8670.8381396282166</v>
      </c>
      <c r="D21" s="121">
        <v>230677.81576203654</v>
      </c>
      <c r="E21" s="127">
        <v>46690.94076031752</v>
      </c>
      <c r="F21" s="112">
        <f t="shared" si="1"/>
        <v>286039.59466198226</v>
      </c>
    </row>
    <row r="22" spans="1:6" x14ac:dyDescent="0.25">
      <c r="A22" s="110"/>
      <c r="B22" s="111">
        <v>11</v>
      </c>
      <c r="C22" s="120">
        <v>9031.939889049243</v>
      </c>
      <c r="D22" s="121">
        <v>227335.53731404766</v>
      </c>
      <c r="E22" s="127">
        <v>43398.556172770448</v>
      </c>
      <c r="F22" s="112">
        <f t="shared" si="1"/>
        <v>279766.03337586735</v>
      </c>
    </row>
    <row r="23" spans="1:6" x14ac:dyDescent="0.25">
      <c r="A23" s="113"/>
      <c r="B23" s="114">
        <v>12</v>
      </c>
      <c r="C23" s="122">
        <v>10070.473990177656</v>
      </c>
      <c r="D23" s="123">
        <v>229335.18273259618</v>
      </c>
      <c r="E23" s="128">
        <v>42193.817668037649</v>
      </c>
      <c r="F23" s="116">
        <f t="shared" si="1"/>
        <v>281599.47439081146</v>
      </c>
    </row>
    <row r="24" spans="1:6" x14ac:dyDescent="0.25">
      <c r="A24" s="110">
        <v>2023</v>
      </c>
      <c r="B24" s="111">
        <v>1</v>
      </c>
      <c r="C24" s="120">
        <v>9403.3351355650557</v>
      </c>
      <c r="D24" s="121">
        <v>233226.44081545973</v>
      </c>
      <c r="E24" s="127">
        <v>42607.108960073936</v>
      </c>
      <c r="F24" s="112">
        <f t="shared" si="1"/>
        <v>285236.88491109875</v>
      </c>
    </row>
    <row r="25" spans="1:6" x14ac:dyDescent="0.25">
      <c r="A25" s="110"/>
      <c r="B25" s="111">
        <v>2</v>
      </c>
      <c r="C25" s="120">
        <v>9863.9544061720335</v>
      </c>
      <c r="D25" s="121">
        <v>231027.05677336559</v>
      </c>
      <c r="E25" s="127">
        <v>44070.420285453692</v>
      </c>
      <c r="F25" s="112">
        <f t="shared" si="1"/>
        <v>284961.4314649913</v>
      </c>
    </row>
    <row r="26" spans="1:6" x14ac:dyDescent="0.25">
      <c r="A26" s="110"/>
      <c r="B26" s="111">
        <v>3</v>
      </c>
      <c r="C26" s="120">
        <v>9147.796811622009</v>
      </c>
      <c r="D26" s="121">
        <v>237372.614131493</v>
      </c>
      <c r="E26" s="127">
        <v>43852.390866087553</v>
      </c>
      <c r="F26" s="112">
        <f t="shared" si="1"/>
        <v>290372.80180920259</v>
      </c>
    </row>
    <row r="27" spans="1:6" x14ac:dyDescent="0.25">
      <c r="A27" s="113"/>
      <c r="B27" s="114">
        <v>4</v>
      </c>
      <c r="C27" s="122">
        <v>8640.1697280905755</v>
      </c>
      <c r="D27" s="123">
        <v>213101.97495174396</v>
      </c>
      <c r="E27" s="128">
        <v>39698.212532978032</v>
      </c>
      <c r="F27" s="116">
        <f t="shared" si="1"/>
        <v>261440.35721281258</v>
      </c>
    </row>
    <row r="28" spans="1:6" x14ac:dyDescent="0.25">
      <c r="A28" s="117"/>
      <c r="B28" s="71" t="s">
        <v>35</v>
      </c>
      <c r="C28" s="115">
        <f>SUM(C16:C27)</f>
        <v>110320.86268546779</v>
      </c>
      <c r="D28" s="115">
        <f>SUM(D16:D27)</f>
        <v>2786301.2516837167</v>
      </c>
      <c r="E28" s="115">
        <f>SUM(E16:E27)</f>
        <v>528993.88066247583</v>
      </c>
      <c r="F28" s="116">
        <f>SUM(F16:F27)</f>
        <v>3425615.9950316609</v>
      </c>
    </row>
  </sheetData>
  <mergeCells count="6">
    <mergeCell ref="A13:F13"/>
    <mergeCell ref="A1:E1"/>
    <mergeCell ref="A2:E2"/>
    <mergeCell ref="A3:E3"/>
    <mergeCell ref="A4:E4"/>
    <mergeCell ref="A12:F12"/>
  </mergeCells>
  <printOptions horizontalCentered="1"/>
  <pageMargins left="0.7" right="0.7" top="0.75" bottom="0.75" header="0.3" footer="0.3"/>
  <pageSetup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"/>
  <sheetViews>
    <sheetView workbookViewId="0">
      <pane xSplit="4" ySplit="8" topLeftCell="E9" activePane="bottomRight" state="frozen"/>
      <selection activeCell="E8" sqref="E8"/>
      <selection pane="topRight" activeCell="E8" sqref="E8"/>
      <selection pane="bottomLeft" activeCell="E8" sqref="E8"/>
      <selection pane="bottomRight" activeCell="D77" sqref="D77"/>
    </sheetView>
  </sheetViews>
  <sheetFormatPr defaultColWidth="8.85546875" defaultRowHeight="14.25" x14ac:dyDescent="0.2"/>
  <cols>
    <col min="1" max="1" width="4.42578125" style="226" bestFit="1" customWidth="1"/>
    <col min="2" max="2" width="29.7109375" style="226" bestFit="1" customWidth="1"/>
    <col min="3" max="3" width="18.7109375" style="226" bestFit="1" customWidth="1"/>
    <col min="4" max="4" width="12.28515625" style="226" bestFit="1" customWidth="1"/>
    <col min="5" max="7" width="12.85546875" style="226" customWidth="1"/>
    <col min="8" max="8" width="11.85546875" style="226" bestFit="1" customWidth="1"/>
    <col min="9" max="10" width="14.5703125" style="226" customWidth="1"/>
    <col min="11" max="11" width="11.28515625" style="226" bestFit="1" customWidth="1"/>
    <col min="12" max="12" width="2.7109375" style="226" customWidth="1"/>
    <col min="13" max="13" width="14.7109375" style="226" bestFit="1" customWidth="1"/>
    <col min="14" max="14" width="5.5703125" style="226" bestFit="1" customWidth="1"/>
    <col min="15" max="16384" width="8.85546875" style="226"/>
  </cols>
  <sheetData>
    <row r="1" spans="1:14" x14ac:dyDescent="0.2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4" x14ac:dyDescent="0.2">
      <c r="A2" s="280" t="s">
        <v>125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4" x14ac:dyDescent="0.2">
      <c r="A3" s="281" t="s">
        <v>372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4" x14ac:dyDescent="0.2">
      <c r="A4" s="281" t="s">
        <v>373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4" ht="15" thickBot="1" x14ac:dyDescent="0.25">
      <c r="A5" s="227"/>
      <c r="B5" s="282"/>
      <c r="C5" s="282"/>
      <c r="D5" s="282"/>
      <c r="E5" s="282"/>
      <c r="F5" s="282"/>
      <c r="G5" s="282"/>
      <c r="H5" s="228"/>
      <c r="I5" s="228"/>
      <c r="J5" s="228"/>
      <c r="K5" s="228"/>
    </row>
    <row r="6" spans="1:14" ht="89.25" x14ac:dyDescent="0.2">
      <c r="A6" s="76" t="s">
        <v>1</v>
      </c>
      <c r="B6" s="76" t="s">
        <v>3</v>
      </c>
      <c r="C6" s="76" t="s">
        <v>71</v>
      </c>
      <c r="D6" s="76" t="s">
        <v>126</v>
      </c>
      <c r="E6" s="229" t="s">
        <v>374</v>
      </c>
      <c r="F6" s="229" t="s">
        <v>375</v>
      </c>
      <c r="G6" s="229" t="s">
        <v>376</v>
      </c>
      <c r="H6" s="229" t="s">
        <v>388</v>
      </c>
      <c r="I6" s="229" t="s">
        <v>377</v>
      </c>
      <c r="J6" s="229" t="s">
        <v>378</v>
      </c>
      <c r="K6" s="229" t="s">
        <v>379</v>
      </c>
      <c r="M6" s="213" t="s">
        <v>344</v>
      </c>
      <c r="N6" s="214" t="s">
        <v>343</v>
      </c>
    </row>
    <row r="7" spans="1:14" x14ac:dyDescent="0.2">
      <c r="A7" s="227"/>
      <c r="B7" s="230"/>
      <c r="C7" s="230"/>
      <c r="D7" s="231"/>
      <c r="E7" s="230" t="s">
        <v>30</v>
      </c>
      <c r="F7" s="230" t="s">
        <v>29</v>
      </c>
      <c r="G7" s="231" t="s">
        <v>28</v>
      </c>
      <c r="H7" s="232" t="s">
        <v>32</v>
      </c>
      <c r="I7" s="232" t="s">
        <v>31</v>
      </c>
      <c r="J7" s="232" t="s">
        <v>27</v>
      </c>
      <c r="K7" s="232" t="s">
        <v>121</v>
      </c>
      <c r="M7" s="215"/>
      <c r="N7" s="216"/>
    </row>
    <row r="8" spans="1:14" x14ac:dyDescent="0.2">
      <c r="A8" s="227"/>
      <c r="B8" s="230"/>
      <c r="C8" s="230"/>
      <c r="D8" s="231"/>
      <c r="E8" s="231"/>
      <c r="F8" s="231"/>
      <c r="G8" s="233" t="s">
        <v>174</v>
      </c>
      <c r="H8" s="228"/>
      <c r="I8" s="234" t="s">
        <v>296</v>
      </c>
      <c r="J8" s="234" t="s">
        <v>297</v>
      </c>
      <c r="K8" s="233" t="s">
        <v>175</v>
      </c>
      <c r="M8" s="215"/>
      <c r="N8" s="216"/>
    </row>
    <row r="9" spans="1:14" x14ac:dyDescent="0.2">
      <c r="A9" s="227">
        <v>1</v>
      </c>
      <c r="B9" s="235" t="s">
        <v>127</v>
      </c>
      <c r="C9" s="235"/>
      <c r="D9" s="235"/>
      <c r="E9" s="235"/>
      <c r="F9" s="235"/>
      <c r="G9" s="236"/>
      <c r="H9" s="228"/>
      <c r="I9" s="228"/>
      <c r="J9" s="228"/>
      <c r="K9" s="228"/>
      <c r="M9" s="215"/>
      <c r="N9" s="216"/>
    </row>
    <row r="10" spans="1:14" x14ac:dyDescent="0.2">
      <c r="A10" s="227">
        <f>A9+1</f>
        <v>2</v>
      </c>
      <c r="B10" s="237" t="s">
        <v>128</v>
      </c>
      <c r="C10" s="238" t="s">
        <v>129</v>
      </c>
      <c r="D10" s="239">
        <v>22</v>
      </c>
      <c r="E10" s="240">
        <v>0.01</v>
      </c>
      <c r="F10" s="240">
        <v>0</v>
      </c>
      <c r="G10" s="240">
        <v>0.01</v>
      </c>
      <c r="H10" s="241">
        <v>708</v>
      </c>
      <c r="I10" s="242">
        <f>ROUND($H10*E10,0)</f>
        <v>7</v>
      </c>
      <c r="J10" s="242">
        <f t="shared" ref="J10" si="0">ROUND($H10*F10,0)</f>
        <v>0</v>
      </c>
      <c r="K10" s="242">
        <f t="shared" ref="K10" si="1">SUM(I10:J10)</f>
        <v>7</v>
      </c>
      <c r="M10" s="210" t="s">
        <v>348</v>
      </c>
      <c r="N10" s="216"/>
    </row>
    <row r="11" spans="1:14" x14ac:dyDescent="0.2">
      <c r="A11" s="227">
        <f t="shared" ref="A11:A77" si="2">A10+1</f>
        <v>3</v>
      </c>
      <c r="B11" s="243"/>
      <c r="C11" s="231"/>
      <c r="D11" s="233"/>
      <c r="E11" s="236"/>
      <c r="F11" s="236"/>
      <c r="G11" s="236"/>
      <c r="H11" s="244"/>
      <c r="I11" s="244"/>
      <c r="J11" s="244"/>
      <c r="K11" s="228"/>
      <c r="M11" s="215"/>
      <c r="N11" s="216"/>
    </row>
    <row r="12" spans="1:14" x14ac:dyDescent="0.2">
      <c r="A12" s="227">
        <f t="shared" si="2"/>
        <v>4</v>
      </c>
      <c r="B12" s="237" t="s">
        <v>130</v>
      </c>
      <c r="C12" s="245" t="s">
        <v>72</v>
      </c>
      <c r="D12" s="246">
        <v>100</v>
      </c>
      <c r="E12" s="240">
        <v>0.04</v>
      </c>
      <c r="F12" s="240">
        <v>0.01</v>
      </c>
      <c r="G12" s="240">
        <v>0.05</v>
      </c>
      <c r="H12" s="241">
        <v>36</v>
      </c>
      <c r="I12" s="242">
        <f>ROUND($H12*E12,0)</f>
        <v>1</v>
      </c>
      <c r="J12" s="242">
        <f t="shared" ref="J12:J19" si="3">ROUND($H12*F12,0)</f>
        <v>0</v>
      </c>
      <c r="K12" s="242">
        <f t="shared" ref="K12:K19" si="4">SUM(I12:J12)</f>
        <v>1</v>
      </c>
      <c r="M12" s="210" t="s">
        <v>348</v>
      </c>
      <c r="N12" s="216"/>
    </row>
    <row r="13" spans="1:14" x14ac:dyDescent="0.2">
      <c r="A13" s="227">
        <f t="shared" si="2"/>
        <v>5</v>
      </c>
      <c r="B13" s="237" t="str">
        <f>+B12</f>
        <v>50E-A</v>
      </c>
      <c r="C13" s="245" t="str">
        <f>+C12</f>
        <v>Mercury Vapor</v>
      </c>
      <c r="D13" s="246">
        <v>175</v>
      </c>
      <c r="E13" s="240">
        <v>7.0000000000000007E-2</v>
      </c>
      <c r="F13" s="240">
        <v>0.02</v>
      </c>
      <c r="G13" s="240">
        <v>9.0000000000000011E-2</v>
      </c>
      <c r="H13" s="241">
        <v>228</v>
      </c>
      <c r="I13" s="242">
        <f t="shared" ref="I13:I19" si="5">ROUND($H13*E13,0)</f>
        <v>16</v>
      </c>
      <c r="J13" s="242">
        <f t="shared" si="3"/>
        <v>5</v>
      </c>
      <c r="K13" s="242">
        <f t="shared" si="4"/>
        <v>21</v>
      </c>
      <c r="M13" s="210" t="s">
        <v>348</v>
      </c>
      <c r="N13" s="216"/>
    </row>
    <row r="14" spans="1:14" x14ac:dyDescent="0.2">
      <c r="A14" s="227">
        <f t="shared" si="2"/>
        <v>6</v>
      </c>
      <c r="B14" s="237" t="str">
        <f>+B13</f>
        <v>50E-A</v>
      </c>
      <c r="C14" s="245" t="str">
        <f>+C13</f>
        <v>Mercury Vapor</v>
      </c>
      <c r="D14" s="246">
        <v>400</v>
      </c>
      <c r="E14" s="240">
        <v>0.17</v>
      </c>
      <c r="F14" s="240">
        <v>0.05</v>
      </c>
      <c r="G14" s="240">
        <v>0.22000000000000003</v>
      </c>
      <c r="H14" s="241">
        <v>211</v>
      </c>
      <c r="I14" s="242">
        <f t="shared" si="5"/>
        <v>36</v>
      </c>
      <c r="J14" s="242">
        <f t="shared" si="3"/>
        <v>11</v>
      </c>
      <c r="K14" s="242">
        <f t="shared" si="4"/>
        <v>47</v>
      </c>
      <c r="M14" s="210" t="s">
        <v>348</v>
      </c>
      <c r="N14" s="216"/>
    </row>
    <row r="15" spans="1:14" x14ac:dyDescent="0.2">
      <c r="A15" s="227">
        <f t="shared" si="2"/>
        <v>7</v>
      </c>
      <c r="B15" s="237"/>
      <c r="C15" s="245"/>
      <c r="D15" s="246"/>
      <c r="E15" s="240"/>
      <c r="F15" s="240"/>
      <c r="G15" s="240"/>
      <c r="H15" s="241"/>
      <c r="I15" s="242"/>
      <c r="J15" s="242"/>
      <c r="K15" s="242"/>
      <c r="M15" s="215"/>
      <c r="N15" s="216"/>
    </row>
    <row r="16" spans="1:14" x14ac:dyDescent="0.2">
      <c r="A16" s="227">
        <f t="shared" si="2"/>
        <v>8</v>
      </c>
      <c r="B16" s="237" t="s">
        <v>131</v>
      </c>
      <c r="C16" s="245" t="str">
        <f>+C14</f>
        <v>Mercury Vapor</v>
      </c>
      <c r="D16" s="246">
        <v>100</v>
      </c>
      <c r="E16" s="240">
        <v>0.04</v>
      </c>
      <c r="F16" s="240">
        <v>0.01</v>
      </c>
      <c r="G16" s="240">
        <v>0.05</v>
      </c>
      <c r="H16" s="241">
        <v>0</v>
      </c>
      <c r="I16" s="242">
        <f t="shared" si="5"/>
        <v>0</v>
      </c>
      <c r="J16" s="242">
        <f t="shared" si="3"/>
        <v>0</v>
      </c>
      <c r="K16" s="242">
        <f t="shared" si="4"/>
        <v>0</v>
      </c>
      <c r="M16" s="210" t="s">
        <v>348</v>
      </c>
      <c r="N16" s="216"/>
    </row>
    <row r="17" spans="1:14" x14ac:dyDescent="0.2">
      <c r="A17" s="227">
        <f t="shared" si="2"/>
        <v>9</v>
      </c>
      <c r="B17" s="237" t="str">
        <f t="shared" ref="B17:C19" si="6">+B16</f>
        <v>50E-B</v>
      </c>
      <c r="C17" s="245" t="str">
        <f t="shared" si="6"/>
        <v>Mercury Vapor</v>
      </c>
      <c r="D17" s="246">
        <v>175</v>
      </c>
      <c r="E17" s="240">
        <v>7.0000000000000007E-2</v>
      </c>
      <c r="F17" s="240">
        <v>0.02</v>
      </c>
      <c r="G17" s="240">
        <v>9.0000000000000011E-2</v>
      </c>
      <c r="H17" s="241">
        <v>12</v>
      </c>
      <c r="I17" s="242">
        <f t="shared" si="5"/>
        <v>1</v>
      </c>
      <c r="J17" s="242">
        <f t="shared" si="3"/>
        <v>0</v>
      </c>
      <c r="K17" s="242">
        <f t="shared" si="4"/>
        <v>1</v>
      </c>
      <c r="M17" s="210" t="s">
        <v>348</v>
      </c>
      <c r="N17" s="216"/>
    </row>
    <row r="18" spans="1:14" x14ac:dyDescent="0.2">
      <c r="A18" s="227">
        <f t="shared" si="2"/>
        <v>10</v>
      </c>
      <c r="B18" s="237" t="str">
        <f t="shared" si="6"/>
        <v>50E-B</v>
      </c>
      <c r="C18" s="245" t="str">
        <f t="shared" si="6"/>
        <v>Mercury Vapor</v>
      </c>
      <c r="D18" s="246">
        <v>400</v>
      </c>
      <c r="E18" s="240">
        <v>0.17</v>
      </c>
      <c r="F18" s="240">
        <v>0.05</v>
      </c>
      <c r="G18" s="240">
        <v>0.22000000000000003</v>
      </c>
      <c r="H18" s="241">
        <v>0</v>
      </c>
      <c r="I18" s="242">
        <f t="shared" si="5"/>
        <v>0</v>
      </c>
      <c r="J18" s="242">
        <f t="shared" si="3"/>
        <v>0</v>
      </c>
      <c r="K18" s="242">
        <f t="shared" si="4"/>
        <v>0</v>
      </c>
      <c r="M18" s="210" t="s">
        <v>348</v>
      </c>
      <c r="N18" s="216"/>
    </row>
    <row r="19" spans="1:14" x14ac:dyDescent="0.2">
      <c r="A19" s="227">
        <f t="shared" si="2"/>
        <v>11</v>
      </c>
      <c r="B19" s="237" t="str">
        <f t="shared" si="6"/>
        <v>50E-B</v>
      </c>
      <c r="C19" s="245" t="str">
        <f t="shared" si="6"/>
        <v>Mercury Vapor</v>
      </c>
      <c r="D19" s="246">
        <v>700</v>
      </c>
      <c r="E19" s="240">
        <v>0.28999999999999998</v>
      </c>
      <c r="F19" s="240">
        <v>0.09</v>
      </c>
      <c r="G19" s="240">
        <v>0.38</v>
      </c>
      <c r="H19" s="241">
        <v>0</v>
      </c>
      <c r="I19" s="242">
        <f t="shared" si="5"/>
        <v>0</v>
      </c>
      <c r="J19" s="242">
        <f t="shared" si="3"/>
        <v>0</v>
      </c>
      <c r="K19" s="242">
        <f t="shared" si="4"/>
        <v>0</v>
      </c>
      <c r="M19" s="210" t="s">
        <v>348</v>
      </c>
      <c r="N19" s="216"/>
    </row>
    <row r="20" spans="1:14" x14ac:dyDescent="0.2">
      <c r="A20" s="227">
        <f t="shared" si="2"/>
        <v>12</v>
      </c>
      <c r="B20" s="247"/>
      <c r="C20" s="248"/>
      <c r="D20" s="235"/>
      <c r="E20" s="236"/>
      <c r="F20" s="236"/>
      <c r="G20" s="236"/>
      <c r="H20" s="244"/>
      <c r="I20" s="244"/>
      <c r="J20" s="244"/>
      <c r="K20" s="228"/>
      <c r="M20" s="215"/>
      <c r="N20" s="216"/>
    </row>
    <row r="21" spans="1:14" x14ac:dyDescent="0.2">
      <c r="A21" s="227">
        <f t="shared" si="2"/>
        <v>13</v>
      </c>
      <c r="B21" s="247" t="s">
        <v>132</v>
      </c>
      <c r="C21" s="248"/>
      <c r="D21" s="235"/>
      <c r="E21" s="236"/>
      <c r="F21" s="236"/>
      <c r="G21" s="236"/>
      <c r="H21" s="244"/>
      <c r="I21" s="244"/>
      <c r="J21" s="244"/>
      <c r="K21" s="228"/>
      <c r="M21" s="215"/>
      <c r="N21" s="216"/>
    </row>
    <row r="22" spans="1:14" x14ac:dyDescent="0.2">
      <c r="A22" s="227">
        <f t="shared" si="2"/>
        <v>14</v>
      </c>
      <c r="B22" s="237" t="s">
        <v>133</v>
      </c>
      <c r="C22" s="245" t="s">
        <v>134</v>
      </c>
      <c r="D22" s="249" t="s">
        <v>298</v>
      </c>
      <c r="E22" s="240">
        <v>0.02</v>
      </c>
      <c r="F22" s="240">
        <v>0.01</v>
      </c>
      <c r="G22" s="240">
        <v>0.03</v>
      </c>
      <c r="H22" s="241">
        <v>54528</v>
      </c>
      <c r="I22" s="242">
        <f t="shared" ref="I22:I29" si="7">ROUND($H22*E22,0)</f>
        <v>1091</v>
      </c>
      <c r="J22" s="242">
        <f t="shared" ref="J22:J30" si="8">ROUND($H22*F22,0)</f>
        <v>545</v>
      </c>
      <c r="K22" s="242">
        <f t="shared" ref="K22:K30" si="9">SUM(I22:J22)</f>
        <v>1636</v>
      </c>
      <c r="M22" s="210" t="s">
        <v>351</v>
      </c>
      <c r="N22" s="216"/>
    </row>
    <row r="23" spans="1:14" x14ac:dyDescent="0.2">
      <c r="A23" s="227">
        <f t="shared" si="2"/>
        <v>15</v>
      </c>
      <c r="B23" s="237" t="s">
        <v>133</v>
      </c>
      <c r="C23" s="245" t="s">
        <v>134</v>
      </c>
      <c r="D23" s="246" t="s">
        <v>136</v>
      </c>
      <c r="E23" s="240">
        <v>0.03</v>
      </c>
      <c r="F23" s="240">
        <v>0.01</v>
      </c>
      <c r="G23" s="240">
        <v>0.04</v>
      </c>
      <c r="H23" s="241">
        <v>30475</v>
      </c>
      <c r="I23" s="242">
        <f t="shared" si="7"/>
        <v>914</v>
      </c>
      <c r="J23" s="242">
        <f t="shared" si="8"/>
        <v>305</v>
      </c>
      <c r="K23" s="242">
        <f t="shared" si="9"/>
        <v>1219</v>
      </c>
      <c r="M23" s="210" t="s">
        <v>351</v>
      </c>
      <c r="N23" s="216"/>
    </row>
    <row r="24" spans="1:14" x14ac:dyDescent="0.2">
      <c r="A24" s="227">
        <f t="shared" si="2"/>
        <v>16</v>
      </c>
      <c r="B24" s="237" t="s">
        <v>133</v>
      </c>
      <c r="C24" s="245" t="s">
        <v>134</v>
      </c>
      <c r="D24" s="246" t="s">
        <v>137</v>
      </c>
      <c r="E24" s="240">
        <v>0.04</v>
      </c>
      <c r="F24" s="240">
        <v>0.01</v>
      </c>
      <c r="G24" s="240">
        <v>0.05</v>
      </c>
      <c r="H24" s="241">
        <v>12838</v>
      </c>
      <c r="I24" s="242">
        <f t="shared" si="7"/>
        <v>514</v>
      </c>
      <c r="J24" s="242">
        <f t="shared" si="8"/>
        <v>128</v>
      </c>
      <c r="K24" s="242">
        <f t="shared" si="9"/>
        <v>642</v>
      </c>
      <c r="M24" s="210" t="s">
        <v>351</v>
      </c>
      <c r="N24" s="216"/>
    </row>
    <row r="25" spans="1:14" x14ac:dyDescent="0.2">
      <c r="A25" s="227">
        <f t="shared" si="2"/>
        <v>17</v>
      </c>
      <c r="B25" s="237" t="s">
        <v>133</v>
      </c>
      <c r="C25" s="245" t="s">
        <v>134</v>
      </c>
      <c r="D25" s="246" t="s">
        <v>138</v>
      </c>
      <c r="E25" s="240">
        <v>0.05</v>
      </c>
      <c r="F25" s="240">
        <v>0.02</v>
      </c>
      <c r="G25" s="240">
        <v>7.0000000000000007E-2</v>
      </c>
      <c r="H25" s="241">
        <v>5984</v>
      </c>
      <c r="I25" s="242">
        <f t="shared" si="7"/>
        <v>299</v>
      </c>
      <c r="J25" s="242">
        <f t="shared" si="8"/>
        <v>120</v>
      </c>
      <c r="K25" s="242">
        <f t="shared" si="9"/>
        <v>419</v>
      </c>
      <c r="M25" s="210" t="s">
        <v>351</v>
      </c>
      <c r="N25" s="216"/>
    </row>
    <row r="26" spans="1:14" x14ac:dyDescent="0.2">
      <c r="A26" s="227">
        <f t="shared" si="2"/>
        <v>18</v>
      </c>
      <c r="B26" s="237" t="s">
        <v>133</v>
      </c>
      <c r="C26" s="245" t="s">
        <v>134</v>
      </c>
      <c r="D26" s="246" t="s">
        <v>139</v>
      </c>
      <c r="E26" s="240">
        <v>0.06</v>
      </c>
      <c r="F26" s="240">
        <v>0.02</v>
      </c>
      <c r="G26" s="240">
        <v>0.08</v>
      </c>
      <c r="H26" s="241">
        <v>841</v>
      </c>
      <c r="I26" s="242">
        <f t="shared" si="7"/>
        <v>50</v>
      </c>
      <c r="J26" s="242">
        <f t="shared" si="8"/>
        <v>17</v>
      </c>
      <c r="K26" s="242">
        <f t="shared" si="9"/>
        <v>67</v>
      </c>
      <c r="M26" s="210" t="s">
        <v>351</v>
      </c>
      <c r="N26" s="216"/>
    </row>
    <row r="27" spans="1:14" x14ac:dyDescent="0.2">
      <c r="A27" s="227">
        <f t="shared" si="2"/>
        <v>19</v>
      </c>
      <c r="B27" s="237" t="s">
        <v>133</v>
      </c>
      <c r="C27" s="245" t="s">
        <v>134</v>
      </c>
      <c r="D27" s="246" t="s">
        <v>140</v>
      </c>
      <c r="E27" s="240">
        <v>0.08</v>
      </c>
      <c r="F27" s="240">
        <v>0.03</v>
      </c>
      <c r="G27" s="240">
        <v>0.11</v>
      </c>
      <c r="H27" s="241">
        <v>2412</v>
      </c>
      <c r="I27" s="242">
        <f t="shared" si="7"/>
        <v>193</v>
      </c>
      <c r="J27" s="242">
        <f t="shared" si="8"/>
        <v>72</v>
      </c>
      <c r="K27" s="242">
        <f t="shared" si="9"/>
        <v>265</v>
      </c>
      <c r="M27" s="210" t="s">
        <v>352</v>
      </c>
      <c r="N27" s="216"/>
    </row>
    <row r="28" spans="1:14" x14ac:dyDescent="0.2">
      <c r="A28" s="227">
        <f t="shared" si="2"/>
        <v>20</v>
      </c>
      <c r="B28" s="237" t="s">
        <v>133</v>
      </c>
      <c r="C28" s="245" t="s">
        <v>134</v>
      </c>
      <c r="D28" s="246" t="s">
        <v>141</v>
      </c>
      <c r="E28" s="240">
        <v>0.09</v>
      </c>
      <c r="F28" s="240">
        <v>0.03</v>
      </c>
      <c r="G28" s="240">
        <v>0.12</v>
      </c>
      <c r="H28" s="241">
        <v>719</v>
      </c>
      <c r="I28" s="242">
        <f t="shared" si="7"/>
        <v>65</v>
      </c>
      <c r="J28" s="242">
        <f t="shared" si="8"/>
        <v>22</v>
      </c>
      <c r="K28" s="242">
        <f t="shared" si="9"/>
        <v>87</v>
      </c>
      <c r="M28" s="210" t="s">
        <v>352</v>
      </c>
      <c r="N28" s="216"/>
    </row>
    <row r="29" spans="1:14" x14ac:dyDescent="0.2">
      <c r="A29" s="227">
        <f t="shared" si="2"/>
        <v>21</v>
      </c>
      <c r="B29" s="237" t="s">
        <v>133</v>
      </c>
      <c r="C29" s="245" t="s">
        <v>134</v>
      </c>
      <c r="D29" s="246" t="s">
        <v>142</v>
      </c>
      <c r="E29" s="240">
        <v>0.11</v>
      </c>
      <c r="F29" s="240">
        <v>0.03</v>
      </c>
      <c r="G29" s="240">
        <v>0.14000000000000001</v>
      </c>
      <c r="H29" s="241">
        <v>96</v>
      </c>
      <c r="I29" s="242">
        <f t="shared" si="7"/>
        <v>11</v>
      </c>
      <c r="J29" s="242">
        <f t="shared" si="8"/>
        <v>3</v>
      </c>
      <c r="K29" s="242">
        <f t="shared" si="9"/>
        <v>14</v>
      </c>
      <c r="M29" s="210" t="s">
        <v>352</v>
      </c>
      <c r="N29" s="216"/>
    </row>
    <row r="30" spans="1:14" x14ac:dyDescent="0.2">
      <c r="A30" s="227">
        <f t="shared" si="2"/>
        <v>22</v>
      </c>
      <c r="B30" s="237" t="s">
        <v>133</v>
      </c>
      <c r="C30" s="245" t="s">
        <v>134</v>
      </c>
      <c r="D30" s="246" t="s">
        <v>143</v>
      </c>
      <c r="E30" s="240">
        <v>0.11</v>
      </c>
      <c r="F30" s="240">
        <v>0.04</v>
      </c>
      <c r="G30" s="240">
        <v>0.15</v>
      </c>
      <c r="H30" s="241">
        <v>956</v>
      </c>
      <c r="I30" s="242">
        <f>ROUND($H30*E30,0)</f>
        <v>105</v>
      </c>
      <c r="J30" s="242">
        <f t="shared" si="8"/>
        <v>38</v>
      </c>
      <c r="K30" s="242">
        <f t="shared" si="9"/>
        <v>143</v>
      </c>
      <c r="M30" s="210" t="s">
        <v>352</v>
      </c>
      <c r="N30" s="216"/>
    </row>
    <row r="31" spans="1:14" x14ac:dyDescent="0.2">
      <c r="A31" s="227">
        <f t="shared" si="2"/>
        <v>23</v>
      </c>
      <c r="B31" s="237" t="s">
        <v>133</v>
      </c>
      <c r="C31" s="245" t="s">
        <v>389</v>
      </c>
      <c r="D31" s="250" t="s">
        <v>390</v>
      </c>
      <c r="E31" s="251">
        <v>6.8120000000000003E-3</v>
      </c>
      <c r="F31" s="251">
        <v>2.189E-3</v>
      </c>
      <c r="G31" s="251">
        <v>9.0010000000000003E-3</v>
      </c>
      <c r="H31" s="241">
        <v>0</v>
      </c>
      <c r="I31" s="242">
        <f>ROUND($H31*E31,0)</f>
        <v>0</v>
      </c>
      <c r="J31" s="242">
        <f t="shared" ref="J31" si="10">ROUND($H31*F31,0)</f>
        <v>0</v>
      </c>
      <c r="K31" s="242">
        <f t="shared" ref="K31" si="11">SUM(I31:J31)</f>
        <v>0</v>
      </c>
      <c r="M31" s="210" t="s">
        <v>352</v>
      </c>
      <c r="N31" s="216"/>
    </row>
    <row r="32" spans="1:14" x14ac:dyDescent="0.2">
      <c r="A32" s="227">
        <f t="shared" si="2"/>
        <v>24</v>
      </c>
      <c r="B32" s="247"/>
      <c r="C32" s="235"/>
      <c r="D32" s="235"/>
      <c r="E32" s="236"/>
      <c r="F32" s="236"/>
      <c r="G32" s="236"/>
      <c r="H32" s="244"/>
      <c r="I32" s="244"/>
      <c r="J32" s="244"/>
      <c r="K32" s="228"/>
      <c r="M32" s="210"/>
      <c r="N32" s="216"/>
    </row>
    <row r="33" spans="1:14" x14ac:dyDescent="0.2">
      <c r="A33" s="227">
        <f t="shared" si="2"/>
        <v>25</v>
      </c>
      <c r="B33" s="247" t="s">
        <v>144</v>
      </c>
      <c r="C33" s="235"/>
      <c r="D33" s="235"/>
      <c r="E33" s="236"/>
      <c r="F33" s="236"/>
      <c r="G33" s="236"/>
      <c r="H33" s="244"/>
      <c r="I33" s="244"/>
      <c r="J33" s="244"/>
      <c r="K33" s="228"/>
      <c r="M33" s="215"/>
      <c r="N33" s="216"/>
    </row>
    <row r="34" spans="1:14" x14ac:dyDescent="0.2">
      <c r="A34" s="227">
        <f t="shared" si="2"/>
        <v>26</v>
      </c>
      <c r="B34" s="237" t="s">
        <v>145</v>
      </c>
      <c r="C34" s="252" t="s">
        <v>73</v>
      </c>
      <c r="D34" s="252">
        <v>50</v>
      </c>
      <c r="E34" s="240">
        <v>0.02</v>
      </c>
      <c r="F34" s="240">
        <v>0.01</v>
      </c>
      <c r="G34" s="240">
        <v>0.03</v>
      </c>
      <c r="H34" s="241">
        <v>0</v>
      </c>
      <c r="I34" s="242">
        <f t="shared" ref="I34:I41" si="12">ROUND($H34*E34,0)</f>
        <v>0</v>
      </c>
      <c r="J34" s="242">
        <f t="shared" ref="J34:J41" si="13">ROUND($H34*F34,0)</f>
        <v>0</v>
      </c>
      <c r="K34" s="242">
        <f t="shared" ref="K34:K41" si="14">SUM(I34:J34)</f>
        <v>0</v>
      </c>
      <c r="M34" s="210" t="s">
        <v>353</v>
      </c>
      <c r="N34" s="216"/>
    </row>
    <row r="35" spans="1:14" x14ac:dyDescent="0.2">
      <c r="A35" s="227">
        <f t="shared" si="2"/>
        <v>27</v>
      </c>
      <c r="B35" s="237" t="str">
        <f t="shared" ref="B35:B41" si="15">+B34</f>
        <v xml:space="preserve">52E </v>
      </c>
      <c r="C35" s="252" t="s">
        <v>73</v>
      </c>
      <c r="D35" s="252">
        <v>70</v>
      </c>
      <c r="E35" s="240">
        <v>0.03</v>
      </c>
      <c r="F35" s="240">
        <v>0.01</v>
      </c>
      <c r="G35" s="240">
        <v>0.04</v>
      </c>
      <c r="H35" s="241">
        <v>8040</v>
      </c>
      <c r="I35" s="242">
        <f t="shared" si="12"/>
        <v>241</v>
      </c>
      <c r="J35" s="242">
        <f t="shared" si="13"/>
        <v>80</v>
      </c>
      <c r="K35" s="242">
        <f t="shared" si="14"/>
        <v>321</v>
      </c>
      <c r="M35" s="210" t="s">
        <v>353</v>
      </c>
      <c r="N35" s="216"/>
    </row>
    <row r="36" spans="1:14" x14ac:dyDescent="0.2">
      <c r="A36" s="227">
        <f t="shared" si="2"/>
        <v>28</v>
      </c>
      <c r="B36" s="237" t="str">
        <f t="shared" si="15"/>
        <v xml:space="preserve">52E </v>
      </c>
      <c r="C36" s="252" t="s">
        <v>73</v>
      </c>
      <c r="D36" s="252">
        <v>100</v>
      </c>
      <c r="E36" s="240">
        <v>0.04</v>
      </c>
      <c r="F36" s="240">
        <v>0.01</v>
      </c>
      <c r="G36" s="240">
        <v>0.05</v>
      </c>
      <c r="H36" s="241">
        <v>114717</v>
      </c>
      <c r="I36" s="242">
        <f t="shared" si="12"/>
        <v>4589</v>
      </c>
      <c r="J36" s="242">
        <f t="shared" si="13"/>
        <v>1147</v>
      </c>
      <c r="K36" s="242">
        <f t="shared" si="14"/>
        <v>5736</v>
      </c>
      <c r="M36" s="210" t="s">
        <v>353</v>
      </c>
      <c r="N36" s="216"/>
    </row>
    <row r="37" spans="1:14" x14ac:dyDescent="0.2">
      <c r="A37" s="227">
        <f t="shared" si="2"/>
        <v>29</v>
      </c>
      <c r="B37" s="237" t="str">
        <f t="shared" si="15"/>
        <v xml:space="preserve">52E </v>
      </c>
      <c r="C37" s="252" t="s">
        <v>73</v>
      </c>
      <c r="D37" s="252">
        <v>150</v>
      </c>
      <c r="E37" s="240">
        <v>0.06</v>
      </c>
      <c r="F37" s="240">
        <v>0.02</v>
      </c>
      <c r="G37" s="240">
        <v>0.08</v>
      </c>
      <c r="H37" s="241">
        <v>53559</v>
      </c>
      <c r="I37" s="242">
        <f t="shared" si="12"/>
        <v>3214</v>
      </c>
      <c r="J37" s="242">
        <f t="shared" si="13"/>
        <v>1071</v>
      </c>
      <c r="K37" s="242">
        <f t="shared" si="14"/>
        <v>4285</v>
      </c>
      <c r="M37" s="210" t="s">
        <v>353</v>
      </c>
      <c r="N37" s="216"/>
    </row>
    <row r="38" spans="1:14" x14ac:dyDescent="0.2">
      <c r="A38" s="227">
        <f t="shared" si="2"/>
        <v>30</v>
      </c>
      <c r="B38" s="237" t="str">
        <f t="shared" si="15"/>
        <v xml:space="preserve">52E </v>
      </c>
      <c r="C38" s="252" t="s">
        <v>73</v>
      </c>
      <c r="D38" s="252">
        <v>200</v>
      </c>
      <c r="E38" s="240">
        <v>0.08</v>
      </c>
      <c r="F38" s="240">
        <v>0.03</v>
      </c>
      <c r="G38" s="240">
        <v>0.11</v>
      </c>
      <c r="H38" s="241">
        <v>11323</v>
      </c>
      <c r="I38" s="242">
        <f t="shared" si="12"/>
        <v>906</v>
      </c>
      <c r="J38" s="242">
        <f t="shared" si="13"/>
        <v>340</v>
      </c>
      <c r="K38" s="242">
        <f t="shared" si="14"/>
        <v>1246</v>
      </c>
      <c r="M38" s="210" t="s">
        <v>353</v>
      </c>
      <c r="N38" s="216"/>
    </row>
    <row r="39" spans="1:14" x14ac:dyDescent="0.2">
      <c r="A39" s="227">
        <f t="shared" si="2"/>
        <v>31</v>
      </c>
      <c r="B39" s="237" t="str">
        <f t="shared" si="15"/>
        <v xml:space="preserve">52E </v>
      </c>
      <c r="C39" s="252" t="s">
        <v>73</v>
      </c>
      <c r="D39" s="252">
        <v>250</v>
      </c>
      <c r="E39" s="240">
        <v>0.11</v>
      </c>
      <c r="F39" s="240">
        <v>0.03</v>
      </c>
      <c r="G39" s="240">
        <v>0.14000000000000001</v>
      </c>
      <c r="H39" s="241">
        <v>16751</v>
      </c>
      <c r="I39" s="242">
        <f t="shared" si="12"/>
        <v>1843</v>
      </c>
      <c r="J39" s="242">
        <f t="shared" si="13"/>
        <v>503</v>
      </c>
      <c r="K39" s="242">
        <f t="shared" si="14"/>
        <v>2346</v>
      </c>
      <c r="M39" s="210" t="s">
        <v>353</v>
      </c>
      <c r="N39" s="216"/>
    </row>
    <row r="40" spans="1:14" x14ac:dyDescent="0.2">
      <c r="A40" s="227">
        <f t="shared" si="2"/>
        <v>32</v>
      </c>
      <c r="B40" s="237" t="str">
        <f t="shared" si="15"/>
        <v xml:space="preserve">52E </v>
      </c>
      <c r="C40" s="252" t="s">
        <v>73</v>
      </c>
      <c r="D40" s="252">
        <v>310</v>
      </c>
      <c r="E40" s="240">
        <v>0.12</v>
      </c>
      <c r="F40" s="240">
        <v>0.04</v>
      </c>
      <c r="G40" s="240">
        <v>0.16</v>
      </c>
      <c r="H40" s="241">
        <v>1692</v>
      </c>
      <c r="I40" s="242">
        <f t="shared" si="12"/>
        <v>203</v>
      </c>
      <c r="J40" s="242">
        <f t="shared" si="13"/>
        <v>68</v>
      </c>
      <c r="K40" s="242">
        <f t="shared" si="14"/>
        <v>271</v>
      </c>
      <c r="M40" s="210" t="s">
        <v>353</v>
      </c>
      <c r="N40" s="216"/>
    </row>
    <row r="41" spans="1:14" x14ac:dyDescent="0.2">
      <c r="A41" s="227">
        <f t="shared" si="2"/>
        <v>33</v>
      </c>
      <c r="B41" s="237" t="str">
        <f t="shared" si="15"/>
        <v xml:space="preserve">52E </v>
      </c>
      <c r="C41" s="252" t="s">
        <v>73</v>
      </c>
      <c r="D41" s="252">
        <v>400</v>
      </c>
      <c r="E41" s="240">
        <v>0.17</v>
      </c>
      <c r="F41" s="240">
        <v>0.05</v>
      </c>
      <c r="G41" s="240">
        <v>0.22000000000000003</v>
      </c>
      <c r="H41" s="241">
        <v>7011</v>
      </c>
      <c r="I41" s="242">
        <f t="shared" si="12"/>
        <v>1192</v>
      </c>
      <c r="J41" s="242">
        <f t="shared" si="13"/>
        <v>351</v>
      </c>
      <c r="K41" s="242">
        <f t="shared" si="14"/>
        <v>1543</v>
      </c>
      <c r="M41" s="210" t="s">
        <v>353</v>
      </c>
      <c r="N41" s="216"/>
    </row>
    <row r="42" spans="1:14" x14ac:dyDescent="0.2">
      <c r="A42" s="227">
        <f t="shared" si="2"/>
        <v>34</v>
      </c>
      <c r="B42" s="253"/>
      <c r="C42" s="252"/>
      <c r="D42" s="252"/>
      <c r="E42" s="236"/>
      <c r="F42" s="236"/>
      <c r="G42" s="236"/>
      <c r="H42" s="244"/>
      <c r="I42" s="244"/>
      <c r="J42" s="244"/>
      <c r="K42" s="228"/>
      <c r="M42" s="210"/>
      <c r="N42" s="216"/>
    </row>
    <row r="43" spans="1:14" x14ac:dyDescent="0.2">
      <c r="A43" s="227">
        <f t="shared" si="2"/>
        <v>35</v>
      </c>
      <c r="B43" s="237" t="str">
        <f>+B38</f>
        <v xml:space="preserve">52E </v>
      </c>
      <c r="C43" s="252" t="s">
        <v>146</v>
      </c>
      <c r="D43" s="252">
        <v>70</v>
      </c>
      <c r="E43" s="240">
        <v>0.03</v>
      </c>
      <c r="F43" s="240">
        <v>0.01</v>
      </c>
      <c r="G43" s="240">
        <v>0.04</v>
      </c>
      <c r="H43" s="241">
        <v>840</v>
      </c>
      <c r="I43" s="242">
        <f t="shared" ref="I43:I49" si="16">ROUND($H43*E43,0)</f>
        <v>25</v>
      </c>
      <c r="J43" s="242">
        <f t="shared" ref="J43:J49" si="17">ROUND($H43*F43,0)</f>
        <v>8</v>
      </c>
      <c r="K43" s="242">
        <f t="shared" ref="K43:K49" si="18">SUM(I43:J43)</f>
        <v>33</v>
      </c>
      <c r="M43" s="210" t="s">
        <v>353</v>
      </c>
      <c r="N43" s="216"/>
    </row>
    <row r="44" spans="1:14" x14ac:dyDescent="0.2">
      <c r="A44" s="227">
        <f t="shared" si="2"/>
        <v>36</v>
      </c>
      <c r="B44" s="237" t="str">
        <f>+B39</f>
        <v xml:space="preserve">52E </v>
      </c>
      <c r="C44" s="252" t="s">
        <v>146</v>
      </c>
      <c r="D44" s="252">
        <v>100</v>
      </c>
      <c r="E44" s="240">
        <v>0.04</v>
      </c>
      <c r="F44" s="240">
        <v>0.01</v>
      </c>
      <c r="G44" s="240">
        <v>0.05</v>
      </c>
      <c r="H44" s="241">
        <v>48</v>
      </c>
      <c r="I44" s="242">
        <f t="shared" si="16"/>
        <v>2</v>
      </c>
      <c r="J44" s="242">
        <f t="shared" si="17"/>
        <v>0</v>
      </c>
      <c r="K44" s="242">
        <f t="shared" si="18"/>
        <v>2</v>
      </c>
      <c r="M44" s="210" t="s">
        <v>353</v>
      </c>
      <c r="N44" s="216"/>
    </row>
    <row r="45" spans="1:14" x14ac:dyDescent="0.2">
      <c r="A45" s="227">
        <f t="shared" si="2"/>
        <v>37</v>
      </c>
      <c r="B45" s="237" t="str">
        <f>+B40</f>
        <v xml:space="preserve">52E </v>
      </c>
      <c r="C45" s="252" t="s">
        <v>146</v>
      </c>
      <c r="D45" s="252">
        <v>150</v>
      </c>
      <c r="E45" s="240">
        <v>0.06</v>
      </c>
      <c r="F45" s="240">
        <v>0.02</v>
      </c>
      <c r="G45" s="240">
        <v>0.08</v>
      </c>
      <c r="H45" s="241">
        <v>2402</v>
      </c>
      <c r="I45" s="242">
        <f t="shared" si="16"/>
        <v>144</v>
      </c>
      <c r="J45" s="242">
        <f t="shared" si="17"/>
        <v>48</v>
      </c>
      <c r="K45" s="242">
        <f t="shared" si="18"/>
        <v>192</v>
      </c>
      <c r="M45" s="210" t="s">
        <v>353</v>
      </c>
      <c r="N45" s="216"/>
    </row>
    <row r="46" spans="1:14" x14ac:dyDescent="0.2">
      <c r="A46" s="227">
        <f t="shared" si="2"/>
        <v>38</v>
      </c>
      <c r="B46" s="237" t="str">
        <f>+B41</f>
        <v xml:space="preserve">52E </v>
      </c>
      <c r="C46" s="252" t="s">
        <v>146</v>
      </c>
      <c r="D46" s="252">
        <v>175</v>
      </c>
      <c r="E46" s="240">
        <v>7.0000000000000007E-2</v>
      </c>
      <c r="F46" s="240">
        <v>0.02</v>
      </c>
      <c r="G46" s="240">
        <v>9.0000000000000011E-2</v>
      </c>
      <c r="H46" s="241">
        <v>2532</v>
      </c>
      <c r="I46" s="242">
        <f t="shared" si="16"/>
        <v>177</v>
      </c>
      <c r="J46" s="242">
        <f t="shared" si="17"/>
        <v>51</v>
      </c>
      <c r="K46" s="242">
        <f t="shared" si="18"/>
        <v>228</v>
      </c>
      <c r="M46" s="210" t="s">
        <v>353</v>
      </c>
      <c r="N46" s="216"/>
    </row>
    <row r="47" spans="1:14" x14ac:dyDescent="0.2">
      <c r="A47" s="227">
        <f t="shared" si="2"/>
        <v>39</v>
      </c>
      <c r="B47" s="237" t="str">
        <f t="shared" ref="B47:C49" si="19">+B46</f>
        <v xml:space="preserve">52E </v>
      </c>
      <c r="C47" s="252" t="str">
        <f t="shared" si="19"/>
        <v>Metal Halide</v>
      </c>
      <c r="D47" s="252">
        <v>250</v>
      </c>
      <c r="E47" s="240">
        <v>0.11</v>
      </c>
      <c r="F47" s="240">
        <v>0.03</v>
      </c>
      <c r="G47" s="240">
        <v>0.14000000000000001</v>
      </c>
      <c r="H47" s="241">
        <v>432</v>
      </c>
      <c r="I47" s="242">
        <f t="shared" si="16"/>
        <v>48</v>
      </c>
      <c r="J47" s="242">
        <f t="shared" si="17"/>
        <v>13</v>
      </c>
      <c r="K47" s="242">
        <f t="shared" si="18"/>
        <v>61</v>
      </c>
      <c r="M47" s="210" t="s">
        <v>353</v>
      </c>
      <c r="N47" s="216"/>
    </row>
    <row r="48" spans="1:14" x14ac:dyDescent="0.2">
      <c r="A48" s="227">
        <f t="shared" si="2"/>
        <v>40</v>
      </c>
      <c r="B48" s="237" t="str">
        <f t="shared" si="19"/>
        <v xml:space="preserve">52E </v>
      </c>
      <c r="C48" s="252" t="str">
        <f t="shared" si="19"/>
        <v>Metal Halide</v>
      </c>
      <c r="D48" s="252">
        <v>400</v>
      </c>
      <c r="E48" s="240">
        <v>0.17</v>
      </c>
      <c r="F48" s="240">
        <v>0.05</v>
      </c>
      <c r="G48" s="240">
        <v>0.22000000000000003</v>
      </c>
      <c r="H48" s="241">
        <v>684</v>
      </c>
      <c r="I48" s="242">
        <f t="shared" si="16"/>
        <v>116</v>
      </c>
      <c r="J48" s="242">
        <f t="shared" si="17"/>
        <v>34</v>
      </c>
      <c r="K48" s="242">
        <f t="shared" si="18"/>
        <v>150</v>
      </c>
      <c r="M48" s="210" t="s">
        <v>353</v>
      </c>
      <c r="N48" s="216"/>
    </row>
    <row r="49" spans="1:14" x14ac:dyDescent="0.2">
      <c r="A49" s="227">
        <f t="shared" si="2"/>
        <v>41</v>
      </c>
      <c r="B49" s="237" t="str">
        <f t="shared" si="19"/>
        <v xml:space="preserve">52E </v>
      </c>
      <c r="C49" s="252" t="str">
        <f t="shared" si="19"/>
        <v>Metal Halide</v>
      </c>
      <c r="D49" s="252">
        <v>1000</v>
      </c>
      <c r="E49" s="240">
        <v>0.4</v>
      </c>
      <c r="F49" s="240">
        <v>0.13</v>
      </c>
      <c r="G49" s="240">
        <v>0.53</v>
      </c>
      <c r="H49" s="241">
        <v>216</v>
      </c>
      <c r="I49" s="242">
        <f t="shared" si="16"/>
        <v>86</v>
      </c>
      <c r="J49" s="242">
        <f t="shared" si="17"/>
        <v>28</v>
      </c>
      <c r="K49" s="242">
        <f t="shared" si="18"/>
        <v>114</v>
      </c>
      <c r="M49" s="210" t="s">
        <v>353</v>
      </c>
      <c r="N49" s="216"/>
    </row>
    <row r="50" spans="1:14" x14ac:dyDescent="0.2">
      <c r="A50" s="227">
        <f t="shared" si="2"/>
        <v>42</v>
      </c>
      <c r="B50" s="247"/>
      <c r="C50" s="235"/>
      <c r="D50" s="235"/>
      <c r="E50" s="236"/>
      <c r="F50" s="236"/>
      <c r="G50" s="236"/>
      <c r="H50" s="244"/>
      <c r="I50" s="244"/>
      <c r="J50" s="244"/>
      <c r="K50" s="228"/>
      <c r="M50" s="210"/>
      <c r="N50" s="216"/>
    </row>
    <row r="51" spans="1:14" x14ac:dyDescent="0.2">
      <c r="A51" s="227">
        <f t="shared" si="2"/>
        <v>43</v>
      </c>
      <c r="B51" s="247" t="s">
        <v>147</v>
      </c>
      <c r="C51" s="235"/>
      <c r="D51" s="235"/>
      <c r="E51" s="236"/>
      <c r="F51" s="236"/>
      <c r="G51" s="236"/>
      <c r="H51" s="244"/>
      <c r="I51" s="244"/>
      <c r="J51" s="244"/>
      <c r="K51" s="228"/>
      <c r="M51" s="210"/>
      <c r="N51" s="216"/>
    </row>
    <row r="52" spans="1:14" x14ac:dyDescent="0.2">
      <c r="A52" s="227">
        <f t="shared" si="2"/>
        <v>44</v>
      </c>
      <c r="B52" s="237" t="s">
        <v>148</v>
      </c>
      <c r="C52" s="252" t="s">
        <v>73</v>
      </c>
      <c r="D52" s="252">
        <v>50</v>
      </c>
      <c r="E52" s="240">
        <v>0.41</v>
      </c>
      <c r="F52" s="240">
        <v>0.13</v>
      </c>
      <c r="G52" s="240">
        <v>0.54</v>
      </c>
      <c r="H52" s="241">
        <v>0</v>
      </c>
      <c r="I52" s="242">
        <f t="shared" ref="I52:I60" si="20">ROUND($H52*E52,0)</f>
        <v>0</v>
      </c>
      <c r="J52" s="242">
        <f t="shared" ref="J52:J60" si="21">ROUND($H52*F52,0)</f>
        <v>0</v>
      </c>
      <c r="K52" s="242">
        <f t="shared" ref="K52:K60" si="22">SUM(I52:J52)</f>
        <v>0</v>
      </c>
      <c r="M52" s="210" t="s">
        <v>353</v>
      </c>
      <c r="N52" s="216"/>
    </row>
    <row r="53" spans="1:14" x14ac:dyDescent="0.2">
      <c r="A53" s="227">
        <f t="shared" si="2"/>
        <v>45</v>
      </c>
      <c r="B53" s="237" t="str">
        <f t="shared" ref="B53:B60" si="23">+B52</f>
        <v>53E - Company Owned</v>
      </c>
      <c r="C53" s="252" t="s">
        <v>73</v>
      </c>
      <c r="D53" s="252">
        <v>70</v>
      </c>
      <c r="E53" s="240">
        <v>0.42</v>
      </c>
      <c r="F53" s="240">
        <v>0.13</v>
      </c>
      <c r="G53" s="240">
        <v>0.55000000000000004</v>
      </c>
      <c r="H53" s="241">
        <v>46760</v>
      </c>
      <c r="I53" s="242">
        <f t="shared" si="20"/>
        <v>19639</v>
      </c>
      <c r="J53" s="242">
        <f t="shared" si="21"/>
        <v>6079</v>
      </c>
      <c r="K53" s="242">
        <f t="shared" si="22"/>
        <v>25718</v>
      </c>
      <c r="M53" s="210" t="s">
        <v>353</v>
      </c>
      <c r="N53" s="216"/>
    </row>
    <row r="54" spans="1:14" x14ac:dyDescent="0.2">
      <c r="A54" s="227">
        <f t="shared" si="2"/>
        <v>46</v>
      </c>
      <c r="B54" s="237" t="str">
        <f t="shared" si="23"/>
        <v>53E - Company Owned</v>
      </c>
      <c r="C54" s="252" t="s">
        <v>73</v>
      </c>
      <c r="D54" s="252">
        <v>100</v>
      </c>
      <c r="E54" s="240">
        <v>0.41</v>
      </c>
      <c r="F54" s="240">
        <v>0.13</v>
      </c>
      <c r="G54" s="240">
        <v>0.54</v>
      </c>
      <c r="H54" s="241">
        <v>342532</v>
      </c>
      <c r="I54" s="242">
        <f t="shared" si="20"/>
        <v>140438</v>
      </c>
      <c r="J54" s="242">
        <f t="shared" si="21"/>
        <v>44529</v>
      </c>
      <c r="K54" s="242">
        <f t="shared" si="22"/>
        <v>184967</v>
      </c>
      <c r="M54" s="210" t="s">
        <v>353</v>
      </c>
      <c r="N54" s="216"/>
    </row>
    <row r="55" spans="1:14" x14ac:dyDescent="0.2">
      <c r="A55" s="227">
        <f t="shared" si="2"/>
        <v>47</v>
      </c>
      <c r="B55" s="237" t="str">
        <f t="shared" si="23"/>
        <v>53E - Company Owned</v>
      </c>
      <c r="C55" s="252" t="s">
        <v>73</v>
      </c>
      <c r="D55" s="252">
        <v>150</v>
      </c>
      <c r="E55" s="240">
        <v>0.43</v>
      </c>
      <c r="F55" s="240">
        <v>0.14000000000000001</v>
      </c>
      <c r="G55" s="240">
        <v>0.57000000000000006</v>
      </c>
      <c r="H55" s="241">
        <v>42046</v>
      </c>
      <c r="I55" s="242">
        <f t="shared" si="20"/>
        <v>18080</v>
      </c>
      <c r="J55" s="242">
        <f t="shared" si="21"/>
        <v>5886</v>
      </c>
      <c r="K55" s="242">
        <f t="shared" si="22"/>
        <v>23966</v>
      </c>
      <c r="M55" s="210" t="s">
        <v>353</v>
      </c>
      <c r="N55" s="216"/>
    </row>
    <row r="56" spans="1:14" x14ac:dyDescent="0.2">
      <c r="A56" s="227">
        <f t="shared" si="2"/>
        <v>48</v>
      </c>
      <c r="B56" s="237" t="str">
        <f t="shared" si="23"/>
        <v>53E - Company Owned</v>
      </c>
      <c r="C56" s="252" t="s">
        <v>73</v>
      </c>
      <c r="D56" s="252">
        <v>200</v>
      </c>
      <c r="E56" s="240">
        <v>0.47</v>
      </c>
      <c r="F56" s="240">
        <v>0.15</v>
      </c>
      <c r="G56" s="240">
        <v>0.62</v>
      </c>
      <c r="H56" s="241">
        <v>51043</v>
      </c>
      <c r="I56" s="242">
        <f t="shared" si="20"/>
        <v>23990</v>
      </c>
      <c r="J56" s="242">
        <f t="shared" si="21"/>
        <v>7656</v>
      </c>
      <c r="K56" s="242">
        <f t="shared" si="22"/>
        <v>31646</v>
      </c>
      <c r="M56" s="210" t="s">
        <v>353</v>
      </c>
      <c r="N56" s="216"/>
    </row>
    <row r="57" spans="1:14" x14ac:dyDescent="0.2">
      <c r="A57" s="227">
        <f t="shared" si="2"/>
        <v>49</v>
      </c>
      <c r="B57" s="237" t="str">
        <f t="shared" si="23"/>
        <v>53E - Company Owned</v>
      </c>
      <c r="C57" s="252" t="s">
        <v>73</v>
      </c>
      <c r="D57" s="252">
        <v>250</v>
      </c>
      <c r="E57" s="240">
        <v>0.5</v>
      </c>
      <c r="F57" s="240">
        <v>0.16</v>
      </c>
      <c r="G57" s="240">
        <v>0.66</v>
      </c>
      <c r="H57" s="241">
        <v>19229</v>
      </c>
      <c r="I57" s="242">
        <f t="shared" si="20"/>
        <v>9615</v>
      </c>
      <c r="J57" s="242">
        <f t="shared" si="21"/>
        <v>3077</v>
      </c>
      <c r="K57" s="242">
        <f t="shared" si="22"/>
        <v>12692</v>
      </c>
      <c r="M57" s="210" t="s">
        <v>353</v>
      </c>
      <c r="N57" s="216"/>
    </row>
    <row r="58" spans="1:14" x14ac:dyDescent="0.2">
      <c r="A58" s="227">
        <f t="shared" si="2"/>
        <v>50</v>
      </c>
      <c r="B58" s="237" t="str">
        <f t="shared" si="23"/>
        <v>53E - Company Owned</v>
      </c>
      <c r="C58" s="252" t="s">
        <v>73</v>
      </c>
      <c r="D58" s="252">
        <v>310</v>
      </c>
      <c r="E58" s="240">
        <v>0.53</v>
      </c>
      <c r="F58" s="240">
        <v>0.17</v>
      </c>
      <c r="G58" s="240">
        <v>0.70000000000000007</v>
      </c>
      <c r="H58" s="241">
        <v>183</v>
      </c>
      <c r="I58" s="242">
        <f t="shared" si="20"/>
        <v>97</v>
      </c>
      <c r="J58" s="242">
        <f t="shared" si="21"/>
        <v>31</v>
      </c>
      <c r="K58" s="242">
        <f t="shared" si="22"/>
        <v>128</v>
      </c>
      <c r="M58" s="210" t="s">
        <v>353</v>
      </c>
      <c r="N58" s="216"/>
    </row>
    <row r="59" spans="1:14" x14ac:dyDescent="0.2">
      <c r="A59" s="227">
        <f t="shared" si="2"/>
        <v>51</v>
      </c>
      <c r="B59" s="237" t="str">
        <f t="shared" si="23"/>
        <v>53E - Company Owned</v>
      </c>
      <c r="C59" s="252" t="s">
        <v>73</v>
      </c>
      <c r="D59" s="252">
        <v>400</v>
      </c>
      <c r="E59" s="240">
        <v>0.61</v>
      </c>
      <c r="F59" s="240">
        <v>0.19</v>
      </c>
      <c r="G59" s="240">
        <v>0.8</v>
      </c>
      <c r="H59" s="241">
        <v>10565</v>
      </c>
      <c r="I59" s="242">
        <f t="shared" si="20"/>
        <v>6445</v>
      </c>
      <c r="J59" s="242">
        <f t="shared" si="21"/>
        <v>2007</v>
      </c>
      <c r="K59" s="242">
        <f t="shared" si="22"/>
        <v>8452</v>
      </c>
      <c r="M59" s="210" t="s">
        <v>353</v>
      </c>
      <c r="N59" s="216"/>
    </row>
    <row r="60" spans="1:14" x14ac:dyDescent="0.2">
      <c r="A60" s="227">
        <f t="shared" si="2"/>
        <v>52</v>
      </c>
      <c r="B60" s="237" t="str">
        <f t="shared" si="23"/>
        <v>53E - Company Owned</v>
      </c>
      <c r="C60" s="252" t="s">
        <v>73</v>
      </c>
      <c r="D60" s="252">
        <v>1000</v>
      </c>
      <c r="E60" s="240">
        <v>0.93</v>
      </c>
      <c r="F60" s="240">
        <v>0.28999999999999998</v>
      </c>
      <c r="G60" s="240">
        <v>1.22</v>
      </c>
      <c r="H60" s="241">
        <v>0</v>
      </c>
      <c r="I60" s="242">
        <f t="shared" si="20"/>
        <v>0</v>
      </c>
      <c r="J60" s="242">
        <f t="shared" si="21"/>
        <v>0</v>
      </c>
      <c r="K60" s="242">
        <f t="shared" si="22"/>
        <v>0</v>
      </c>
      <c r="M60" s="210" t="s">
        <v>353</v>
      </c>
      <c r="N60" s="216"/>
    </row>
    <row r="61" spans="1:14" x14ac:dyDescent="0.2">
      <c r="A61" s="227">
        <f t="shared" si="2"/>
        <v>53</v>
      </c>
      <c r="B61" s="237"/>
      <c r="C61" s="252"/>
      <c r="D61" s="252"/>
      <c r="E61" s="236"/>
      <c r="F61" s="236"/>
      <c r="G61" s="236"/>
      <c r="H61" s="244"/>
      <c r="I61" s="244"/>
      <c r="J61" s="244"/>
      <c r="K61" s="228"/>
      <c r="M61" s="210"/>
      <c r="N61" s="216"/>
    </row>
    <row r="62" spans="1:14" x14ac:dyDescent="0.2">
      <c r="A62" s="227">
        <f t="shared" si="2"/>
        <v>54</v>
      </c>
      <c r="B62" s="237" t="str">
        <f>+B60</f>
        <v>53E - Company Owned</v>
      </c>
      <c r="C62" s="252" t="s">
        <v>146</v>
      </c>
      <c r="D62" s="252">
        <v>70</v>
      </c>
      <c r="E62" s="240">
        <v>0.37</v>
      </c>
      <c r="F62" s="240">
        <v>0.12</v>
      </c>
      <c r="G62" s="240">
        <v>0.49</v>
      </c>
      <c r="H62" s="241">
        <v>0</v>
      </c>
      <c r="I62" s="242">
        <f t="shared" ref="I62:I66" si="24">ROUND($H62*E62,0)</f>
        <v>0</v>
      </c>
      <c r="J62" s="242">
        <f t="shared" ref="J62:J66" si="25">ROUND($H62*F62,0)</f>
        <v>0</v>
      </c>
      <c r="K62" s="242">
        <f t="shared" ref="K62:K66" si="26">SUM(I62:J62)</f>
        <v>0</v>
      </c>
      <c r="M62" s="210" t="s">
        <v>354</v>
      </c>
      <c r="N62" s="216"/>
    </row>
    <row r="63" spans="1:14" x14ac:dyDescent="0.2">
      <c r="A63" s="227">
        <f t="shared" si="2"/>
        <v>55</v>
      </c>
      <c r="B63" s="237" t="str">
        <f>+B62</f>
        <v>53E - Company Owned</v>
      </c>
      <c r="C63" s="252" t="s">
        <v>146</v>
      </c>
      <c r="D63" s="252">
        <v>100</v>
      </c>
      <c r="E63" s="240">
        <v>0.39</v>
      </c>
      <c r="F63" s="240">
        <v>0.12</v>
      </c>
      <c r="G63" s="240">
        <v>0.51</v>
      </c>
      <c r="H63" s="241">
        <v>0</v>
      </c>
      <c r="I63" s="242">
        <f t="shared" si="24"/>
        <v>0</v>
      </c>
      <c r="J63" s="242">
        <f t="shared" si="25"/>
        <v>0</v>
      </c>
      <c r="K63" s="242">
        <f t="shared" si="26"/>
        <v>0</v>
      </c>
      <c r="M63" s="210" t="s">
        <v>354</v>
      </c>
      <c r="N63" s="216"/>
    </row>
    <row r="64" spans="1:14" x14ac:dyDescent="0.2">
      <c r="A64" s="227">
        <f t="shared" si="2"/>
        <v>56</v>
      </c>
      <c r="B64" s="237" t="str">
        <f>+B63</f>
        <v>53E - Company Owned</v>
      </c>
      <c r="C64" s="252" t="s">
        <v>146</v>
      </c>
      <c r="D64" s="252">
        <v>150</v>
      </c>
      <c r="E64" s="240">
        <v>0.43</v>
      </c>
      <c r="F64" s="240">
        <v>0.13</v>
      </c>
      <c r="G64" s="240">
        <v>0.56000000000000005</v>
      </c>
      <c r="H64" s="241">
        <v>0</v>
      </c>
      <c r="I64" s="242">
        <f t="shared" si="24"/>
        <v>0</v>
      </c>
      <c r="J64" s="242">
        <f t="shared" si="25"/>
        <v>0</v>
      </c>
      <c r="K64" s="242">
        <f t="shared" si="26"/>
        <v>0</v>
      </c>
      <c r="M64" s="210" t="s">
        <v>354</v>
      </c>
      <c r="N64" s="216"/>
    </row>
    <row r="65" spans="1:14" x14ac:dyDescent="0.2">
      <c r="A65" s="227">
        <f t="shared" si="2"/>
        <v>57</v>
      </c>
      <c r="B65" s="237" t="str">
        <f>B64</f>
        <v>53E - Company Owned</v>
      </c>
      <c r="C65" s="252" t="s">
        <v>146</v>
      </c>
      <c r="D65" s="252">
        <v>250</v>
      </c>
      <c r="E65" s="240">
        <v>0.5</v>
      </c>
      <c r="F65" s="240">
        <v>0.16</v>
      </c>
      <c r="G65" s="240">
        <v>0.66</v>
      </c>
      <c r="H65" s="241">
        <v>0</v>
      </c>
      <c r="I65" s="242">
        <f t="shared" si="24"/>
        <v>0</v>
      </c>
      <c r="J65" s="242">
        <f t="shared" si="25"/>
        <v>0</v>
      </c>
      <c r="K65" s="242">
        <f t="shared" si="26"/>
        <v>0</v>
      </c>
      <c r="M65" s="210" t="s">
        <v>354</v>
      </c>
      <c r="N65" s="216"/>
    </row>
    <row r="66" spans="1:14" x14ac:dyDescent="0.2">
      <c r="A66" s="227">
        <f t="shared" si="2"/>
        <v>58</v>
      </c>
      <c r="B66" s="237" t="str">
        <f>B65</f>
        <v>53E - Company Owned</v>
      </c>
      <c r="C66" s="252" t="s">
        <v>146</v>
      </c>
      <c r="D66" s="252">
        <v>400</v>
      </c>
      <c r="E66" s="240">
        <v>0.56000000000000005</v>
      </c>
      <c r="F66" s="240">
        <v>0.18</v>
      </c>
      <c r="G66" s="240">
        <v>0.74</v>
      </c>
      <c r="H66" s="241">
        <v>0</v>
      </c>
      <c r="I66" s="242">
        <f t="shared" si="24"/>
        <v>0</v>
      </c>
      <c r="J66" s="242">
        <f t="shared" si="25"/>
        <v>0</v>
      </c>
      <c r="K66" s="242">
        <f t="shared" si="26"/>
        <v>0</v>
      </c>
      <c r="M66" s="210" t="s">
        <v>354</v>
      </c>
      <c r="N66" s="216"/>
    </row>
    <row r="67" spans="1:14" x14ac:dyDescent="0.2">
      <c r="A67" s="227">
        <f t="shared" si="2"/>
        <v>59</v>
      </c>
      <c r="B67" s="237"/>
      <c r="C67" s="252"/>
      <c r="D67" s="252"/>
      <c r="E67" s="236"/>
      <c r="F67" s="236"/>
      <c r="G67" s="236"/>
      <c r="H67" s="244"/>
      <c r="I67" s="244"/>
      <c r="J67" s="244"/>
      <c r="K67" s="228"/>
      <c r="M67" s="210"/>
      <c r="N67" s="216"/>
    </row>
    <row r="68" spans="1:14" x14ac:dyDescent="0.2">
      <c r="A68" s="227">
        <f t="shared" si="2"/>
        <v>60</v>
      </c>
      <c r="B68" s="237" t="str">
        <f>+B66</f>
        <v>53E - Company Owned</v>
      </c>
      <c r="C68" s="252" t="s">
        <v>134</v>
      </c>
      <c r="D68" s="249" t="s">
        <v>298</v>
      </c>
      <c r="E68" s="240">
        <v>0.4</v>
      </c>
      <c r="F68" s="240">
        <v>0.12</v>
      </c>
      <c r="G68" s="240">
        <v>0.52</v>
      </c>
      <c r="H68" s="241">
        <v>268646</v>
      </c>
      <c r="I68" s="242">
        <f t="shared" ref="I68:I76" si="27">ROUND($H68*E68,0)</f>
        <v>107458</v>
      </c>
      <c r="J68" s="242">
        <f t="shared" ref="J68:J76" si="28">ROUND($H68*F68,0)</f>
        <v>32238</v>
      </c>
      <c r="K68" s="242">
        <f t="shared" ref="K68:K77" si="29">SUM(I68:J68)</f>
        <v>139696</v>
      </c>
      <c r="M68" s="210" t="s">
        <v>355</v>
      </c>
      <c r="N68" s="216"/>
    </row>
    <row r="69" spans="1:14" x14ac:dyDescent="0.2">
      <c r="A69" s="227">
        <f t="shared" si="2"/>
        <v>61</v>
      </c>
      <c r="B69" s="237" t="str">
        <f>B68</f>
        <v>53E - Company Owned</v>
      </c>
      <c r="C69" s="252" t="s">
        <v>134</v>
      </c>
      <c r="D69" s="246" t="s">
        <v>136</v>
      </c>
      <c r="E69" s="240">
        <v>0.4</v>
      </c>
      <c r="F69" s="240">
        <v>0.13</v>
      </c>
      <c r="G69" s="240">
        <v>0.53</v>
      </c>
      <c r="H69" s="241">
        <v>5955</v>
      </c>
      <c r="I69" s="242">
        <f t="shared" si="27"/>
        <v>2382</v>
      </c>
      <c r="J69" s="242">
        <f t="shared" si="28"/>
        <v>774</v>
      </c>
      <c r="K69" s="242">
        <f t="shared" si="29"/>
        <v>3156</v>
      </c>
      <c r="M69" s="210" t="s">
        <v>355</v>
      </c>
      <c r="N69" s="216"/>
    </row>
    <row r="70" spans="1:14" x14ac:dyDescent="0.2">
      <c r="A70" s="227">
        <f t="shared" si="2"/>
        <v>62</v>
      </c>
      <c r="B70" s="237" t="str">
        <f t="shared" ref="B70:B77" si="30">B69</f>
        <v>53E - Company Owned</v>
      </c>
      <c r="C70" s="252" t="s">
        <v>134</v>
      </c>
      <c r="D70" s="246" t="s">
        <v>137</v>
      </c>
      <c r="E70" s="240">
        <v>0.43</v>
      </c>
      <c r="F70" s="240">
        <v>0.13</v>
      </c>
      <c r="G70" s="240">
        <v>0.56000000000000005</v>
      </c>
      <c r="H70" s="241">
        <v>31156</v>
      </c>
      <c r="I70" s="242">
        <f t="shared" si="27"/>
        <v>13397</v>
      </c>
      <c r="J70" s="242">
        <f t="shared" si="28"/>
        <v>4050</v>
      </c>
      <c r="K70" s="242">
        <f t="shared" si="29"/>
        <v>17447</v>
      </c>
      <c r="M70" s="210" t="s">
        <v>355</v>
      </c>
      <c r="N70" s="216"/>
    </row>
    <row r="71" spans="1:14" x14ac:dyDescent="0.2">
      <c r="A71" s="227">
        <f t="shared" si="2"/>
        <v>63</v>
      </c>
      <c r="B71" s="237" t="str">
        <f t="shared" si="30"/>
        <v>53E - Company Owned</v>
      </c>
      <c r="C71" s="252" t="s">
        <v>134</v>
      </c>
      <c r="D71" s="246" t="s">
        <v>138</v>
      </c>
      <c r="E71" s="240">
        <v>0.43</v>
      </c>
      <c r="F71" s="240">
        <v>0.13</v>
      </c>
      <c r="G71" s="240">
        <v>0.56000000000000005</v>
      </c>
      <c r="H71" s="241">
        <v>22193</v>
      </c>
      <c r="I71" s="242">
        <f t="shared" si="27"/>
        <v>9543</v>
      </c>
      <c r="J71" s="242">
        <f t="shared" si="28"/>
        <v>2885</v>
      </c>
      <c r="K71" s="242">
        <f t="shared" si="29"/>
        <v>12428</v>
      </c>
      <c r="M71" s="210" t="s">
        <v>355</v>
      </c>
      <c r="N71" s="216"/>
    </row>
    <row r="72" spans="1:14" x14ac:dyDescent="0.2">
      <c r="A72" s="227">
        <f t="shared" si="2"/>
        <v>64</v>
      </c>
      <c r="B72" s="237" t="str">
        <f t="shared" si="30"/>
        <v>53E - Company Owned</v>
      </c>
      <c r="C72" s="252" t="s">
        <v>134</v>
      </c>
      <c r="D72" s="246" t="s">
        <v>139</v>
      </c>
      <c r="E72" s="240">
        <v>0.46</v>
      </c>
      <c r="F72" s="240">
        <v>0.14000000000000001</v>
      </c>
      <c r="G72" s="240">
        <v>0.60000000000000009</v>
      </c>
      <c r="H72" s="241">
        <v>1304</v>
      </c>
      <c r="I72" s="242">
        <f t="shared" si="27"/>
        <v>600</v>
      </c>
      <c r="J72" s="242">
        <f t="shared" si="28"/>
        <v>183</v>
      </c>
      <c r="K72" s="242">
        <f t="shared" si="29"/>
        <v>783</v>
      </c>
      <c r="M72" s="210" t="s">
        <v>355</v>
      </c>
      <c r="N72" s="216"/>
    </row>
    <row r="73" spans="1:14" x14ac:dyDescent="0.2">
      <c r="A73" s="227">
        <f t="shared" si="2"/>
        <v>65</v>
      </c>
      <c r="B73" s="237" t="str">
        <f t="shared" si="30"/>
        <v>53E - Company Owned</v>
      </c>
      <c r="C73" s="252" t="s">
        <v>134</v>
      </c>
      <c r="D73" s="246" t="s">
        <v>140</v>
      </c>
      <c r="E73" s="240">
        <v>0.47</v>
      </c>
      <c r="F73" s="240">
        <v>0.15</v>
      </c>
      <c r="G73" s="240">
        <v>0.62</v>
      </c>
      <c r="H73" s="241">
        <v>5103</v>
      </c>
      <c r="I73" s="242">
        <f t="shared" si="27"/>
        <v>2398</v>
      </c>
      <c r="J73" s="242">
        <f t="shared" si="28"/>
        <v>765</v>
      </c>
      <c r="K73" s="242">
        <f t="shared" si="29"/>
        <v>3163</v>
      </c>
      <c r="M73" s="210" t="s">
        <v>356</v>
      </c>
      <c r="N73" s="216"/>
    </row>
    <row r="74" spans="1:14" x14ac:dyDescent="0.2">
      <c r="A74" s="227">
        <f t="shared" si="2"/>
        <v>66</v>
      </c>
      <c r="B74" s="237" t="str">
        <f t="shared" si="30"/>
        <v>53E - Company Owned</v>
      </c>
      <c r="C74" s="252" t="s">
        <v>134</v>
      </c>
      <c r="D74" s="246" t="s">
        <v>141</v>
      </c>
      <c r="E74" s="240">
        <v>0.5</v>
      </c>
      <c r="F74" s="240">
        <v>0.16</v>
      </c>
      <c r="G74" s="240">
        <v>0.66</v>
      </c>
      <c r="H74" s="241">
        <v>585</v>
      </c>
      <c r="I74" s="242">
        <f t="shared" si="27"/>
        <v>293</v>
      </c>
      <c r="J74" s="242">
        <f t="shared" si="28"/>
        <v>94</v>
      </c>
      <c r="K74" s="242">
        <f t="shared" si="29"/>
        <v>387</v>
      </c>
      <c r="M74" s="210" t="s">
        <v>356</v>
      </c>
      <c r="N74" s="216"/>
    </row>
    <row r="75" spans="1:14" x14ac:dyDescent="0.2">
      <c r="A75" s="227">
        <f t="shared" si="2"/>
        <v>67</v>
      </c>
      <c r="B75" s="237" t="str">
        <f t="shared" si="30"/>
        <v>53E - Company Owned</v>
      </c>
      <c r="C75" s="252" t="s">
        <v>134</v>
      </c>
      <c r="D75" s="246" t="s">
        <v>142</v>
      </c>
      <c r="E75" s="240">
        <v>0.55000000000000004</v>
      </c>
      <c r="F75" s="240">
        <v>0.17</v>
      </c>
      <c r="G75" s="240">
        <v>0.72000000000000008</v>
      </c>
      <c r="H75" s="241">
        <v>287</v>
      </c>
      <c r="I75" s="242">
        <f t="shared" si="27"/>
        <v>158</v>
      </c>
      <c r="J75" s="242">
        <f t="shared" si="28"/>
        <v>49</v>
      </c>
      <c r="K75" s="242">
        <f t="shared" si="29"/>
        <v>207</v>
      </c>
      <c r="M75" s="210" t="s">
        <v>356</v>
      </c>
      <c r="N75" s="216"/>
    </row>
    <row r="76" spans="1:14" x14ac:dyDescent="0.2">
      <c r="A76" s="227">
        <f t="shared" si="2"/>
        <v>68</v>
      </c>
      <c r="B76" s="237" t="str">
        <f t="shared" si="30"/>
        <v>53E - Company Owned</v>
      </c>
      <c r="C76" s="252" t="s">
        <v>134</v>
      </c>
      <c r="D76" s="246" t="s">
        <v>143</v>
      </c>
      <c r="E76" s="240">
        <v>0.55000000000000004</v>
      </c>
      <c r="F76" s="240">
        <v>0.18</v>
      </c>
      <c r="G76" s="240">
        <v>0.73</v>
      </c>
      <c r="H76" s="241">
        <v>1885</v>
      </c>
      <c r="I76" s="242">
        <f t="shared" si="27"/>
        <v>1037</v>
      </c>
      <c r="J76" s="242">
        <f t="shared" si="28"/>
        <v>339</v>
      </c>
      <c r="K76" s="242">
        <f t="shared" si="29"/>
        <v>1376</v>
      </c>
      <c r="M76" s="210" t="s">
        <v>356</v>
      </c>
      <c r="N76" s="216"/>
    </row>
    <row r="77" spans="1:14" x14ac:dyDescent="0.2">
      <c r="A77" s="227">
        <f t="shared" si="2"/>
        <v>69</v>
      </c>
      <c r="B77" s="237" t="str">
        <f t="shared" si="30"/>
        <v>53E - Company Owned</v>
      </c>
      <c r="C77" s="245" t="s">
        <v>389</v>
      </c>
      <c r="D77" s="250" t="s">
        <v>390</v>
      </c>
      <c r="E77" s="251">
        <v>6.8120000000000003E-3</v>
      </c>
      <c r="F77" s="251">
        <v>2.189E-3</v>
      </c>
      <c r="G77" s="251">
        <v>9.0010000000000003E-3</v>
      </c>
      <c r="H77" s="241">
        <v>0</v>
      </c>
      <c r="I77" s="242">
        <f t="shared" ref="I77" si="31">ROUND($H77*E77,0)</f>
        <v>0</v>
      </c>
      <c r="J77" s="242">
        <f t="shared" ref="J77" si="32">ROUND($H77*F77,0)</f>
        <v>0</v>
      </c>
      <c r="K77" s="242">
        <f t="shared" si="29"/>
        <v>0</v>
      </c>
      <c r="M77" s="210" t="s">
        <v>356</v>
      </c>
      <c r="N77" s="216"/>
    </row>
    <row r="78" spans="1:14" x14ac:dyDescent="0.2">
      <c r="A78" s="227">
        <f>A76+1</f>
        <v>69</v>
      </c>
      <c r="B78" s="237"/>
      <c r="C78" s="252"/>
      <c r="D78" s="252"/>
      <c r="E78" s="236"/>
      <c r="F78" s="236"/>
      <c r="G78" s="236"/>
      <c r="H78" s="244"/>
      <c r="I78" s="244"/>
      <c r="J78" s="244"/>
      <c r="K78" s="228"/>
      <c r="M78" s="210"/>
      <c r="N78" s="216"/>
    </row>
    <row r="79" spans="1:14" x14ac:dyDescent="0.2">
      <c r="A79" s="227">
        <f t="shared" ref="A79:A140" si="33">A78+1</f>
        <v>70</v>
      </c>
      <c r="B79" s="237" t="s">
        <v>149</v>
      </c>
      <c r="C79" s="252" t="s">
        <v>73</v>
      </c>
      <c r="D79" s="252">
        <v>50</v>
      </c>
      <c r="E79" s="240">
        <v>0.02</v>
      </c>
      <c r="F79" s="240">
        <v>0.01</v>
      </c>
      <c r="G79" s="240">
        <v>0.03</v>
      </c>
      <c r="H79" s="241">
        <v>0</v>
      </c>
      <c r="I79" s="242">
        <f t="shared" ref="I79:I87" si="34">ROUND($H79*E79,0)</f>
        <v>0</v>
      </c>
      <c r="J79" s="242">
        <f t="shared" ref="J79:J87" si="35">ROUND($H79*F79,0)</f>
        <v>0</v>
      </c>
      <c r="K79" s="242">
        <f t="shared" ref="K79:K87" si="36">SUM(I79:J79)</f>
        <v>0</v>
      </c>
      <c r="M79" s="210" t="s">
        <v>354</v>
      </c>
      <c r="N79" s="216"/>
    </row>
    <row r="80" spans="1:14" x14ac:dyDescent="0.2">
      <c r="A80" s="227">
        <f t="shared" si="33"/>
        <v>71</v>
      </c>
      <c r="B80" s="237" t="str">
        <f t="shared" ref="B80:B87" si="37">+B79</f>
        <v>53E - Customer Owned</v>
      </c>
      <c r="C80" s="252" t="s">
        <v>73</v>
      </c>
      <c r="D80" s="252">
        <v>70</v>
      </c>
      <c r="E80" s="240">
        <v>0.03</v>
      </c>
      <c r="F80" s="240">
        <v>0.01</v>
      </c>
      <c r="G80" s="240">
        <v>0.04</v>
      </c>
      <c r="H80" s="241">
        <v>624</v>
      </c>
      <c r="I80" s="242">
        <f t="shared" si="34"/>
        <v>19</v>
      </c>
      <c r="J80" s="242">
        <f t="shared" si="35"/>
        <v>6</v>
      </c>
      <c r="K80" s="242">
        <f t="shared" si="36"/>
        <v>25</v>
      </c>
      <c r="M80" s="210" t="s">
        <v>354</v>
      </c>
      <c r="N80" s="216"/>
    </row>
    <row r="81" spans="1:14" x14ac:dyDescent="0.2">
      <c r="A81" s="227">
        <f t="shared" si="33"/>
        <v>72</v>
      </c>
      <c r="B81" s="237" t="str">
        <f t="shared" si="37"/>
        <v>53E - Customer Owned</v>
      </c>
      <c r="C81" s="252" t="s">
        <v>73</v>
      </c>
      <c r="D81" s="252">
        <v>100</v>
      </c>
      <c r="E81" s="240">
        <v>0.04</v>
      </c>
      <c r="F81" s="240">
        <v>0.01</v>
      </c>
      <c r="G81" s="240">
        <v>0.05</v>
      </c>
      <c r="H81" s="241">
        <v>2551</v>
      </c>
      <c r="I81" s="242">
        <f t="shared" si="34"/>
        <v>102</v>
      </c>
      <c r="J81" s="242">
        <f t="shared" si="35"/>
        <v>26</v>
      </c>
      <c r="K81" s="242">
        <f t="shared" si="36"/>
        <v>128</v>
      </c>
      <c r="M81" s="210" t="s">
        <v>354</v>
      </c>
      <c r="N81" s="216"/>
    </row>
    <row r="82" spans="1:14" x14ac:dyDescent="0.2">
      <c r="A82" s="227">
        <f t="shared" si="33"/>
        <v>73</v>
      </c>
      <c r="B82" s="237" t="str">
        <f t="shared" si="37"/>
        <v>53E - Customer Owned</v>
      </c>
      <c r="C82" s="252" t="s">
        <v>73</v>
      </c>
      <c r="D82" s="252">
        <v>150</v>
      </c>
      <c r="E82" s="240">
        <v>0.06</v>
      </c>
      <c r="F82" s="240">
        <v>0.02</v>
      </c>
      <c r="G82" s="240">
        <v>0.08</v>
      </c>
      <c r="H82" s="241">
        <v>1150</v>
      </c>
      <c r="I82" s="242">
        <f t="shared" si="34"/>
        <v>69</v>
      </c>
      <c r="J82" s="242">
        <f t="shared" si="35"/>
        <v>23</v>
      </c>
      <c r="K82" s="242">
        <f t="shared" si="36"/>
        <v>92</v>
      </c>
      <c r="M82" s="210" t="s">
        <v>354</v>
      </c>
      <c r="N82" s="216"/>
    </row>
    <row r="83" spans="1:14" x14ac:dyDescent="0.2">
      <c r="A83" s="227">
        <f t="shared" si="33"/>
        <v>74</v>
      </c>
      <c r="B83" s="237" t="str">
        <f t="shared" si="37"/>
        <v>53E - Customer Owned</v>
      </c>
      <c r="C83" s="252" t="s">
        <v>73</v>
      </c>
      <c r="D83" s="252">
        <v>200</v>
      </c>
      <c r="E83" s="240">
        <v>0.08</v>
      </c>
      <c r="F83" s="240">
        <v>0.03</v>
      </c>
      <c r="G83" s="240">
        <v>0.11</v>
      </c>
      <c r="H83" s="241">
        <v>4545</v>
      </c>
      <c r="I83" s="242">
        <f t="shared" si="34"/>
        <v>364</v>
      </c>
      <c r="J83" s="242">
        <f t="shared" si="35"/>
        <v>136</v>
      </c>
      <c r="K83" s="242">
        <f t="shared" si="36"/>
        <v>500</v>
      </c>
      <c r="M83" s="210" t="s">
        <v>354</v>
      </c>
      <c r="N83" s="216"/>
    </row>
    <row r="84" spans="1:14" x14ac:dyDescent="0.2">
      <c r="A84" s="227">
        <f t="shared" si="33"/>
        <v>75</v>
      </c>
      <c r="B84" s="237" t="str">
        <f t="shared" si="37"/>
        <v>53E - Customer Owned</v>
      </c>
      <c r="C84" s="252" t="s">
        <v>73</v>
      </c>
      <c r="D84" s="252">
        <v>250</v>
      </c>
      <c r="E84" s="240">
        <v>0.11</v>
      </c>
      <c r="F84" s="240">
        <v>0.03</v>
      </c>
      <c r="G84" s="240">
        <v>0.14000000000000001</v>
      </c>
      <c r="H84" s="241">
        <v>2964</v>
      </c>
      <c r="I84" s="242">
        <f t="shared" si="34"/>
        <v>326</v>
      </c>
      <c r="J84" s="242">
        <f t="shared" si="35"/>
        <v>89</v>
      </c>
      <c r="K84" s="242">
        <f t="shared" si="36"/>
        <v>415</v>
      </c>
      <c r="M84" s="210" t="s">
        <v>354</v>
      </c>
      <c r="N84" s="216"/>
    </row>
    <row r="85" spans="1:14" x14ac:dyDescent="0.2">
      <c r="A85" s="227">
        <f t="shared" si="33"/>
        <v>76</v>
      </c>
      <c r="B85" s="237" t="str">
        <f t="shared" si="37"/>
        <v>53E - Customer Owned</v>
      </c>
      <c r="C85" s="252" t="s">
        <v>73</v>
      </c>
      <c r="D85" s="252">
        <v>310</v>
      </c>
      <c r="E85" s="240">
        <v>0.12</v>
      </c>
      <c r="F85" s="240">
        <v>0.04</v>
      </c>
      <c r="G85" s="240">
        <v>0.16</v>
      </c>
      <c r="H85" s="241">
        <v>84</v>
      </c>
      <c r="I85" s="242">
        <f t="shared" si="34"/>
        <v>10</v>
      </c>
      <c r="J85" s="242">
        <f t="shared" si="35"/>
        <v>3</v>
      </c>
      <c r="K85" s="242">
        <f t="shared" si="36"/>
        <v>13</v>
      </c>
      <c r="M85" s="210" t="s">
        <v>354</v>
      </c>
      <c r="N85" s="216"/>
    </row>
    <row r="86" spans="1:14" x14ac:dyDescent="0.2">
      <c r="A86" s="227">
        <f t="shared" si="33"/>
        <v>77</v>
      </c>
      <c r="B86" s="237" t="str">
        <f t="shared" si="37"/>
        <v>53E - Customer Owned</v>
      </c>
      <c r="C86" s="252" t="s">
        <v>73</v>
      </c>
      <c r="D86" s="252">
        <v>400</v>
      </c>
      <c r="E86" s="240">
        <v>0.17</v>
      </c>
      <c r="F86" s="240">
        <v>0.05</v>
      </c>
      <c r="G86" s="240">
        <v>0.22000000000000003</v>
      </c>
      <c r="H86" s="241">
        <v>4720</v>
      </c>
      <c r="I86" s="242">
        <f t="shared" si="34"/>
        <v>802</v>
      </c>
      <c r="J86" s="242">
        <f t="shared" si="35"/>
        <v>236</v>
      </c>
      <c r="K86" s="242">
        <f t="shared" si="36"/>
        <v>1038</v>
      </c>
      <c r="M86" s="210" t="s">
        <v>354</v>
      </c>
      <c r="N86" s="216"/>
    </row>
    <row r="87" spans="1:14" x14ac:dyDescent="0.2">
      <c r="A87" s="227">
        <f t="shared" si="33"/>
        <v>78</v>
      </c>
      <c r="B87" s="237" t="str">
        <f t="shared" si="37"/>
        <v>53E - Customer Owned</v>
      </c>
      <c r="C87" s="252" t="s">
        <v>73</v>
      </c>
      <c r="D87" s="252">
        <v>1000</v>
      </c>
      <c r="E87" s="240">
        <v>0.4</v>
      </c>
      <c r="F87" s="240">
        <v>0.13</v>
      </c>
      <c r="G87" s="240">
        <v>0.53</v>
      </c>
      <c r="H87" s="241">
        <v>0</v>
      </c>
      <c r="I87" s="242">
        <f t="shared" si="34"/>
        <v>0</v>
      </c>
      <c r="J87" s="242">
        <f t="shared" si="35"/>
        <v>0</v>
      </c>
      <c r="K87" s="242">
        <f t="shared" si="36"/>
        <v>0</v>
      </c>
      <c r="M87" s="210" t="s">
        <v>354</v>
      </c>
      <c r="N87" s="216"/>
    </row>
    <row r="88" spans="1:14" x14ac:dyDescent="0.2">
      <c r="A88" s="227">
        <f t="shared" si="33"/>
        <v>79</v>
      </c>
      <c r="B88" s="237"/>
      <c r="C88" s="252"/>
      <c r="D88" s="252"/>
      <c r="E88" s="236"/>
      <c r="F88" s="236"/>
      <c r="G88" s="236"/>
      <c r="H88" s="244"/>
      <c r="I88" s="244"/>
      <c r="J88" s="244"/>
      <c r="K88" s="228"/>
      <c r="M88" s="210"/>
      <c r="N88" s="216"/>
    </row>
    <row r="89" spans="1:14" x14ac:dyDescent="0.2">
      <c r="A89" s="227">
        <f t="shared" si="33"/>
        <v>80</v>
      </c>
      <c r="B89" s="237" t="str">
        <f>+B87</f>
        <v>53E - Customer Owned</v>
      </c>
      <c r="C89" s="252" t="s">
        <v>146</v>
      </c>
      <c r="D89" s="252">
        <v>70</v>
      </c>
      <c r="E89" s="240">
        <v>0.03</v>
      </c>
      <c r="F89" s="240">
        <v>0.01</v>
      </c>
      <c r="G89" s="240">
        <v>0.04</v>
      </c>
      <c r="H89" s="241">
        <v>0</v>
      </c>
      <c r="I89" s="242">
        <f t="shared" ref="I89:I94" si="38">ROUND($H89*E89,0)</f>
        <v>0</v>
      </c>
      <c r="J89" s="242">
        <f t="shared" ref="J89:J94" si="39">ROUND($H89*F89,0)</f>
        <v>0</v>
      </c>
      <c r="K89" s="242">
        <f t="shared" ref="K89:K94" si="40">SUM(I89:J89)</f>
        <v>0</v>
      </c>
      <c r="M89" s="210" t="s">
        <v>354</v>
      </c>
      <c r="N89" s="216"/>
    </row>
    <row r="90" spans="1:14" x14ac:dyDescent="0.2">
      <c r="A90" s="227">
        <f t="shared" si="33"/>
        <v>81</v>
      </c>
      <c r="B90" s="237" t="str">
        <f>+B89</f>
        <v>53E - Customer Owned</v>
      </c>
      <c r="C90" s="252" t="s">
        <v>146</v>
      </c>
      <c r="D90" s="252">
        <v>100</v>
      </c>
      <c r="E90" s="240">
        <v>0.04</v>
      </c>
      <c r="F90" s="240">
        <v>0.01</v>
      </c>
      <c r="G90" s="240">
        <v>0.05</v>
      </c>
      <c r="H90" s="241">
        <v>0</v>
      </c>
      <c r="I90" s="242">
        <f t="shared" si="38"/>
        <v>0</v>
      </c>
      <c r="J90" s="242">
        <f t="shared" si="39"/>
        <v>0</v>
      </c>
      <c r="K90" s="242">
        <f t="shared" si="40"/>
        <v>0</v>
      </c>
      <c r="M90" s="210" t="s">
        <v>354</v>
      </c>
      <c r="N90" s="216"/>
    </row>
    <row r="91" spans="1:14" x14ac:dyDescent="0.2">
      <c r="A91" s="227">
        <f t="shared" si="33"/>
        <v>82</v>
      </c>
      <c r="B91" s="237" t="str">
        <f>+B90</f>
        <v>53E - Customer Owned</v>
      </c>
      <c r="C91" s="252" t="s">
        <v>146</v>
      </c>
      <c r="D91" s="252">
        <v>150</v>
      </c>
      <c r="E91" s="240">
        <v>0.06</v>
      </c>
      <c r="F91" s="240">
        <v>0.02</v>
      </c>
      <c r="G91" s="240">
        <v>0.08</v>
      </c>
      <c r="H91" s="241">
        <v>0</v>
      </c>
      <c r="I91" s="242">
        <f t="shared" si="38"/>
        <v>0</v>
      </c>
      <c r="J91" s="242">
        <f t="shared" si="39"/>
        <v>0</v>
      </c>
      <c r="K91" s="242">
        <f t="shared" si="40"/>
        <v>0</v>
      </c>
      <c r="M91" s="210" t="s">
        <v>354</v>
      </c>
      <c r="N91" s="216"/>
    </row>
    <row r="92" spans="1:14" x14ac:dyDescent="0.2">
      <c r="A92" s="227">
        <f t="shared" si="33"/>
        <v>83</v>
      </c>
      <c r="B92" s="237" t="str">
        <f>+B91</f>
        <v>53E - Customer Owned</v>
      </c>
      <c r="C92" s="252" t="s">
        <v>146</v>
      </c>
      <c r="D92" s="252">
        <v>175</v>
      </c>
      <c r="E92" s="240">
        <v>7.0000000000000007E-2</v>
      </c>
      <c r="F92" s="240">
        <v>0.02</v>
      </c>
      <c r="G92" s="240">
        <v>9.0000000000000011E-2</v>
      </c>
      <c r="H92" s="241">
        <v>48</v>
      </c>
      <c r="I92" s="242">
        <f t="shared" si="38"/>
        <v>3</v>
      </c>
      <c r="J92" s="242">
        <f t="shared" si="39"/>
        <v>1</v>
      </c>
      <c r="K92" s="242">
        <f t="shared" si="40"/>
        <v>4</v>
      </c>
      <c r="M92" s="210" t="s">
        <v>354</v>
      </c>
      <c r="N92" s="216"/>
    </row>
    <row r="93" spans="1:14" x14ac:dyDescent="0.2">
      <c r="A93" s="227">
        <f t="shared" si="33"/>
        <v>84</v>
      </c>
      <c r="B93" s="237" t="str">
        <f>+B92</f>
        <v>53E - Customer Owned</v>
      </c>
      <c r="C93" s="252" t="s">
        <v>146</v>
      </c>
      <c r="D93" s="252">
        <v>250</v>
      </c>
      <c r="E93" s="240">
        <v>0.11</v>
      </c>
      <c r="F93" s="240">
        <v>0.03</v>
      </c>
      <c r="G93" s="240">
        <v>0.14000000000000001</v>
      </c>
      <c r="H93" s="241">
        <v>0</v>
      </c>
      <c r="I93" s="242">
        <f t="shared" si="38"/>
        <v>0</v>
      </c>
      <c r="J93" s="242">
        <f t="shared" si="39"/>
        <v>0</v>
      </c>
      <c r="K93" s="242">
        <f t="shared" si="40"/>
        <v>0</v>
      </c>
      <c r="M93" s="210" t="s">
        <v>354</v>
      </c>
      <c r="N93" s="216"/>
    </row>
    <row r="94" spans="1:14" x14ac:dyDescent="0.2">
      <c r="A94" s="227">
        <f t="shared" si="33"/>
        <v>85</v>
      </c>
      <c r="B94" s="237" t="str">
        <f>+B93</f>
        <v>53E - Customer Owned</v>
      </c>
      <c r="C94" s="252" t="s">
        <v>146</v>
      </c>
      <c r="D94" s="252">
        <v>400</v>
      </c>
      <c r="E94" s="240">
        <v>0.17</v>
      </c>
      <c r="F94" s="240">
        <v>0.05</v>
      </c>
      <c r="G94" s="240">
        <v>0.22000000000000003</v>
      </c>
      <c r="H94" s="241">
        <v>0</v>
      </c>
      <c r="I94" s="242">
        <f t="shared" si="38"/>
        <v>0</v>
      </c>
      <c r="J94" s="242">
        <f t="shared" si="39"/>
        <v>0</v>
      </c>
      <c r="K94" s="242">
        <f t="shared" si="40"/>
        <v>0</v>
      </c>
      <c r="M94" s="210" t="s">
        <v>354</v>
      </c>
      <c r="N94" s="216"/>
    </row>
    <row r="95" spans="1:14" x14ac:dyDescent="0.2">
      <c r="A95" s="227">
        <f t="shared" si="33"/>
        <v>86</v>
      </c>
      <c r="B95" s="237"/>
      <c r="C95" s="252"/>
      <c r="D95" s="252"/>
      <c r="E95" s="236"/>
      <c r="F95" s="236"/>
      <c r="G95" s="236"/>
      <c r="H95" s="244"/>
      <c r="I95" s="244"/>
      <c r="J95" s="244"/>
      <c r="K95" s="228"/>
      <c r="M95" s="210"/>
      <c r="N95" s="216"/>
    </row>
    <row r="96" spans="1:14" x14ac:dyDescent="0.2">
      <c r="A96" s="227">
        <f t="shared" si="33"/>
        <v>87</v>
      </c>
      <c r="B96" s="237" t="str">
        <f>+B94</f>
        <v>53E - Customer Owned</v>
      </c>
      <c r="C96" s="252" t="s">
        <v>134</v>
      </c>
      <c r="D96" s="249" t="s">
        <v>298</v>
      </c>
      <c r="E96" s="240">
        <v>0.02</v>
      </c>
      <c r="F96" s="240">
        <v>0.01</v>
      </c>
      <c r="G96" s="240">
        <v>0.03</v>
      </c>
      <c r="H96" s="241">
        <v>8319</v>
      </c>
      <c r="I96" s="242">
        <f t="shared" ref="I96:I104" si="41">ROUND($H96*E96,0)</f>
        <v>166</v>
      </c>
      <c r="J96" s="242">
        <f t="shared" ref="J96:J104" si="42">ROUND($H96*F96,0)</f>
        <v>83</v>
      </c>
      <c r="K96" s="242">
        <f t="shared" ref="K96:K104" si="43">SUM(I96:J96)</f>
        <v>249</v>
      </c>
      <c r="M96" s="210" t="s">
        <v>354</v>
      </c>
      <c r="N96" s="216"/>
    </row>
    <row r="97" spans="1:14" x14ac:dyDescent="0.2">
      <c r="A97" s="227">
        <f t="shared" si="33"/>
        <v>88</v>
      </c>
      <c r="B97" s="237" t="str">
        <f>B96</f>
        <v>53E - Customer Owned</v>
      </c>
      <c r="C97" s="252" t="s">
        <v>134</v>
      </c>
      <c r="D97" s="246" t="s">
        <v>136</v>
      </c>
      <c r="E97" s="240">
        <v>0.03</v>
      </c>
      <c r="F97" s="240">
        <v>0.01</v>
      </c>
      <c r="G97" s="240">
        <v>0.04</v>
      </c>
      <c r="H97" s="241">
        <v>7669</v>
      </c>
      <c r="I97" s="242">
        <f t="shared" si="41"/>
        <v>230</v>
      </c>
      <c r="J97" s="242">
        <f t="shared" si="42"/>
        <v>77</v>
      </c>
      <c r="K97" s="242">
        <f t="shared" si="43"/>
        <v>307</v>
      </c>
      <c r="M97" s="210" t="s">
        <v>354</v>
      </c>
      <c r="N97" s="216"/>
    </row>
    <row r="98" spans="1:14" x14ac:dyDescent="0.2">
      <c r="A98" s="227">
        <f t="shared" si="33"/>
        <v>89</v>
      </c>
      <c r="B98" s="237" t="str">
        <f t="shared" ref="B98:B104" si="44">B97</f>
        <v>53E - Customer Owned</v>
      </c>
      <c r="C98" s="252" t="s">
        <v>134</v>
      </c>
      <c r="D98" s="246" t="s">
        <v>137</v>
      </c>
      <c r="E98" s="240">
        <v>0.04</v>
      </c>
      <c r="F98" s="240">
        <v>0.01</v>
      </c>
      <c r="G98" s="240">
        <v>0.05</v>
      </c>
      <c r="H98" s="241">
        <v>10578</v>
      </c>
      <c r="I98" s="242">
        <f t="shared" si="41"/>
        <v>423</v>
      </c>
      <c r="J98" s="242">
        <f t="shared" si="42"/>
        <v>106</v>
      </c>
      <c r="K98" s="242">
        <f t="shared" si="43"/>
        <v>529</v>
      </c>
      <c r="M98" s="210" t="s">
        <v>354</v>
      </c>
      <c r="N98" s="216"/>
    </row>
    <row r="99" spans="1:14" x14ac:dyDescent="0.2">
      <c r="A99" s="227">
        <f t="shared" si="33"/>
        <v>90</v>
      </c>
      <c r="B99" s="237" t="str">
        <f t="shared" si="44"/>
        <v>53E - Customer Owned</v>
      </c>
      <c r="C99" s="252" t="s">
        <v>134</v>
      </c>
      <c r="D99" s="246" t="s">
        <v>138</v>
      </c>
      <c r="E99" s="240">
        <v>0.05</v>
      </c>
      <c r="F99" s="240">
        <v>0.02</v>
      </c>
      <c r="G99" s="240">
        <v>7.0000000000000007E-2</v>
      </c>
      <c r="H99" s="241">
        <v>1169</v>
      </c>
      <c r="I99" s="242">
        <f t="shared" si="41"/>
        <v>58</v>
      </c>
      <c r="J99" s="242">
        <f t="shared" si="42"/>
        <v>23</v>
      </c>
      <c r="K99" s="242">
        <f t="shared" si="43"/>
        <v>81</v>
      </c>
      <c r="M99" s="210" t="s">
        <v>354</v>
      </c>
      <c r="N99" s="216"/>
    </row>
    <row r="100" spans="1:14" x14ac:dyDescent="0.2">
      <c r="A100" s="227">
        <f t="shared" si="33"/>
        <v>91</v>
      </c>
      <c r="B100" s="237" t="str">
        <f t="shared" si="44"/>
        <v>53E - Customer Owned</v>
      </c>
      <c r="C100" s="252" t="s">
        <v>134</v>
      </c>
      <c r="D100" s="246" t="s">
        <v>139</v>
      </c>
      <c r="E100" s="240">
        <v>0.06</v>
      </c>
      <c r="F100" s="240">
        <v>0.02</v>
      </c>
      <c r="G100" s="240">
        <v>0.08</v>
      </c>
      <c r="H100" s="241">
        <v>16028</v>
      </c>
      <c r="I100" s="242">
        <f t="shared" si="41"/>
        <v>962</v>
      </c>
      <c r="J100" s="242">
        <f t="shared" si="42"/>
        <v>321</v>
      </c>
      <c r="K100" s="242">
        <f t="shared" si="43"/>
        <v>1283</v>
      </c>
      <c r="M100" s="210" t="s">
        <v>354</v>
      </c>
      <c r="N100" s="216"/>
    </row>
    <row r="101" spans="1:14" x14ac:dyDescent="0.2">
      <c r="A101" s="227">
        <f t="shared" si="33"/>
        <v>92</v>
      </c>
      <c r="B101" s="237" t="str">
        <f t="shared" si="44"/>
        <v>53E - Customer Owned</v>
      </c>
      <c r="C101" s="252" t="s">
        <v>134</v>
      </c>
      <c r="D101" s="246" t="s">
        <v>140</v>
      </c>
      <c r="E101" s="240">
        <v>0.08</v>
      </c>
      <c r="F101" s="240">
        <v>0.03</v>
      </c>
      <c r="G101" s="240">
        <v>0.11</v>
      </c>
      <c r="H101" s="241">
        <v>1263</v>
      </c>
      <c r="I101" s="242">
        <f t="shared" si="41"/>
        <v>101</v>
      </c>
      <c r="J101" s="242">
        <f t="shared" si="42"/>
        <v>38</v>
      </c>
      <c r="K101" s="242">
        <f t="shared" si="43"/>
        <v>139</v>
      </c>
      <c r="M101" s="210" t="s">
        <v>354</v>
      </c>
      <c r="N101" s="216"/>
    </row>
    <row r="102" spans="1:14" x14ac:dyDescent="0.2">
      <c r="A102" s="227">
        <f t="shared" si="33"/>
        <v>93</v>
      </c>
      <c r="B102" s="237" t="str">
        <f t="shared" si="44"/>
        <v>53E - Customer Owned</v>
      </c>
      <c r="C102" s="252" t="s">
        <v>134</v>
      </c>
      <c r="D102" s="246" t="s">
        <v>141</v>
      </c>
      <c r="E102" s="240">
        <v>0.09</v>
      </c>
      <c r="F102" s="240">
        <v>0.03</v>
      </c>
      <c r="G102" s="240">
        <v>0.12</v>
      </c>
      <c r="H102" s="241">
        <v>0</v>
      </c>
      <c r="I102" s="242">
        <f t="shared" si="41"/>
        <v>0</v>
      </c>
      <c r="J102" s="242">
        <f t="shared" si="42"/>
        <v>0</v>
      </c>
      <c r="K102" s="242">
        <f t="shared" si="43"/>
        <v>0</v>
      </c>
      <c r="M102" s="210" t="s">
        <v>354</v>
      </c>
      <c r="N102" s="216"/>
    </row>
    <row r="103" spans="1:14" x14ac:dyDescent="0.2">
      <c r="A103" s="227">
        <f t="shared" si="33"/>
        <v>94</v>
      </c>
      <c r="B103" s="237" t="str">
        <f t="shared" si="44"/>
        <v>53E - Customer Owned</v>
      </c>
      <c r="C103" s="252" t="s">
        <v>134</v>
      </c>
      <c r="D103" s="246" t="s">
        <v>142</v>
      </c>
      <c r="E103" s="240">
        <v>0.11</v>
      </c>
      <c r="F103" s="240">
        <v>0.03</v>
      </c>
      <c r="G103" s="240">
        <v>0.14000000000000001</v>
      </c>
      <c r="H103" s="241">
        <v>24</v>
      </c>
      <c r="I103" s="242">
        <f t="shared" si="41"/>
        <v>3</v>
      </c>
      <c r="J103" s="242">
        <f t="shared" si="42"/>
        <v>1</v>
      </c>
      <c r="K103" s="242">
        <f t="shared" si="43"/>
        <v>4</v>
      </c>
      <c r="M103" s="210" t="s">
        <v>354</v>
      </c>
      <c r="N103" s="216"/>
    </row>
    <row r="104" spans="1:14" x14ac:dyDescent="0.2">
      <c r="A104" s="227">
        <f t="shared" si="33"/>
        <v>95</v>
      </c>
      <c r="B104" s="237" t="str">
        <f t="shared" si="44"/>
        <v>53E - Customer Owned</v>
      </c>
      <c r="C104" s="252" t="s">
        <v>134</v>
      </c>
      <c r="D104" s="246" t="s">
        <v>143</v>
      </c>
      <c r="E104" s="240">
        <v>0.11</v>
      </c>
      <c r="F104" s="240">
        <v>0.04</v>
      </c>
      <c r="G104" s="240">
        <v>0.15</v>
      </c>
      <c r="H104" s="241">
        <v>0</v>
      </c>
      <c r="I104" s="242">
        <f t="shared" si="41"/>
        <v>0</v>
      </c>
      <c r="J104" s="242">
        <f t="shared" si="42"/>
        <v>0</v>
      </c>
      <c r="K104" s="242">
        <f t="shared" si="43"/>
        <v>0</v>
      </c>
      <c r="M104" s="210" t="s">
        <v>354</v>
      </c>
      <c r="N104" s="216"/>
    </row>
    <row r="105" spans="1:14" x14ac:dyDescent="0.2">
      <c r="A105" s="227">
        <f t="shared" si="33"/>
        <v>96</v>
      </c>
      <c r="B105" s="254"/>
      <c r="C105" s="252"/>
      <c r="D105" s="252"/>
      <c r="E105" s="236"/>
      <c r="F105" s="236"/>
      <c r="G105" s="236"/>
      <c r="H105" s="244"/>
      <c r="I105" s="244"/>
      <c r="J105" s="244"/>
      <c r="K105" s="228"/>
      <c r="M105" s="210"/>
      <c r="N105" s="216"/>
    </row>
    <row r="106" spans="1:14" x14ac:dyDescent="0.2">
      <c r="A106" s="227">
        <f t="shared" si="33"/>
        <v>97</v>
      </c>
      <c r="B106" s="235" t="s">
        <v>150</v>
      </c>
      <c r="C106" s="235"/>
      <c r="D106" s="235"/>
      <c r="E106" s="236"/>
      <c r="F106" s="236"/>
      <c r="G106" s="236"/>
      <c r="H106" s="244"/>
      <c r="I106" s="244"/>
      <c r="J106" s="244"/>
      <c r="K106" s="228"/>
      <c r="M106" s="210"/>
      <c r="N106" s="216"/>
    </row>
    <row r="107" spans="1:14" x14ac:dyDescent="0.2">
      <c r="A107" s="227">
        <f t="shared" si="33"/>
        <v>98</v>
      </c>
      <c r="B107" s="237" t="s">
        <v>151</v>
      </c>
      <c r="C107" s="252" t="s">
        <v>73</v>
      </c>
      <c r="D107" s="252">
        <v>50</v>
      </c>
      <c r="E107" s="240">
        <v>0.02</v>
      </c>
      <c r="F107" s="240">
        <v>0.01</v>
      </c>
      <c r="G107" s="240">
        <v>0.03</v>
      </c>
      <c r="H107" s="241">
        <v>456</v>
      </c>
      <c r="I107" s="242">
        <f t="shared" ref="I107:I115" si="45">ROUND($H107*E107,0)</f>
        <v>9</v>
      </c>
      <c r="J107" s="242">
        <f t="shared" ref="J107:J115" si="46">ROUND($H107*F107,0)</f>
        <v>5</v>
      </c>
      <c r="K107" s="242">
        <f t="shared" ref="K107:K115" si="47">SUM(I107:J107)</f>
        <v>14</v>
      </c>
      <c r="M107" s="210" t="s">
        <v>357</v>
      </c>
      <c r="N107" s="216"/>
    </row>
    <row r="108" spans="1:14" x14ac:dyDescent="0.2">
      <c r="A108" s="227">
        <f t="shared" si="33"/>
        <v>99</v>
      </c>
      <c r="B108" s="237" t="str">
        <f t="shared" ref="B108:B115" si="48">+B107</f>
        <v>54E</v>
      </c>
      <c r="C108" s="252" t="s">
        <v>73</v>
      </c>
      <c r="D108" s="252">
        <v>70</v>
      </c>
      <c r="E108" s="240">
        <v>0.03</v>
      </c>
      <c r="F108" s="240">
        <v>0.01</v>
      </c>
      <c r="G108" s="240">
        <v>0.04</v>
      </c>
      <c r="H108" s="241">
        <v>4653</v>
      </c>
      <c r="I108" s="242">
        <f t="shared" si="45"/>
        <v>140</v>
      </c>
      <c r="J108" s="242">
        <f t="shared" si="46"/>
        <v>47</v>
      </c>
      <c r="K108" s="242">
        <f t="shared" si="47"/>
        <v>187</v>
      </c>
      <c r="M108" s="210" t="s">
        <v>357</v>
      </c>
      <c r="N108" s="216"/>
    </row>
    <row r="109" spans="1:14" x14ac:dyDescent="0.2">
      <c r="A109" s="227">
        <f t="shared" si="33"/>
        <v>100</v>
      </c>
      <c r="B109" s="237" t="str">
        <f t="shared" si="48"/>
        <v>54E</v>
      </c>
      <c r="C109" s="252" t="s">
        <v>73</v>
      </c>
      <c r="D109" s="252">
        <v>100</v>
      </c>
      <c r="E109" s="240">
        <v>0.04</v>
      </c>
      <c r="F109" s="240">
        <v>0.01</v>
      </c>
      <c r="G109" s="240">
        <v>0.05</v>
      </c>
      <c r="H109" s="241">
        <v>14495</v>
      </c>
      <c r="I109" s="242">
        <f t="shared" si="45"/>
        <v>580</v>
      </c>
      <c r="J109" s="242">
        <f t="shared" si="46"/>
        <v>145</v>
      </c>
      <c r="K109" s="242">
        <f t="shared" si="47"/>
        <v>725</v>
      </c>
      <c r="M109" s="210" t="s">
        <v>357</v>
      </c>
      <c r="N109" s="216"/>
    </row>
    <row r="110" spans="1:14" x14ac:dyDescent="0.2">
      <c r="A110" s="227">
        <f t="shared" si="33"/>
        <v>101</v>
      </c>
      <c r="B110" s="237" t="str">
        <f t="shared" si="48"/>
        <v>54E</v>
      </c>
      <c r="C110" s="252" t="s">
        <v>73</v>
      </c>
      <c r="D110" s="252">
        <v>150</v>
      </c>
      <c r="E110" s="240">
        <v>0.06</v>
      </c>
      <c r="F110" s="240">
        <v>0.02</v>
      </c>
      <c r="G110" s="240">
        <v>0.08</v>
      </c>
      <c r="H110" s="241">
        <v>4545</v>
      </c>
      <c r="I110" s="242">
        <f t="shared" si="45"/>
        <v>273</v>
      </c>
      <c r="J110" s="242">
        <f t="shared" si="46"/>
        <v>91</v>
      </c>
      <c r="K110" s="242">
        <f t="shared" si="47"/>
        <v>364</v>
      </c>
      <c r="M110" s="210" t="s">
        <v>357</v>
      </c>
      <c r="N110" s="216"/>
    </row>
    <row r="111" spans="1:14" x14ac:dyDescent="0.2">
      <c r="A111" s="227">
        <f t="shared" si="33"/>
        <v>102</v>
      </c>
      <c r="B111" s="237" t="str">
        <f t="shared" si="48"/>
        <v>54E</v>
      </c>
      <c r="C111" s="252" t="s">
        <v>73</v>
      </c>
      <c r="D111" s="252">
        <v>200</v>
      </c>
      <c r="E111" s="240">
        <v>0.08</v>
      </c>
      <c r="F111" s="240">
        <v>0.03</v>
      </c>
      <c r="G111" s="240">
        <v>0.11</v>
      </c>
      <c r="H111" s="241">
        <v>4929</v>
      </c>
      <c r="I111" s="242">
        <f t="shared" si="45"/>
        <v>394</v>
      </c>
      <c r="J111" s="242">
        <f t="shared" si="46"/>
        <v>148</v>
      </c>
      <c r="K111" s="242">
        <f t="shared" si="47"/>
        <v>542</v>
      </c>
      <c r="M111" s="210" t="s">
        <v>357</v>
      </c>
      <c r="N111" s="216"/>
    </row>
    <row r="112" spans="1:14" x14ac:dyDescent="0.2">
      <c r="A112" s="227">
        <f t="shared" si="33"/>
        <v>103</v>
      </c>
      <c r="B112" s="237" t="str">
        <f t="shared" si="48"/>
        <v>54E</v>
      </c>
      <c r="C112" s="252" t="s">
        <v>73</v>
      </c>
      <c r="D112" s="252">
        <v>250</v>
      </c>
      <c r="E112" s="240">
        <v>0.11</v>
      </c>
      <c r="F112" s="240">
        <v>0.03</v>
      </c>
      <c r="G112" s="240">
        <v>0.14000000000000001</v>
      </c>
      <c r="H112" s="241">
        <v>9463</v>
      </c>
      <c r="I112" s="242">
        <f t="shared" si="45"/>
        <v>1041</v>
      </c>
      <c r="J112" s="242">
        <f t="shared" si="46"/>
        <v>284</v>
      </c>
      <c r="K112" s="242">
        <f t="shared" si="47"/>
        <v>1325</v>
      </c>
      <c r="M112" s="210" t="s">
        <v>357</v>
      </c>
      <c r="N112" s="216"/>
    </row>
    <row r="113" spans="1:14" x14ac:dyDescent="0.2">
      <c r="A113" s="227">
        <f t="shared" si="33"/>
        <v>104</v>
      </c>
      <c r="B113" s="237" t="str">
        <f t="shared" si="48"/>
        <v>54E</v>
      </c>
      <c r="C113" s="252" t="s">
        <v>73</v>
      </c>
      <c r="D113" s="252">
        <v>310</v>
      </c>
      <c r="E113" s="240">
        <v>0.12</v>
      </c>
      <c r="F113" s="240">
        <v>0.04</v>
      </c>
      <c r="G113" s="240">
        <v>0.16</v>
      </c>
      <c r="H113" s="241">
        <v>672</v>
      </c>
      <c r="I113" s="242">
        <f t="shared" si="45"/>
        <v>81</v>
      </c>
      <c r="J113" s="242">
        <f t="shared" si="46"/>
        <v>27</v>
      </c>
      <c r="K113" s="242">
        <f t="shared" si="47"/>
        <v>108</v>
      </c>
      <c r="M113" s="210" t="s">
        <v>357</v>
      </c>
      <c r="N113" s="216"/>
    </row>
    <row r="114" spans="1:14" x14ac:dyDescent="0.2">
      <c r="A114" s="227">
        <f t="shared" si="33"/>
        <v>105</v>
      </c>
      <c r="B114" s="237" t="str">
        <f t="shared" si="48"/>
        <v>54E</v>
      </c>
      <c r="C114" s="252" t="s">
        <v>73</v>
      </c>
      <c r="D114" s="252">
        <v>400</v>
      </c>
      <c r="E114" s="240">
        <v>0.17</v>
      </c>
      <c r="F114" s="240">
        <v>0.05</v>
      </c>
      <c r="G114" s="240">
        <v>0.22000000000000003</v>
      </c>
      <c r="H114" s="241">
        <v>7200</v>
      </c>
      <c r="I114" s="242">
        <f t="shared" si="45"/>
        <v>1224</v>
      </c>
      <c r="J114" s="242">
        <f t="shared" si="46"/>
        <v>360</v>
      </c>
      <c r="K114" s="242">
        <f t="shared" si="47"/>
        <v>1584</v>
      </c>
      <c r="M114" s="210" t="s">
        <v>357</v>
      </c>
      <c r="N114" s="216"/>
    </row>
    <row r="115" spans="1:14" x14ac:dyDescent="0.2">
      <c r="A115" s="227">
        <f t="shared" si="33"/>
        <v>106</v>
      </c>
      <c r="B115" s="237" t="str">
        <f t="shared" si="48"/>
        <v>54E</v>
      </c>
      <c r="C115" s="252" t="s">
        <v>73</v>
      </c>
      <c r="D115" s="252">
        <v>1000</v>
      </c>
      <c r="E115" s="240">
        <v>0.4</v>
      </c>
      <c r="F115" s="240">
        <v>0.13</v>
      </c>
      <c r="G115" s="240">
        <v>0.53</v>
      </c>
      <c r="H115" s="241">
        <v>55</v>
      </c>
      <c r="I115" s="242">
        <f t="shared" si="45"/>
        <v>22</v>
      </c>
      <c r="J115" s="242">
        <f t="shared" si="46"/>
        <v>7</v>
      </c>
      <c r="K115" s="242">
        <f t="shared" si="47"/>
        <v>29</v>
      </c>
      <c r="M115" s="210" t="s">
        <v>357</v>
      </c>
      <c r="N115" s="216"/>
    </row>
    <row r="116" spans="1:14" x14ac:dyDescent="0.2">
      <c r="A116" s="227">
        <f t="shared" si="33"/>
        <v>107</v>
      </c>
      <c r="B116" s="254"/>
      <c r="C116" s="252"/>
      <c r="D116" s="252"/>
      <c r="E116" s="236"/>
      <c r="F116" s="236"/>
      <c r="G116" s="236"/>
      <c r="H116" s="244"/>
      <c r="I116" s="244"/>
      <c r="J116" s="244"/>
      <c r="K116" s="228"/>
      <c r="M116" s="210"/>
      <c r="N116" s="216"/>
    </row>
    <row r="117" spans="1:14" x14ac:dyDescent="0.2">
      <c r="A117" s="227">
        <f t="shared" si="33"/>
        <v>108</v>
      </c>
      <c r="B117" s="237" t="str">
        <f>+B115</f>
        <v>54E</v>
      </c>
      <c r="C117" s="252" t="s">
        <v>134</v>
      </c>
      <c r="D117" s="246" t="s">
        <v>135</v>
      </c>
      <c r="E117" s="240">
        <v>0.02</v>
      </c>
      <c r="F117" s="240">
        <v>0.01</v>
      </c>
      <c r="G117" s="240">
        <v>0.03</v>
      </c>
      <c r="H117" s="241">
        <v>25017</v>
      </c>
      <c r="I117" s="242">
        <f t="shared" ref="I117:I125" si="49">ROUND($H117*E117,0)</f>
        <v>500</v>
      </c>
      <c r="J117" s="242">
        <f t="shared" ref="J117:J125" si="50">ROUND($H117*F117,0)</f>
        <v>250</v>
      </c>
      <c r="K117" s="242">
        <f t="shared" ref="K117:K125" si="51">SUM(I117:J117)</f>
        <v>750</v>
      </c>
      <c r="M117" s="210" t="s">
        <v>357</v>
      </c>
      <c r="N117" s="216"/>
    </row>
    <row r="118" spans="1:14" x14ac:dyDescent="0.2">
      <c r="A118" s="227">
        <f t="shared" si="33"/>
        <v>109</v>
      </c>
      <c r="B118" s="237" t="str">
        <f t="shared" ref="B118:B125" si="52">+B117</f>
        <v>54E</v>
      </c>
      <c r="C118" s="252" t="s">
        <v>134</v>
      </c>
      <c r="D118" s="246" t="s">
        <v>136</v>
      </c>
      <c r="E118" s="240">
        <v>0.03</v>
      </c>
      <c r="F118" s="240">
        <v>0.01</v>
      </c>
      <c r="G118" s="240">
        <v>0.04</v>
      </c>
      <c r="H118" s="241">
        <v>1254</v>
      </c>
      <c r="I118" s="242">
        <f t="shared" si="49"/>
        <v>38</v>
      </c>
      <c r="J118" s="242">
        <f t="shared" si="50"/>
        <v>13</v>
      </c>
      <c r="K118" s="242">
        <f t="shared" si="51"/>
        <v>51</v>
      </c>
      <c r="M118" s="210" t="s">
        <v>357</v>
      </c>
      <c r="N118" s="216"/>
    </row>
    <row r="119" spans="1:14" x14ac:dyDescent="0.2">
      <c r="A119" s="227">
        <f t="shared" si="33"/>
        <v>110</v>
      </c>
      <c r="B119" s="237" t="str">
        <f t="shared" si="52"/>
        <v>54E</v>
      </c>
      <c r="C119" s="252" t="s">
        <v>134</v>
      </c>
      <c r="D119" s="246" t="s">
        <v>137</v>
      </c>
      <c r="E119" s="240">
        <v>0.04</v>
      </c>
      <c r="F119" s="240">
        <v>0.01</v>
      </c>
      <c r="G119" s="240">
        <v>0.05</v>
      </c>
      <c r="H119" s="241">
        <v>28273</v>
      </c>
      <c r="I119" s="242">
        <f t="shared" si="49"/>
        <v>1131</v>
      </c>
      <c r="J119" s="242">
        <f t="shared" si="50"/>
        <v>283</v>
      </c>
      <c r="K119" s="242">
        <f t="shared" si="51"/>
        <v>1414</v>
      </c>
      <c r="M119" s="210" t="s">
        <v>357</v>
      </c>
      <c r="N119" s="216"/>
    </row>
    <row r="120" spans="1:14" x14ac:dyDescent="0.2">
      <c r="A120" s="227">
        <f t="shared" si="33"/>
        <v>111</v>
      </c>
      <c r="B120" s="237" t="str">
        <f t="shared" si="52"/>
        <v>54E</v>
      </c>
      <c r="C120" s="252" t="s">
        <v>134</v>
      </c>
      <c r="D120" s="246" t="s">
        <v>138</v>
      </c>
      <c r="E120" s="240">
        <v>0.05</v>
      </c>
      <c r="F120" s="240">
        <v>0.02</v>
      </c>
      <c r="G120" s="240">
        <v>7.0000000000000007E-2</v>
      </c>
      <c r="H120" s="241">
        <v>8808</v>
      </c>
      <c r="I120" s="242">
        <f t="shared" si="49"/>
        <v>440</v>
      </c>
      <c r="J120" s="242">
        <f t="shared" si="50"/>
        <v>176</v>
      </c>
      <c r="K120" s="242">
        <f t="shared" si="51"/>
        <v>616</v>
      </c>
      <c r="M120" s="210" t="s">
        <v>357</v>
      </c>
      <c r="N120" s="216"/>
    </row>
    <row r="121" spans="1:14" x14ac:dyDescent="0.2">
      <c r="A121" s="227">
        <f t="shared" si="33"/>
        <v>112</v>
      </c>
      <c r="B121" s="237" t="str">
        <f t="shared" si="52"/>
        <v>54E</v>
      </c>
      <c r="C121" s="252" t="s">
        <v>134</v>
      </c>
      <c r="D121" s="246" t="s">
        <v>139</v>
      </c>
      <c r="E121" s="240">
        <v>0.06</v>
      </c>
      <c r="F121" s="240">
        <v>0.02</v>
      </c>
      <c r="G121" s="240">
        <v>0.08</v>
      </c>
      <c r="H121" s="241">
        <v>5035</v>
      </c>
      <c r="I121" s="242">
        <f t="shared" si="49"/>
        <v>302</v>
      </c>
      <c r="J121" s="242">
        <f t="shared" si="50"/>
        <v>101</v>
      </c>
      <c r="K121" s="242">
        <f t="shared" si="51"/>
        <v>403</v>
      </c>
      <c r="M121" s="210" t="s">
        <v>357</v>
      </c>
      <c r="N121" s="216"/>
    </row>
    <row r="122" spans="1:14" x14ac:dyDescent="0.2">
      <c r="A122" s="227">
        <f t="shared" si="33"/>
        <v>113</v>
      </c>
      <c r="B122" s="237" t="str">
        <f t="shared" si="52"/>
        <v>54E</v>
      </c>
      <c r="C122" s="252" t="s">
        <v>134</v>
      </c>
      <c r="D122" s="246" t="s">
        <v>140</v>
      </c>
      <c r="E122" s="240">
        <v>0.08</v>
      </c>
      <c r="F122" s="240">
        <v>0.03</v>
      </c>
      <c r="G122" s="240">
        <v>0.11</v>
      </c>
      <c r="H122" s="241">
        <v>227</v>
      </c>
      <c r="I122" s="242">
        <f t="shared" si="49"/>
        <v>18</v>
      </c>
      <c r="J122" s="242">
        <f t="shared" si="50"/>
        <v>7</v>
      </c>
      <c r="K122" s="242">
        <f t="shared" si="51"/>
        <v>25</v>
      </c>
      <c r="M122" s="210" t="s">
        <v>357</v>
      </c>
      <c r="N122" s="216"/>
    </row>
    <row r="123" spans="1:14" x14ac:dyDescent="0.2">
      <c r="A123" s="227">
        <f t="shared" si="33"/>
        <v>114</v>
      </c>
      <c r="B123" s="237" t="str">
        <f t="shared" si="52"/>
        <v>54E</v>
      </c>
      <c r="C123" s="252" t="s">
        <v>134</v>
      </c>
      <c r="D123" s="246" t="s">
        <v>141</v>
      </c>
      <c r="E123" s="240">
        <v>0.09</v>
      </c>
      <c r="F123" s="240">
        <v>0.03</v>
      </c>
      <c r="G123" s="240">
        <v>0.12</v>
      </c>
      <c r="H123" s="241">
        <v>466</v>
      </c>
      <c r="I123" s="242">
        <f t="shared" si="49"/>
        <v>42</v>
      </c>
      <c r="J123" s="242">
        <f t="shared" si="50"/>
        <v>14</v>
      </c>
      <c r="K123" s="242">
        <f t="shared" si="51"/>
        <v>56</v>
      </c>
      <c r="M123" s="210" t="s">
        <v>357</v>
      </c>
      <c r="N123" s="216"/>
    </row>
    <row r="124" spans="1:14" x14ac:dyDescent="0.2">
      <c r="A124" s="227">
        <f t="shared" si="33"/>
        <v>115</v>
      </c>
      <c r="B124" s="237" t="str">
        <f t="shared" si="52"/>
        <v>54E</v>
      </c>
      <c r="C124" s="252" t="s">
        <v>134</v>
      </c>
      <c r="D124" s="246" t="s">
        <v>142</v>
      </c>
      <c r="E124" s="240">
        <v>0.11</v>
      </c>
      <c r="F124" s="240">
        <v>0.03</v>
      </c>
      <c r="G124" s="240">
        <v>0.14000000000000001</v>
      </c>
      <c r="H124" s="241">
        <v>44</v>
      </c>
      <c r="I124" s="242">
        <f t="shared" si="49"/>
        <v>5</v>
      </c>
      <c r="J124" s="242">
        <f t="shared" si="50"/>
        <v>1</v>
      </c>
      <c r="K124" s="242">
        <f t="shared" si="51"/>
        <v>6</v>
      </c>
      <c r="M124" s="210" t="s">
        <v>357</v>
      </c>
      <c r="N124" s="216"/>
    </row>
    <row r="125" spans="1:14" x14ac:dyDescent="0.2">
      <c r="A125" s="227">
        <f t="shared" si="33"/>
        <v>116</v>
      </c>
      <c r="B125" s="237" t="str">
        <f t="shared" si="52"/>
        <v>54E</v>
      </c>
      <c r="C125" s="252" t="s">
        <v>134</v>
      </c>
      <c r="D125" s="246" t="s">
        <v>143</v>
      </c>
      <c r="E125" s="240">
        <v>0.11</v>
      </c>
      <c r="F125" s="240">
        <v>0.04</v>
      </c>
      <c r="G125" s="240">
        <v>0.15</v>
      </c>
      <c r="H125" s="241">
        <v>0</v>
      </c>
      <c r="I125" s="242">
        <f t="shared" si="49"/>
        <v>0</v>
      </c>
      <c r="J125" s="242">
        <f t="shared" si="50"/>
        <v>0</v>
      </c>
      <c r="K125" s="242">
        <f t="shared" si="51"/>
        <v>0</v>
      </c>
      <c r="M125" s="210" t="s">
        <v>357</v>
      </c>
      <c r="N125" s="216"/>
    </row>
    <row r="126" spans="1:14" x14ac:dyDescent="0.2">
      <c r="A126" s="227">
        <f t="shared" si="33"/>
        <v>117</v>
      </c>
      <c r="B126" s="254"/>
      <c r="C126" s="252"/>
      <c r="D126" s="252"/>
      <c r="E126" s="236"/>
      <c r="F126" s="236"/>
      <c r="G126" s="236"/>
      <c r="H126" s="244"/>
      <c r="I126" s="244"/>
      <c r="J126" s="244"/>
      <c r="K126" s="228"/>
      <c r="M126" s="210"/>
      <c r="N126" s="216"/>
    </row>
    <row r="127" spans="1:14" x14ac:dyDescent="0.2">
      <c r="A127" s="227">
        <f t="shared" si="33"/>
        <v>118</v>
      </c>
      <c r="B127" s="235" t="s">
        <v>152</v>
      </c>
      <c r="C127" s="252"/>
      <c r="D127" s="252"/>
      <c r="E127" s="236"/>
      <c r="F127" s="236"/>
      <c r="G127" s="236"/>
      <c r="H127" s="244"/>
      <c r="I127" s="244"/>
      <c r="J127" s="244"/>
      <c r="K127" s="228"/>
      <c r="M127" s="210"/>
      <c r="N127" s="216"/>
    </row>
    <row r="128" spans="1:14" x14ac:dyDescent="0.2">
      <c r="A128" s="227">
        <f t="shared" si="33"/>
        <v>119</v>
      </c>
      <c r="B128" s="237" t="s">
        <v>153</v>
      </c>
      <c r="C128" s="252" t="s">
        <v>73</v>
      </c>
      <c r="D128" s="252">
        <v>70</v>
      </c>
      <c r="E128" s="240">
        <v>0.42</v>
      </c>
      <c r="F128" s="240">
        <v>0.13</v>
      </c>
      <c r="G128" s="240">
        <v>0.55000000000000004</v>
      </c>
      <c r="H128" s="241">
        <v>187</v>
      </c>
      <c r="I128" s="242">
        <f t="shared" ref="I128:I133" si="53">ROUND($H128*E128,0)</f>
        <v>79</v>
      </c>
      <c r="J128" s="242">
        <f t="shared" ref="J128:J133" si="54">ROUND($H128*F128,0)</f>
        <v>24</v>
      </c>
      <c r="K128" s="242">
        <f t="shared" ref="K128:K133" si="55">SUM(I128:J128)</f>
        <v>103</v>
      </c>
      <c r="M128" s="210" t="s">
        <v>357</v>
      </c>
      <c r="N128" s="216"/>
    </row>
    <row r="129" spans="1:14" x14ac:dyDescent="0.2">
      <c r="A129" s="227">
        <f t="shared" si="33"/>
        <v>120</v>
      </c>
      <c r="B129" s="254" t="str">
        <f>+B128</f>
        <v>55E &amp; 56E</v>
      </c>
      <c r="C129" s="252" t="s">
        <v>73</v>
      </c>
      <c r="D129" s="252">
        <v>100</v>
      </c>
      <c r="E129" s="240">
        <v>0.41</v>
      </c>
      <c r="F129" s="240">
        <v>0.13</v>
      </c>
      <c r="G129" s="240">
        <v>0.54</v>
      </c>
      <c r="H129" s="241">
        <v>43428</v>
      </c>
      <c r="I129" s="242">
        <f t="shared" si="53"/>
        <v>17805</v>
      </c>
      <c r="J129" s="242">
        <f t="shared" si="54"/>
        <v>5646</v>
      </c>
      <c r="K129" s="242">
        <f t="shared" si="55"/>
        <v>23451</v>
      </c>
      <c r="M129" s="210" t="s">
        <v>357</v>
      </c>
      <c r="N129" s="216"/>
    </row>
    <row r="130" spans="1:14" x14ac:dyDescent="0.2">
      <c r="A130" s="227">
        <f t="shared" si="33"/>
        <v>121</v>
      </c>
      <c r="B130" s="254" t="str">
        <f>+B129</f>
        <v>55E &amp; 56E</v>
      </c>
      <c r="C130" s="252" t="s">
        <v>73</v>
      </c>
      <c r="D130" s="252">
        <v>150</v>
      </c>
      <c r="E130" s="240">
        <v>0.43</v>
      </c>
      <c r="F130" s="240">
        <v>0.14000000000000001</v>
      </c>
      <c r="G130" s="240">
        <v>0.57000000000000006</v>
      </c>
      <c r="H130" s="241">
        <v>5773</v>
      </c>
      <c r="I130" s="242">
        <f t="shared" si="53"/>
        <v>2482</v>
      </c>
      <c r="J130" s="242">
        <f t="shared" si="54"/>
        <v>808</v>
      </c>
      <c r="K130" s="242">
        <f t="shared" si="55"/>
        <v>3290</v>
      </c>
      <c r="M130" s="210" t="s">
        <v>357</v>
      </c>
      <c r="N130" s="216"/>
    </row>
    <row r="131" spans="1:14" x14ac:dyDescent="0.2">
      <c r="A131" s="227">
        <f t="shared" si="33"/>
        <v>122</v>
      </c>
      <c r="B131" s="254" t="str">
        <f>+B130</f>
        <v>55E &amp; 56E</v>
      </c>
      <c r="C131" s="252" t="s">
        <v>73</v>
      </c>
      <c r="D131" s="252">
        <v>200</v>
      </c>
      <c r="E131" s="240">
        <v>0.47</v>
      </c>
      <c r="F131" s="240">
        <v>0.15</v>
      </c>
      <c r="G131" s="240">
        <v>0.62</v>
      </c>
      <c r="H131" s="241">
        <v>12447</v>
      </c>
      <c r="I131" s="242">
        <f t="shared" si="53"/>
        <v>5850</v>
      </c>
      <c r="J131" s="242">
        <f t="shared" si="54"/>
        <v>1867</v>
      </c>
      <c r="K131" s="242">
        <f t="shared" si="55"/>
        <v>7717</v>
      </c>
      <c r="M131" s="210" t="s">
        <v>357</v>
      </c>
      <c r="N131" s="216"/>
    </row>
    <row r="132" spans="1:14" x14ac:dyDescent="0.2">
      <c r="A132" s="227">
        <f t="shared" si="33"/>
        <v>123</v>
      </c>
      <c r="B132" s="254" t="str">
        <f>+B131</f>
        <v>55E &amp; 56E</v>
      </c>
      <c r="C132" s="252" t="s">
        <v>73</v>
      </c>
      <c r="D132" s="252">
        <v>250</v>
      </c>
      <c r="E132" s="240">
        <v>0.5</v>
      </c>
      <c r="F132" s="240">
        <v>0.16</v>
      </c>
      <c r="G132" s="240">
        <v>0.66</v>
      </c>
      <c r="H132" s="241">
        <v>1320</v>
      </c>
      <c r="I132" s="242">
        <f t="shared" si="53"/>
        <v>660</v>
      </c>
      <c r="J132" s="242">
        <f t="shared" si="54"/>
        <v>211</v>
      </c>
      <c r="K132" s="242">
        <f t="shared" si="55"/>
        <v>871</v>
      </c>
      <c r="M132" s="210" t="s">
        <v>357</v>
      </c>
      <c r="N132" s="216"/>
    </row>
    <row r="133" spans="1:14" x14ac:dyDescent="0.2">
      <c r="A133" s="227">
        <f t="shared" si="33"/>
        <v>124</v>
      </c>
      <c r="B133" s="254" t="str">
        <f>+B132</f>
        <v>55E &amp; 56E</v>
      </c>
      <c r="C133" s="252" t="s">
        <v>73</v>
      </c>
      <c r="D133" s="252">
        <v>400</v>
      </c>
      <c r="E133" s="240">
        <v>0.61</v>
      </c>
      <c r="F133" s="240">
        <v>0.19</v>
      </c>
      <c r="G133" s="240">
        <v>0.8</v>
      </c>
      <c r="H133" s="241">
        <v>540</v>
      </c>
      <c r="I133" s="242">
        <f t="shared" si="53"/>
        <v>329</v>
      </c>
      <c r="J133" s="242">
        <f t="shared" si="54"/>
        <v>103</v>
      </c>
      <c r="K133" s="242">
        <f t="shared" si="55"/>
        <v>432</v>
      </c>
      <c r="M133" s="210" t="s">
        <v>357</v>
      </c>
      <c r="N133" s="216"/>
    </row>
    <row r="134" spans="1:14" x14ac:dyDescent="0.2">
      <c r="A134" s="227">
        <f t="shared" si="33"/>
        <v>125</v>
      </c>
      <c r="B134" s="254"/>
      <c r="C134" s="252"/>
      <c r="D134" s="252"/>
      <c r="E134" s="236"/>
      <c r="F134" s="236"/>
      <c r="G134" s="236"/>
      <c r="H134" s="244"/>
      <c r="I134" s="244"/>
      <c r="J134" s="244"/>
      <c r="K134" s="228"/>
      <c r="M134" s="215"/>
      <c r="N134" s="216"/>
    </row>
    <row r="135" spans="1:14" x14ac:dyDescent="0.2">
      <c r="A135" s="227">
        <f t="shared" si="33"/>
        <v>126</v>
      </c>
      <c r="B135" s="254" t="str">
        <f>+B133</f>
        <v>55E &amp; 56E</v>
      </c>
      <c r="C135" s="252" t="s">
        <v>146</v>
      </c>
      <c r="D135" s="252">
        <v>250</v>
      </c>
      <c r="E135" s="240">
        <v>0.5</v>
      </c>
      <c r="F135" s="240">
        <v>0.16</v>
      </c>
      <c r="G135" s="240">
        <v>0.66</v>
      </c>
      <c r="H135" s="241">
        <v>72</v>
      </c>
      <c r="I135" s="242">
        <f>ROUND($H135*E135,0)</f>
        <v>36</v>
      </c>
      <c r="J135" s="242">
        <f>ROUND($H135*F135,0)</f>
        <v>12</v>
      </c>
      <c r="K135" s="242">
        <f t="shared" ref="K135" si="56">SUM(I135:J135)</f>
        <v>48</v>
      </c>
      <c r="M135" s="210" t="s">
        <v>358</v>
      </c>
      <c r="N135" s="216"/>
    </row>
    <row r="136" spans="1:14" x14ac:dyDescent="0.2">
      <c r="A136" s="227">
        <f t="shared" si="33"/>
        <v>127</v>
      </c>
      <c r="B136" s="254"/>
      <c r="C136" s="252"/>
      <c r="D136" s="252"/>
      <c r="E136" s="236"/>
      <c r="F136" s="236"/>
      <c r="G136" s="236"/>
      <c r="H136" s="244"/>
      <c r="I136" s="244"/>
      <c r="J136" s="244"/>
      <c r="K136" s="228"/>
      <c r="M136" s="215"/>
      <c r="N136" s="216"/>
    </row>
    <row r="137" spans="1:14" x14ac:dyDescent="0.2">
      <c r="A137" s="227">
        <f t="shared" si="33"/>
        <v>128</v>
      </c>
      <c r="B137" s="254" t="s">
        <v>153</v>
      </c>
      <c r="C137" s="252" t="s">
        <v>134</v>
      </c>
      <c r="D137" s="249" t="s">
        <v>298</v>
      </c>
      <c r="E137" s="240">
        <v>0.36</v>
      </c>
      <c r="F137" s="240">
        <v>0.12</v>
      </c>
      <c r="G137" s="240">
        <v>0.48</v>
      </c>
      <c r="H137" s="241">
        <v>7930</v>
      </c>
      <c r="I137" s="242">
        <f t="shared" ref="I137:I145" si="57">ROUND($H137*E137,0)</f>
        <v>2855</v>
      </c>
      <c r="J137" s="242">
        <f t="shared" ref="J137:J145" si="58">ROUND($H137*F137,0)</f>
        <v>952</v>
      </c>
      <c r="K137" s="242">
        <f t="shared" ref="K137:K145" si="59">SUM(I137:J137)</f>
        <v>3807</v>
      </c>
      <c r="M137" s="210" t="s">
        <v>358</v>
      </c>
      <c r="N137" s="216"/>
    </row>
    <row r="138" spans="1:14" x14ac:dyDescent="0.2">
      <c r="A138" s="227">
        <f t="shared" si="33"/>
        <v>129</v>
      </c>
      <c r="B138" s="254" t="s">
        <v>153</v>
      </c>
      <c r="C138" s="252" t="s">
        <v>134</v>
      </c>
      <c r="D138" s="246" t="s">
        <v>136</v>
      </c>
      <c r="E138" s="240">
        <v>0.43</v>
      </c>
      <c r="F138" s="240">
        <v>0.14000000000000001</v>
      </c>
      <c r="G138" s="240">
        <v>0.57000000000000006</v>
      </c>
      <c r="H138" s="241">
        <v>125</v>
      </c>
      <c r="I138" s="242">
        <f t="shared" si="57"/>
        <v>54</v>
      </c>
      <c r="J138" s="242">
        <f t="shared" si="58"/>
        <v>18</v>
      </c>
      <c r="K138" s="242">
        <f t="shared" si="59"/>
        <v>72</v>
      </c>
      <c r="M138" s="210" t="s">
        <v>358</v>
      </c>
      <c r="N138" s="216"/>
    </row>
    <row r="139" spans="1:14" x14ac:dyDescent="0.2">
      <c r="A139" s="227">
        <f t="shared" si="33"/>
        <v>130</v>
      </c>
      <c r="B139" s="254" t="s">
        <v>153</v>
      </c>
      <c r="C139" s="252" t="s">
        <v>134</v>
      </c>
      <c r="D139" s="246" t="s">
        <v>137</v>
      </c>
      <c r="E139" s="240">
        <v>0.5</v>
      </c>
      <c r="F139" s="240">
        <v>0.16</v>
      </c>
      <c r="G139" s="240">
        <v>0.66</v>
      </c>
      <c r="H139" s="241">
        <v>1805</v>
      </c>
      <c r="I139" s="242">
        <f t="shared" si="57"/>
        <v>903</v>
      </c>
      <c r="J139" s="242">
        <f t="shared" si="58"/>
        <v>289</v>
      </c>
      <c r="K139" s="242">
        <f t="shared" si="59"/>
        <v>1192</v>
      </c>
      <c r="M139" s="210" t="s">
        <v>358</v>
      </c>
      <c r="N139" s="216"/>
    </row>
    <row r="140" spans="1:14" x14ac:dyDescent="0.2">
      <c r="A140" s="227">
        <f t="shared" si="33"/>
        <v>131</v>
      </c>
      <c r="B140" s="254" t="s">
        <v>153</v>
      </c>
      <c r="C140" s="252" t="s">
        <v>134</v>
      </c>
      <c r="D140" s="246" t="s">
        <v>138</v>
      </c>
      <c r="E140" s="240">
        <v>0.52</v>
      </c>
      <c r="F140" s="240">
        <v>0.17</v>
      </c>
      <c r="G140" s="240">
        <v>0.69000000000000006</v>
      </c>
      <c r="H140" s="241">
        <v>0</v>
      </c>
      <c r="I140" s="242">
        <f t="shared" si="57"/>
        <v>0</v>
      </c>
      <c r="J140" s="242">
        <f t="shared" si="58"/>
        <v>0</v>
      </c>
      <c r="K140" s="242">
        <f t="shared" si="59"/>
        <v>0</v>
      </c>
      <c r="M140" s="210" t="s">
        <v>358</v>
      </c>
      <c r="N140" s="216"/>
    </row>
    <row r="141" spans="1:14" x14ac:dyDescent="0.2">
      <c r="A141" s="227">
        <f t="shared" ref="A141:A197" si="60">A140+1</f>
        <v>132</v>
      </c>
      <c r="B141" s="254" t="s">
        <v>153</v>
      </c>
      <c r="C141" s="252" t="s">
        <v>134</v>
      </c>
      <c r="D141" s="246" t="s">
        <v>139</v>
      </c>
      <c r="E141" s="240">
        <v>0.59</v>
      </c>
      <c r="F141" s="240">
        <v>0.18</v>
      </c>
      <c r="G141" s="240">
        <v>0.77</v>
      </c>
      <c r="H141" s="241">
        <v>0</v>
      </c>
      <c r="I141" s="242">
        <f t="shared" si="57"/>
        <v>0</v>
      </c>
      <c r="J141" s="242">
        <f t="shared" si="58"/>
        <v>0</v>
      </c>
      <c r="K141" s="242">
        <f t="shared" si="59"/>
        <v>0</v>
      </c>
      <c r="M141" s="210" t="s">
        <v>358</v>
      </c>
      <c r="N141" s="216"/>
    </row>
    <row r="142" spans="1:14" x14ac:dyDescent="0.2">
      <c r="A142" s="227">
        <f t="shared" si="60"/>
        <v>133</v>
      </c>
      <c r="B142" s="254" t="s">
        <v>153</v>
      </c>
      <c r="C142" s="252" t="s">
        <v>134</v>
      </c>
      <c r="D142" s="246" t="s">
        <v>140</v>
      </c>
      <c r="E142" s="240">
        <v>0.65</v>
      </c>
      <c r="F142" s="240">
        <v>0.21</v>
      </c>
      <c r="G142" s="240">
        <v>0.86</v>
      </c>
      <c r="H142" s="241">
        <v>0</v>
      </c>
      <c r="I142" s="242">
        <f t="shared" si="57"/>
        <v>0</v>
      </c>
      <c r="J142" s="242">
        <f t="shared" si="58"/>
        <v>0</v>
      </c>
      <c r="K142" s="242">
        <f t="shared" si="59"/>
        <v>0</v>
      </c>
      <c r="M142" s="210" t="s">
        <v>358</v>
      </c>
      <c r="N142" s="216"/>
    </row>
    <row r="143" spans="1:14" x14ac:dyDescent="0.2">
      <c r="A143" s="227">
        <f t="shared" si="60"/>
        <v>134</v>
      </c>
      <c r="B143" s="254" t="s">
        <v>153</v>
      </c>
      <c r="C143" s="252" t="s">
        <v>134</v>
      </c>
      <c r="D143" s="246" t="s">
        <v>141</v>
      </c>
      <c r="E143" s="240">
        <v>0.71</v>
      </c>
      <c r="F143" s="240">
        <v>0.22</v>
      </c>
      <c r="G143" s="240">
        <v>0.92999999999999994</v>
      </c>
      <c r="H143" s="241">
        <v>0</v>
      </c>
      <c r="I143" s="242">
        <f t="shared" si="57"/>
        <v>0</v>
      </c>
      <c r="J143" s="242">
        <f t="shared" si="58"/>
        <v>0</v>
      </c>
      <c r="K143" s="242">
        <f t="shared" si="59"/>
        <v>0</v>
      </c>
      <c r="M143" s="210" t="s">
        <v>358</v>
      </c>
      <c r="N143" s="216"/>
    </row>
    <row r="144" spans="1:14" x14ac:dyDescent="0.2">
      <c r="A144" s="227">
        <f t="shared" si="60"/>
        <v>135</v>
      </c>
      <c r="B144" s="254" t="s">
        <v>153</v>
      </c>
      <c r="C144" s="252" t="s">
        <v>134</v>
      </c>
      <c r="D144" s="246" t="s">
        <v>142</v>
      </c>
      <c r="E144" s="240">
        <v>0.77</v>
      </c>
      <c r="F144" s="240">
        <v>0.24</v>
      </c>
      <c r="G144" s="240">
        <v>1.01</v>
      </c>
      <c r="H144" s="241">
        <v>0</v>
      </c>
      <c r="I144" s="242">
        <f t="shared" si="57"/>
        <v>0</v>
      </c>
      <c r="J144" s="242">
        <f t="shared" si="58"/>
        <v>0</v>
      </c>
      <c r="K144" s="242">
        <f t="shared" si="59"/>
        <v>0</v>
      </c>
      <c r="M144" s="210" t="s">
        <v>358</v>
      </c>
      <c r="N144" s="216"/>
    </row>
    <row r="145" spans="1:14" x14ac:dyDescent="0.2">
      <c r="A145" s="227">
        <f t="shared" si="60"/>
        <v>136</v>
      </c>
      <c r="B145" s="254" t="s">
        <v>153</v>
      </c>
      <c r="C145" s="252" t="s">
        <v>134</v>
      </c>
      <c r="D145" s="246" t="s">
        <v>143</v>
      </c>
      <c r="E145" s="240">
        <v>0.81</v>
      </c>
      <c r="F145" s="240">
        <v>0.26</v>
      </c>
      <c r="G145" s="240">
        <v>1.07</v>
      </c>
      <c r="H145" s="241">
        <v>0</v>
      </c>
      <c r="I145" s="242">
        <f t="shared" si="57"/>
        <v>0</v>
      </c>
      <c r="J145" s="242">
        <f t="shared" si="58"/>
        <v>0</v>
      </c>
      <c r="K145" s="242">
        <f t="shared" si="59"/>
        <v>0</v>
      </c>
      <c r="M145" s="210" t="s">
        <v>358</v>
      </c>
      <c r="N145" s="216"/>
    </row>
    <row r="146" spans="1:14" x14ac:dyDescent="0.2">
      <c r="A146" s="227">
        <f t="shared" si="60"/>
        <v>137</v>
      </c>
      <c r="B146" s="254"/>
      <c r="C146" s="252"/>
      <c r="D146" s="252"/>
      <c r="E146" s="236"/>
      <c r="F146" s="236"/>
      <c r="G146" s="236"/>
      <c r="H146" s="244"/>
      <c r="I146" s="244"/>
      <c r="J146" s="244"/>
      <c r="K146" s="228"/>
      <c r="M146" s="210"/>
      <c r="N146" s="216"/>
    </row>
    <row r="147" spans="1:14" x14ac:dyDescent="0.2">
      <c r="A147" s="227">
        <f t="shared" si="60"/>
        <v>138</v>
      </c>
      <c r="B147" s="235" t="s">
        <v>154</v>
      </c>
      <c r="C147" s="252"/>
      <c r="D147" s="252"/>
      <c r="E147" s="236"/>
      <c r="F147" s="236"/>
      <c r="G147" s="236"/>
      <c r="H147" s="244"/>
      <c r="I147" s="244"/>
      <c r="J147" s="244"/>
      <c r="K147" s="228"/>
      <c r="M147" s="210"/>
      <c r="N147" s="216"/>
    </row>
    <row r="148" spans="1:14" x14ac:dyDescent="0.2">
      <c r="A148" s="227">
        <f t="shared" si="60"/>
        <v>139</v>
      </c>
      <c r="B148" s="237" t="s">
        <v>155</v>
      </c>
      <c r="C148" s="252" t="s">
        <v>73</v>
      </c>
      <c r="D148" s="255">
        <v>70</v>
      </c>
      <c r="E148" s="240">
        <v>0.42</v>
      </c>
      <c r="F148" s="240">
        <v>0.13</v>
      </c>
      <c r="G148" s="240">
        <v>0.55000000000000004</v>
      </c>
      <c r="H148" s="241">
        <v>629</v>
      </c>
      <c r="I148" s="242">
        <f t="shared" ref="I148:I153" si="61">ROUND($H148*E148,0)</f>
        <v>264</v>
      </c>
      <c r="J148" s="242">
        <f t="shared" ref="J148:J153" si="62">ROUND($H148*F148,0)</f>
        <v>82</v>
      </c>
      <c r="K148" s="242">
        <f t="shared" ref="K148:K153" si="63">SUM(I148:J148)</f>
        <v>346</v>
      </c>
      <c r="M148" s="210" t="s">
        <v>359</v>
      </c>
      <c r="N148" s="216"/>
    </row>
    <row r="149" spans="1:14" x14ac:dyDescent="0.2">
      <c r="A149" s="227">
        <f t="shared" si="60"/>
        <v>140</v>
      </c>
      <c r="B149" s="254" t="str">
        <f t="shared" ref="B149:B153" si="64">+B148</f>
        <v>58E &amp; 59E - Directional</v>
      </c>
      <c r="C149" s="252" t="s">
        <v>73</v>
      </c>
      <c r="D149" s="255">
        <v>100</v>
      </c>
      <c r="E149" s="240">
        <v>0.41</v>
      </c>
      <c r="F149" s="240">
        <v>0.13</v>
      </c>
      <c r="G149" s="240">
        <v>0.54</v>
      </c>
      <c r="H149" s="241">
        <v>120</v>
      </c>
      <c r="I149" s="242">
        <f t="shared" si="61"/>
        <v>49</v>
      </c>
      <c r="J149" s="242">
        <f t="shared" si="62"/>
        <v>16</v>
      </c>
      <c r="K149" s="242">
        <f t="shared" si="63"/>
        <v>65</v>
      </c>
      <c r="M149" s="210" t="s">
        <v>359</v>
      </c>
      <c r="N149" s="216"/>
    </row>
    <row r="150" spans="1:14" x14ac:dyDescent="0.2">
      <c r="A150" s="227">
        <f t="shared" si="60"/>
        <v>141</v>
      </c>
      <c r="B150" s="254" t="str">
        <f t="shared" si="64"/>
        <v>58E &amp; 59E - Directional</v>
      </c>
      <c r="C150" s="252" t="s">
        <v>73</v>
      </c>
      <c r="D150" s="255">
        <v>150</v>
      </c>
      <c r="E150" s="240">
        <v>0.43</v>
      </c>
      <c r="F150" s="240">
        <v>0.14000000000000001</v>
      </c>
      <c r="G150" s="240">
        <v>0.57000000000000006</v>
      </c>
      <c r="H150" s="241">
        <v>1719</v>
      </c>
      <c r="I150" s="242">
        <f t="shared" si="61"/>
        <v>739</v>
      </c>
      <c r="J150" s="242">
        <f t="shared" si="62"/>
        <v>241</v>
      </c>
      <c r="K150" s="242">
        <f t="shared" si="63"/>
        <v>980</v>
      </c>
      <c r="M150" s="210" t="s">
        <v>359</v>
      </c>
      <c r="N150" s="216"/>
    </row>
    <row r="151" spans="1:14" x14ac:dyDescent="0.2">
      <c r="A151" s="227">
        <f t="shared" si="60"/>
        <v>142</v>
      </c>
      <c r="B151" s="254" t="str">
        <f t="shared" si="64"/>
        <v>58E &amp; 59E - Directional</v>
      </c>
      <c r="C151" s="252" t="s">
        <v>73</v>
      </c>
      <c r="D151" s="252">
        <v>200</v>
      </c>
      <c r="E151" s="240">
        <v>0.47</v>
      </c>
      <c r="F151" s="240">
        <v>0.15</v>
      </c>
      <c r="G151" s="240">
        <v>0.62</v>
      </c>
      <c r="H151" s="241">
        <v>3173</v>
      </c>
      <c r="I151" s="242">
        <f t="shared" si="61"/>
        <v>1491</v>
      </c>
      <c r="J151" s="242">
        <f t="shared" si="62"/>
        <v>476</v>
      </c>
      <c r="K151" s="242">
        <f t="shared" si="63"/>
        <v>1967</v>
      </c>
      <c r="M151" s="210" t="s">
        <v>359</v>
      </c>
      <c r="N151" s="216"/>
    </row>
    <row r="152" spans="1:14" x14ac:dyDescent="0.2">
      <c r="A152" s="227">
        <f t="shared" si="60"/>
        <v>143</v>
      </c>
      <c r="B152" s="254" t="str">
        <f t="shared" si="64"/>
        <v>58E &amp; 59E - Directional</v>
      </c>
      <c r="C152" s="252" t="s">
        <v>73</v>
      </c>
      <c r="D152" s="252">
        <v>250</v>
      </c>
      <c r="E152" s="240">
        <v>0.5</v>
      </c>
      <c r="F152" s="240">
        <v>0.16</v>
      </c>
      <c r="G152" s="240">
        <v>0.66</v>
      </c>
      <c r="H152" s="241">
        <v>467</v>
      </c>
      <c r="I152" s="242">
        <f t="shared" si="61"/>
        <v>234</v>
      </c>
      <c r="J152" s="242">
        <f t="shared" si="62"/>
        <v>75</v>
      </c>
      <c r="K152" s="242">
        <f t="shared" si="63"/>
        <v>309</v>
      </c>
      <c r="M152" s="210" t="s">
        <v>359</v>
      </c>
      <c r="N152" s="216"/>
    </row>
    <row r="153" spans="1:14" x14ac:dyDescent="0.2">
      <c r="A153" s="227">
        <f t="shared" si="60"/>
        <v>144</v>
      </c>
      <c r="B153" s="254" t="str">
        <f t="shared" si="64"/>
        <v>58E &amp; 59E - Directional</v>
      </c>
      <c r="C153" s="252" t="s">
        <v>73</v>
      </c>
      <c r="D153" s="252">
        <v>400</v>
      </c>
      <c r="E153" s="240">
        <v>0.61</v>
      </c>
      <c r="F153" s="240">
        <v>0.19</v>
      </c>
      <c r="G153" s="240">
        <v>0.8</v>
      </c>
      <c r="H153" s="241">
        <v>4120</v>
      </c>
      <c r="I153" s="242">
        <f t="shared" si="61"/>
        <v>2513</v>
      </c>
      <c r="J153" s="242">
        <f t="shared" si="62"/>
        <v>783</v>
      </c>
      <c r="K153" s="242">
        <f t="shared" si="63"/>
        <v>3296</v>
      </c>
      <c r="M153" s="210" t="s">
        <v>359</v>
      </c>
      <c r="N153" s="216"/>
    </row>
    <row r="154" spans="1:14" x14ac:dyDescent="0.2">
      <c r="A154" s="227">
        <f t="shared" si="60"/>
        <v>145</v>
      </c>
      <c r="B154" s="254"/>
      <c r="C154" s="252"/>
      <c r="D154" s="252"/>
      <c r="E154" s="236"/>
      <c r="F154" s="236"/>
      <c r="G154" s="236"/>
      <c r="H154" s="244"/>
      <c r="I154" s="244"/>
      <c r="J154" s="244"/>
      <c r="K154" s="228"/>
      <c r="M154" s="210"/>
      <c r="N154" s="216"/>
    </row>
    <row r="155" spans="1:14" x14ac:dyDescent="0.2">
      <c r="A155" s="227">
        <f t="shared" si="60"/>
        <v>146</v>
      </c>
      <c r="B155" s="237" t="s">
        <v>156</v>
      </c>
      <c r="C155" s="252" t="s">
        <v>73</v>
      </c>
      <c r="D155" s="252">
        <v>100</v>
      </c>
      <c r="E155" s="240">
        <v>0.41</v>
      </c>
      <c r="F155" s="240">
        <v>0.13</v>
      </c>
      <c r="G155" s="240">
        <v>0.54</v>
      </c>
      <c r="H155" s="241">
        <v>2</v>
      </c>
      <c r="I155" s="242">
        <f t="shared" ref="I155:I159" si="65">ROUND($H155*E155,0)</f>
        <v>1</v>
      </c>
      <c r="J155" s="242">
        <f t="shared" ref="J155:J159" si="66">ROUND($H155*F155,0)</f>
        <v>0</v>
      </c>
      <c r="K155" s="242">
        <f t="shared" ref="K155:K159" si="67">SUM(I155:J155)</f>
        <v>1</v>
      </c>
      <c r="M155" s="210" t="s">
        <v>360</v>
      </c>
      <c r="N155" s="216"/>
    </row>
    <row r="156" spans="1:14" x14ac:dyDescent="0.2">
      <c r="A156" s="227">
        <f t="shared" si="60"/>
        <v>147</v>
      </c>
      <c r="B156" s="254" t="str">
        <f>B155</f>
        <v>58E &amp; 59E - Horizontal</v>
      </c>
      <c r="C156" s="252" t="s">
        <v>73</v>
      </c>
      <c r="D156" s="252">
        <v>150</v>
      </c>
      <c r="E156" s="240">
        <v>0.43</v>
      </c>
      <c r="F156" s="240">
        <v>0.14000000000000001</v>
      </c>
      <c r="G156" s="240">
        <v>0.57000000000000006</v>
      </c>
      <c r="H156" s="241">
        <v>173</v>
      </c>
      <c r="I156" s="242">
        <f t="shared" si="65"/>
        <v>74</v>
      </c>
      <c r="J156" s="242">
        <f t="shared" si="66"/>
        <v>24</v>
      </c>
      <c r="K156" s="242">
        <f t="shared" si="67"/>
        <v>98</v>
      </c>
      <c r="M156" s="210" t="s">
        <v>360</v>
      </c>
      <c r="N156" s="216"/>
    </row>
    <row r="157" spans="1:14" x14ac:dyDescent="0.2">
      <c r="A157" s="227">
        <f t="shared" si="60"/>
        <v>148</v>
      </c>
      <c r="B157" s="254" t="str">
        <f t="shared" ref="B157:B159" si="68">B156</f>
        <v>58E &amp; 59E - Horizontal</v>
      </c>
      <c r="C157" s="252" t="s">
        <v>73</v>
      </c>
      <c r="D157" s="252">
        <v>200</v>
      </c>
      <c r="E157" s="240">
        <v>0.47</v>
      </c>
      <c r="F157" s="240">
        <v>0.15</v>
      </c>
      <c r="G157" s="240">
        <v>0.62</v>
      </c>
      <c r="H157" s="241">
        <v>108</v>
      </c>
      <c r="I157" s="242">
        <f t="shared" si="65"/>
        <v>51</v>
      </c>
      <c r="J157" s="242">
        <f t="shared" si="66"/>
        <v>16</v>
      </c>
      <c r="K157" s="242">
        <f t="shared" si="67"/>
        <v>67</v>
      </c>
      <c r="M157" s="210" t="s">
        <v>360</v>
      </c>
      <c r="N157" s="216"/>
    </row>
    <row r="158" spans="1:14" x14ac:dyDescent="0.2">
      <c r="A158" s="227">
        <f t="shared" si="60"/>
        <v>149</v>
      </c>
      <c r="B158" s="254" t="str">
        <f t="shared" si="68"/>
        <v>58E &amp; 59E - Horizontal</v>
      </c>
      <c r="C158" s="252" t="s">
        <v>73</v>
      </c>
      <c r="D158" s="252">
        <v>250</v>
      </c>
      <c r="E158" s="240">
        <v>0.5</v>
      </c>
      <c r="F158" s="240">
        <v>0.16</v>
      </c>
      <c r="G158" s="240">
        <v>0.66</v>
      </c>
      <c r="H158" s="241">
        <v>396</v>
      </c>
      <c r="I158" s="242">
        <f t="shared" si="65"/>
        <v>198</v>
      </c>
      <c r="J158" s="242">
        <f t="shared" si="66"/>
        <v>63</v>
      </c>
      <c r="K158" s="242">
        <f t="shared" si="67"/>
        <v>261</v>
      </c>
      <c r="M158" s="210" t="s">
        <v>360</v>
      </c>
      <c r="N158" s="216"/>
    </row>
    <row r="159" spans="1:14" x14ac:dyDescent="0.2">
      <c r="A159" s="227">
        <f t="shared" si="60"/>
        <v>150</v>
      </c>
      <c r="B159" s="254" t="str">
        <f t="shared" si="68"/>
        <v>58E &amp; 59E - Horizontal</v>
      </c>
      <c r="C159" s="252" t="s">
        <v>73</v>
      </c>
      <c r="D159" s="252">
        <v>400</v>
      </c>
      <c r="E159" s="240">
        <v>0.61</v>
      </c>
      <c r="F159" s="240">
        <v>0.19</v>
      </c>
      <c r="G159" s="240">
        <v>0.8</v>
      </c>
      <c r="H159" s="241">
        <v>573</v>
      </c>
      <c r="I159" s="242">
        <f t="shared" si="65"/>
        <v>350</v>
      </c>
      <c r="J159" s="242">
        <f t="shared" si="66"/>
        <v>109</v>
      </c>
      <c r="K159" s="242">
        <f t="shared" si="67"/>
        <v>459</v>
      </c>
      <c r="M159" s="210" t="s">
        <v>360</v>
      </c>
      <c r="N159" s="216"/>
    </row>
    <row r="160" spans="1:14" x14ac:dyDescent="0.2">
      <c r="A160" s="227">
        <f t="shared" si="60"/>
        <v>151</v>
      </c>
      <c r="B160" s="254"/>
      <c r="C160" s="252"/>
      <c r="D160" s="252"/>
      <c r="E160" s="240"/>
      <c r="F160" s="240"/>
      <c r="G160" s="240"/>
      <c r="H160" s="241"/>
      <c r="I160" s="244"/>
      <c r="J160" s="244"/>
      <c r="K160" s="228"/>
      <c r="M160" s="210"/>
      <c r="N160" s="216"/>
    </row>
    <row r="161" spans="1:14" x14ac:dyDescent="0.2">
      <c r="A161" s="227">
        <f t="shared" si="60"/>
        <v>152</v>
      </c>
      <c r="B161" s="254" t="str">
        <f>B149</f>
        <v>58E &amp; 59E - Directional</v>
      </c>
      <c r="C161" s="252" t="s">
        <v>146</v>
      </c>
      <c r="D161" s="252">
        <v>175</v>
      </c>
      <c r="E161" s="240">
        <v>0.44</v>
      </c>
      <c r="F161" s="240">
        <v>0.14000000000000001</v>
      </c>
      <c r="G161" s="240">
        <v>0.58000000000000007</v>
      </c>
      <c r="H161" s="241">
        <v>36</v>
      </c>
      <c r="I161" s="242">
        <f t="shared" ref="I161:I164" si="69">ROUND($H161*E161,0)</f>
        <v>16</v>
      </c>
      <c r="J161" s="242">
        <f t="shared" ref="J161:J164" si="70">ROUND($H161*F161,0)</f>
        <v>5</v>
      </c>
      <c r="K161" s="242">
        <f t="shared" ref="K161:K164" si="71">SUM(I161:J161)</f>
        <v>21</v>
      </c>
      <c r="M161" s="210" t="s">
        <v>359</v>
      </c>
      <c r="N161" s="216"/>
    </row>
    <row r="162" spans="1:14" x14ac:dyDescent="0.2">
      <c r="A162" s="227">
        <f t="shared" si="60"/>
        <v>153</v>
      </c>
      <c r="B162" s="254" t="str">
        <f>B161</f>
        <v>58E &amp; 59E - Directional</v>
      </c>
      <c r="C162" s="252" t="s">
        <v>146</v>
      </c>
      <c r="D162" s="252">
        <v>250</v>
      </c>
      <c r="E162" s="240">
        <v>0.5</v>
      </c>
      <c r="F162" s="240">
        <v>0.16</v>
      </c>
      <c r="G162" s="240">
        <v>0.66</v>
      </c>
      <c r="H162" s="241">
        <v>204</v>
      </c>
      <c r="I162" s="242">
        <f t="shared" si="69"/>
        <v>102</v>
      </c>
      <c r="J162" s="242">
        <f t="shared" si="70"/>
        <v>33</v>
      </c>
      <c r="K162" s="242">
        <f t="shared" si="71"/>
        <v>135</v>
      </c>
      <c r="M162" s="210" t="s">
        <v>359</v>
      </c>
      <c r="N162" s="216"/>
    </row>
    <row r="163" spans="1:14" x14ac:dyDescent="0.2">
      <c r="A163" s="227">
        <f t="shared" si="60"/>
        <v>154</v>
      </c>
      <c r="B163" s="254" t="str">
        <f t="shared" ref="B163:B164" si="72">B162</f>
        <v>58E &amp; 59E - Directional</v>
      </c>
      <c r="C163" s="252" t="s">
        <v>146</v>
      </c>
      <c r="D163" s="252">
        <v>400</v>
      </c>
      <c r="E163" s="240">
        <v>0.56000000000000005</v>
      </c>
      <c r="F163" s="240">
        <v>0.18</v>
      </c>
      <c r="G163" s="240">
        <v>0.74</v>
      </c>
      <c r="H163" s="241">
        <v>1025</v>
      </c>
      <c r="I163" s="242">
        <f t="shared" si="69"/>
        <v>574</v>
      </c>
      <c r="J163" s="242">
        <f t="shared" si="70"/>
        <v>185</v>
      </c>
      <c r="K163" s="242">
        <f t="shared" si="71"/>
        <v>759</v>
      </c>
      <c r="M163" s="210" t="s">
        <v>359</v>
      </c>
      <c r="N163" s="216"/>
    </row>
    <row r="164" spans="1:14" x14ac:dyDescent="0.2">
      <c r="A164" s="227">
        <f t="shared" si="60"/>
        <v>155</v>
      </c>
      <c r="B164" s="254" t="str">
        <f t="shared" si="72"/>
        <v>58E &amp; 59E - Directional</v>
      </c>
      <c r="C164" s="252" t="s">
        <v>146</v>
      </c>
      <c r="D164" s="252">
        <v>1000</v>
      </c>
      <c r="E164" s="240">
        <v>0.93</v>
      </c>
      <c r="F164" s="240">
        <v>0.3</v>
      </c>
      <c r="G164" s="240">
        <v>1.23</v>
      </c>
      <c r="H164" s="241">
        <v>1470</v>
      </c>
      <c r="I164" s="242">
        <f t="shared" si="69"/>
        <v>1367</v>
      </c>
      <c r="J164" s="242">
        <f t="shared" si="70"/>
        <v>441</v>
      </c>
      <c r="K164" s="242">
        <f t="shared" si="71"/>
        <v>1808</v>
      </c>
      <c r="M164" s="210" t="s">
        <v>359</v>
      </c>
      <c r="N164" s="216"/>
    </row>
    <row r="165" spans="1:14" x14ac:dyDescent="0.2">
      <c r="A165" s="227">
        <f t="shared" si="60"/>
        <v>156</v>
      </c>
      <c r="B165" s="254"/>
      <c r="C165" s="252"/>
      <c r="D165" s="252"/>
      <c r="E165" s="236"/>
      <c r="F165" s="236"/>
      <c r="G165" s="236"/>
      <c r="H165" s="244"/>
      <c r="I165" s="244"/>
      <c r="J165" s="244"/>
      <c r="K165" s="228"/>
      <c r="M165" s="210"/>
      <c r="N165" s="216"/>
    </row>
    <row r="166" spans="1:14" x14ac:dyDescent="0.2">
      <c r="A166" s="227">
        <f t="shared" si="60"/>
        <v>157</v>
      </c>
      <c r="B166" s="254" t="str">
        <f>B155</f>
        <v>58E &amp; 59E - Horizontal</v>
      </c>
      <c r="C166" s="252" t="s">
        <v>146</v>
      </c>
      <c r="D166" s="252">
        <v>250</v>
      </c>
      <c r="E166" s="240">
        <v>0.5</v>
      </c>
      <c r="F166" s="240">
        <v>0.16</v>
      </c>
      <c r="G166" s="240">
        <v>0.66</v>
      </c>
      <c r="H166" s="241">
        <v>120</v>
      </c>
      <c r="I166" s="242">
        <f t="shared" ref="I166:I167" si="73">ROUND($H166*E166,0)</f>
        <v>60</v>
      </c>
      <c r="J166" s="242">
        <f t="shared" ref="J166:J167" si="74">ROUND($H166*F166,0)</f>
        <v>19</v>
      </c>
      <c r="K166" s="242">
        <f t="shared" ref="K166:K167" si="75">SUM(I166:J166)</f>
        <v>79</v>
      </c>
      <c r="M166" s="210" t="s">
        <v>362</v>
      </c>
      <c r="N166" s="216"/>
    </row>
    <row r="167" spans="1:14" x14ac:dyDescent="0.2">
      <c r="A167" s="227">
        <f t="shared" si="60"/>
        <v>158</v>
      </c>
      <c r="B167" s="254" t="str">
        <f>B166</f>
        <v>58E &amp; 59E - Horizontal</v>
      </c>
      <c r="C167" s="252" t="s">
        <v>146</v>
      </c>
      <c r="D167" s="252">
        <v>400</v>
      </c>
      <c r="E167" s="240">
        <v>0.56000000000000005</v>
      </c>
      <c r="F167" s="240">
        <v>0.18</v>
      </c>
      <c r="G167" s="240">
        <v>0.74</v>
      </c>
      <c r="H167" s="241">
        <v>477</v>
      </c>
      <c r="I167" s="242">
        <f t="shared" si="73"/>
        <v>267</v>
      </c>
      <c r="J167" s="242">
        <f t="shared" si="74"/>
        <v>86</v>
      </c>
      <c r="K167" s="242">
        <f t="shared" si="75"/>
        <v>353</v>
      </c>
      <c r="M167" s="210" t="s">
        <v>362</v>
      </c>
      <c r="N167" s="216"/>
    </row>
    <row r="168" spans="1:14" x14ac:dyDescent="0.2">
      <c r="A168" s="227">
        <f t="shared" si="60"/>
        <v>159</v>
      </c>
      <c r="B168" s="254"/>
      <c r="C168" s="252"/>
      <c r="D168" s="252"/>
      <c r="E168" s="236"/>
      <c r="F168" s="236"/>
      <c r="G168" s="236"/>
      <c r="H168" s="244"/>
      <c r="I168" s="244"/>
      <c r="J168" s="244"/>
      <c r="K168" s="228"/>
      <c r="M168" s="210"/>
      <c r="N168" s="216"/>
    </row>
    <row r="169" spans="1:14" x14ac:dyDescent="0.2">
      <c r="A169" s="227">
        <f t="shared" si="60"/>
        <v>160</v>
      </c>
      <c r="B169" s="254" t="s">
        <v>157</v>
      </c>
      <c r="C169" s="252" t="s">
        <v>134</v>
      </c>
      <c r="D169" s="249" t="s">
        <v>298</v>
      </c>
      <c r="E169" s="240">
        <v>0.44</v>
      </c>
      <c r="F169" s="240">
        <v>0.14000000000000001</v>
      </c>
      <c r="G169" s="240">
        <v>0.58000000000000007</v>
      </c>
      <c r="H169" s="241">
        <v>36</v>
      </c>
      <c r="I169" s="242">
        <f t="shared" ref="I169:I183" si="76">ROUND($H169*E169,0)</f>
        <v>16</v>
      </c>
      <c r="J169" s="242">
        <f t="shared" ref="J169:J183" si="77">ROUND($H169*F169,0)</f>
        <v>5</v>
      </c>
      <c r="K169" s="242">
        <f t="shared" ref="K169:K183" si="78">SUM(I169:J169)</f>
        <v>21</v>
      </c>
      <c r="M169" s="210" t="s">
        <v>360</v>
      </c>
      <c r="N169" s="216"/>
    </row>
    <row r="170" spans="1:14" x14ac:dyDescent="0.2">
      <c r="A170" s="227">
        <f t="shared" si="60"/>
        <v>161</v>
      </c>
      <c r="B170" s="254" t="str">
        <f>B169</f>
        <v>58E &amp; 59E</v>
      </c>
      <c r="C170" s="252" t="s">
        <v>134</v>
      </c>
      <c r="D170" s="246" t="s">
        <v>136</v>
      </c>
      <c r="E170" s="240">
        <v>0.49</v>
      </c>
      <c r="F170" s="240">
        <v>0.15</v>
      </c>
      <c r="G170" s="240">
        <v>0.64</v>
      </c>
      <c r="H170" s="241">
        <v>721</v>
      </c>
      <c r="I170" s="242">
        <f>ROUND($H170*E170,0)</f>
        <v>353</v>
      </c>
      <c r="J170" s="242">
        <f t="shared" si="77"/>
        <v>108</v>
      </c>
      <c r="K170" s="242">
        <f>SUM(I170:J170)</f>
        <v>461</v>
      </c>
      <c r="M170" s="210" t="s">
        <v>360</v>
      </c>
      <c r="N170" s="216"/>
    </row>
    <row r="171" spans="1:14" x14ac:dyDescent="0.2">
      <c r="A171" s="227">
        <f t="shared" si="60"/>
        <v>162</v>
      </c>
      <c r="B171" s="254" t="str">
        <f t="shared" ref="B171:B183" si="79">B170</f>
        <v>58E &amp; 59E</v>
      </c>
      <c r="C171" s="252" t="s">
        <v>134</v>
      </c>
      <c r="D171" s="246" t="s">
        <v>137</v>
      </c>
      <c r="E171" s="240">
        <v>0.53</v>
      </c>
      <c r="F171" s="240">
        <v>0.17</v>
      </c>
      <c r="G171" s="240">
        <v>0.70000000000000007</v>
      </c>
      <c r="H171" s="241">
        <v>192</v>
      </c>
      <c r="I171" s="242">
        <f t="shared" si="76"/>
        <v>102</v>
      </c>
      <c r="J171" s="242">
        <f t="shared" si="77"/>
        <v>33</v>
      </c>
      <c r="K171" s="242">
        <f t="shared" si="78"/>
        <v>135</v>
      </c>
      <c r="M171" s="210" t="s">
        <v>360</v>
      </c>
      <c r="N171" s="216"/>
    </row>
    <row r="172" spans="1:14" x14ac:dyDescent="0.2">
      <c r="A172" s="227">
        <f t="shared" si="60"/>
        <v>163</v>
      </c>
      <c r="B172" s="254" t="str">
        <f t="shared" si="79"/>
        <v>58E &amp; 59E</v>
      </c>
      <c r="C172" s="252" t="s">
        <v>134</v>
      </c>
      <c r="D172" s="246" t="s">
        <v>138</v>
      </c>
      <c r="E172" s="240">
        <v>0.57999999999999996</v>
      </c>
      <c r="F172" s="240">
        <v>0.18</v>
      </c>
      <c r="G172" s="240">
        <v>0.76</v>
      </c>
      <c r="H172" s="241">
        <v>1267</v>
      </c>
      <c r="I172" s="242">
        <f t="shared" si="76"/>
        <v>735</v>
      </c>
      <c r="J172" s="242">
        <f t="shared" si="77"/>
        <v>228</v>
      </c>
      <c r="K172" s="242">
        <f t="shared" si="78"/>
        <v>963</v>
      </c>
      <c r="M172" s="210" t="s">
        <v>360</v>
      </c>
      <c r="N172" s="216"/>
    </row>
    <row r="173" spans="1:14" x14ac:dyDescent="0.2">
      <c r="A173" s="227">
        <f t="shared" si="60"/>
        <v>164</v>
      </c>
      <c r="B173" s="254" t="str">
        <f t="shared" si="79"/>
        <v>58E &amp; 59E</v>
      </c>
      <c r="C173" s="252" t="s">
        <v>134</v>
      </c>
      <c r="D173" s="246" t="s">
        <v>139</v>
      </c>
      <c r="E173" s="240">
        <v>0.62</v>
      </c>
      <c r="F173" s="240">
        <v>0.2</v>
      </c>
      <c r="G173" s="240">
        <v>0.82000000000000006</v>
      </c>
      <c r="H173" s="241">
        <v>166</v>
      </c>
      <c r="I173" s="242">
        <f t="shared" si="76"/>
        <v>103</v>
      </c>
      <c r="J173" s="242">
        <f t="shared" si="77"/>
        <v>33</v>
      </c>
      <c r="K173" s="242">
        <f t="shared" si="78"/>
        <v>136</v>
      </c>
      <c r="M173" s="210" t="s">
        <v>360</v>
      </c>
      <c r="N173" s="216"/>
    </row>
    <row r="174" spans="1:14" x14ac:dyDescent="0.2">
      <c r="A174" s="227">
        <f t="shared" si="60"/>
        <v>165</v>
      </c>
      <c r="B174" s="254" t="str">
        <f t="shared" si="79"/>
        <v>58E &amp; 59E</v>
      </c>
      <c r="C174" s="252" t="s">
        <v>134</v>
      </c>
      <c r="D174" s="246" t="s">
        <v>140</v>
      </c>
      <c r="E174" s="240">
        <v>0.68</v>
      </c>
      <c r="F174" s="240">
        <v>0.22</v>
      </c>
      <c r="G174" s="240">
        <v>0.9</v>
      </c>
      <c r="H174" s="241">
        <v>0</v>
      </c>
      <c r="I174" s="242">
        <f t="shared" si="76"/>
        <v>0</v>
      </c>
      <c r="J174" s="242">
        <f t="shared" si="77"/>
        <v>0</v>
      </c>
      <c r="K174" s="242">
        <f t="shared" si="78"/>
        <v>0</v>
      </c>
      <c r="M174" s="210" t="s">
        <v>360</v>
      </c>
      <c r="N174" s="216"/>
    </row>
    <row r="175" spans="1:14" x14ac:dyDescent="0.2">
      <c r="A175" s="227">
        <f t="shared" si="60"/>
        <v>166</v>
      </c>
      <c r="B175" s="254" t="str">
        <f t="shared" si="79"/>
        <v>58E &amp; 59E</v>
      </c>
      <c r="C175" s="252" t="s">
        <v>134</v>
      </c>
      <c r="D175" s="246" t="s">
        <v>141</v>
      </c>
      <c r="E175" s="240">
        <v>0.72</v>
      </c>
      <c r="F175" s="240">
        <v>0.23</v>
      </c>
      <c r="G175" s="240">
        <v>0.95</v>
      </c>
      <c r="H175" s="241">
        <v>151</v>
      </c>
      <c r="I175" s="242">
        <f t="shared" si="76"/>
        <v>109</v>
      </c>
      <c r="J175" s="242">
        <f t="shared" si="77"/>
        <v>35</v>
      </c>
      <c r="K175" s="242">
        <f t="shared" si="78"/>
        <v>144</v>
      </c>
      <c r="M175" s="210" t="s">
        <v>360</v>
      </c>
      <c r="N175" s="216"/>
    </row>
    <row r="176" spans="1:14" x14ac:dyDescent="0.2">
      <c r="A176" s="227">
        <f t="shared" si="60"/>
        <v>167</v>
      </c>
      <c r="B176" s="254" t="str">
        <f t="shared" si="79"/>
        <v>58E &amp; 59E</v>
      </c>
      <c r="C176" s="252" t="s">
        <v>134</v>
      </c>
      <c r="D176" s="246" t="s">
        <v>142</v>
      </c>
      <c r="E176" s="240">
        <v>0.78</v>
      </c>
      <c r="F176" s="240">
        <v>0.24</v>
      </c>
      <c r="G176" s="240">
        <v>1.02</v>
      </c>
      <c r="H176" s="241">
        <v>264</v>
      </c>
      <c r="I176" s="242">
        <f t="shared" si="76"/>
        <v>206</v>
      </c>
      <c r="J176" s="242">
        <f t="shared" si="77"/>
        <v>63</v>
      </c>
      <c r="K176" s="242">
        <f t="shared" si="78"/>
        <v>269</v>
      </c>
      <c r="M176" s="210" t="s">
        <v>360</v>
      </c>
      <c r="N176" s="216"/>
    </row>
    <row r="177" spans="1:14" x14ac:dyDescent="0.2">
      <c r="A177" s="227">
        <f t="shared" si="60"/>
        <v>168</v>
      </c>
      <c r="B177" s="254" t="str">
        <f t="shared" si="79"/>
        <v>58E &amp; 59E</v>
      </c>
      <c r="C177" s="252" t="s">
        <v>134</v>
      </c>
      <c r="D177" s="246" t="s">
        <v>143</v>
      </c>
      <c r="E177" s="240">
        <v>0.82</v>
      </c>
      <c r="F177" s="240">
        <v>0.26</v>
      </c>
      <c r="G177" s="240">
        <v>1.08</v>
      </c>
      <c r="H177" s="241">
        <v>0</v>
      </c>
      <c r="I177" s="242">
        <f t="shared" si="76"/>
        <v>0</v>
      </c>
      <c r="J177" s="242">
        <f t="shared" si="77"/>
        <v>0</v>
      </c>
      <c r="K177" s="242">
        <f t="shared" si="78"/>
        <v>0</v>
      </c>
      <c r="M177" s="210" t="s">
        <v>361</v>
      </c>
      <c r="N177" s="216"/>
    </row>
    <row r="178" spans="1:14" x14ac:dyDescent="0.2">
      <c r="A178" s="227">
        <f t="shared" si="60"/>
        <v>169</v>
      </c>
      <c r="B178" s="254" t="str">
        <f t="shared" si="79"/>
        <v>58E &amp; 59E</v>
      </c>
      <c r="C178" s="252" t="s">
        <v>134</v>
      </c>
      <c r="D178" s="246" t="s">
        <v>158</v>
      </c>
      <c r="E178" s="240">
        <v>0.93</v>
      </c>
      <c r="F178" s="240">
        <v>0.28999999999999998</v>
      </c>
      <c r="G178" s="240">
        <v>1.22</v>
      </c>
      <c r="H178" s="241">
        <v>0</v>
      </c>
      <c r="I178" s="242">
        <f t="shared" si="76"/>
        <v>0</v>
      </c>
      <c r="J178" s="242">
        <f t="shared" si="77"/>
        <v>0</v>
      </c>
      <c r="K178" s="242">
        <f t="shared" si="78"/>
        <v>0</v>
      </c>
      <c r="M178" s="210" t="s">
        <v>361</v>
      </c>
      <c r="N178" s="216"/>
    </row>
    <row r="179" spans="1:14" x14ac:dyDescent="0.2">
      <c r="A179" s="227">
        <f t="shared" si="60"/>
        <v>170</v>
      </c>
      <c r="B179" s="254" t="str">
        <f t="shared" si="79"/>
        <v>58E &amp; 59E</v>
      </c>
      <c r="C179" s="252" t="s">
        <v>134</v>
      </c>
      <c r="D179" s="246" t="s">
        <v>159</v>
      </c>
      <c r="E179" s="240">
        <v>1.0900000000000001</v>
      </c>
      <c r="F179" s="240">
        <v>0.35</v>
      </c>
      <c r="G179" s="240">
        <v>1.44</v>
      </c>
      <c r="H179" s="241">
        <v>0</v>
      </c>
      <c r="I179" s="242">
        <f t="shared" si="76"/>
        <v>0</v>
      </c>
      <c r="J179" s="242">
        <f t="shared" si="77"/>
        <v>0</v>
      </c>
      <c r="K179" s="242">
        <f t="shared" si="78"/>
        <v>0</v>
      </c>
      <c r="M179" s="210" t="s">
        <v>361</v>
      </c>
      <c r="N179" s="216"/>
    </row>
    <row r="180" spans="1:14" x14ac:dyDescent="0.2">
      <c r="A180" s="227">
        <f t="shared" si="60"/>
        <v>171</v>
      </c>
      <c r="B180" s="254" t="str">
        <f t="shared" si="79"/>
        <v>58E &amp; 59E</v>
      </c>
      <c r="C180" s="252" t="s">
        <v>134</v>
      </c>
      <c r="D180" s="246" t="s">
        <v>160</v>
      </c>
      <c r="E180" s="240">
        <v>1.25</v>
      </c>
      <c r="F180" s="240">
        <v>0.4</v>
      </c>
      <c r="G180" s="240">
        <v>1.65</v>
      </c>
      <c r="H180" s="241">
        <v>0</v>
      </c>
      <c r="I180" s="242">
        <f t="shared" si="76"/>
        <v>0</v>
      </c>
      <c r="J180" s="242">
        <f t="shared" si="77"/>
        <v>0</v>
      </c>
      <c r="K180" s="242">
        <f t="shared" si="78"/>
        <v>0</v>
      </c>
      <c r="M180" s="210" t="s">
        <v>361</v>
      </c>
      <c r="N180" s="216"/>
    </row>
    <row r="181" spans="1:14" x14ac:dyDescent="0.2">
      <c r="A181" s="227">
        <f t="shared" si="60"/>
        <v>172</v>
      </c>
      <c r="B181" s="254" t="str">
        <f t="shared" si="79"/>
        <v>58E &amp; 59E</v>
      </c>
      <c r="C181" s="252" t="s">
        <v>134</v>
      </c>
      <c r="D181" s="246" t="s">
        <v>161</v>
      </c>
      <c r="E181" s="240">
        <v>1.41</v>
      </c>
      <c r="F181" s="240">
        <v>0.45</v>
      </c>
      <c r="G181" s="240">
        <v>1.8599999999999999</v>
      </c>
      <c r="H181" s="241">
        <v>0</v>
      </c>
      <c r="I181" s="242">
        <f t="shared" si="76"/>
        <v>0</v>
      </c>
      <c r="J181" s="242">
        <f t="shared" si="77"/>
        <v>0</v>
      </c>
      <c r="K181" s="242">
        <f t="shared" si="78"/>
        <v>0</v>
      </c>
      <c r="M181" s="210" t="s">
        <v>361</v>
      </c>
      <c r="N181" s="216"/>
    </row>
    <row r="182" spans="1:14" x14ac:dyDescent="0.2">
      <c r="A182" s="227">
        <f t="shared" si="60"/>
        <v>173</v>
      </c>
      <c r="B182" s="254" t="str">
        <f t="shared" si="79"/>
        <v>58E &amp; 59E</v>
      </c>
      <c r="C182" s="252" t="s">
        <v>134</v>
      </c>
      <c r="D182" s="246" t="s">
        <v>162</v>
      </c>
      <c r="E182" s="240">
        <v>1.58</v>
      </c>
      <c r="F182" s="240">
        <v>0.5</v>
      </c>
      <c r="G182" s="240">
        <v>2.08</v>
      </c>
      <c r="H182" s="241">
        <v>0</v>
      </c>
      <c r="I182" s="242">
        <f t="shared" si="76"/>
        <v>0</v>
      </c>
      <c r="J182" s="242">
        <f t="shared" si="77"/>
        <v>0</v>
      </c>
      <c r="K182" s="242">
        <f t="shared" si="78"/>
        <v>0</v>
      </c>
      <c r="M182" s="210" t="s">
        <v>361</v>
      </c>
      <c r="N182" s="216"/>
    </row>
    <row r="183" spans="1:14" x14ac:dyDescent="0.2">
      <c r="A183" s="227">
        <f t="shared" si="60"/>
        <v>174</v>
      </c>
      <c r="B183" s="254" t="str">
        <f t="shared" si="79"/>
        <v>58E &amp; 59E</v>
      </c>
      <c r="C183" s="252" t="s">
        <v>134</v>
      </c>
      <c r="D183" s="246" t="s">
        <v>163</v>
      </c>
      <c r="E183" s="240">
        <v>1.73</v>
      </c>
      <c r="F183" s="240">
        <v>0.55000000000000004</v>
      </c>
      <c r="G183" s="240">
        <v>2.2800000000000002</v>
      </c>
      <c r="H183" s="241">
        <v>0</v>
      </c>
      <c r="I183" s="242">
        <f t="shared" si="76"/>
        <v>0</v>
      </c>
      <c r="J183" s="242">
        <f t="shared" si="77"/>
        <v>0</v>
      </c>
      <c r="K183" s="242">
        <f t="shared" si="78"/>
        <v>0</v>
      </c>
      <c r="M183" s="210" t="s">
        <v>361</v>
      </c>
      <c r="N183" s="216"/>
    </row>
    <row r="184" spans="1:14" x14ac:dyDescent="0.2">
      <c r="A184" s="227">
        <f t="shared" si="60"/>
        <v>175</v>
      </c>
      <c r="B184" s="254"/>
      <c r="C184" s="252"/>
      <c r="D184" s="252"/>
      <c r="E184" s="236"/>
      <c r="F184" s="236"/>
      <c r="G184" s="236"/>
      <c r="H184" s="244"/>
      <c r="I184" s="244"/>
      <c r="J184" s="244"/>
      <c r="K184" s="228"/>
      <c r="M184" s="210"/>
      <c r="N184" s="216"/>
    </row>
    <row r="185" spans="1:14" x14ac:dyDescent="0.2">
      <c r="A185" s="227">
        <f t="shared" si="60"/>
        <v>176</v>
      </c>
      <c r="B185" s="235" t="s">
        <v>164</v>
      </c>
      <c r="C185" s="252"/>
      <c r="D185" s="252"/>
      <c r="E185" s="236"/>
      <c r="F185" s="236"/>
      <c r="G185" s="236"/>
      <c r="H185" s="244"/>
      <c r="I185" s="244"/>
      <c r="J185" s="244"/>
      <c r="K185" s="228"/>
      <c r="M185" s="210"/>
      <c r="N185" s="216"/>
    </row>
    <row r="186" spans="1:14" x14ac:dyDescent="0.2">
      <c r="A186" s="227">
        <f t="shared" si="60"/>
        <v>177</v>
      </c>
      <c r="B186" s="254" t="s">
        <v>165</v>
      </c>
      <c r="C186" s="252" t="s">
        <v>166</v>
      </c>
      <c r="D186" s="252"/>
      <c r="E186" s="256">
        <v>7.2999999999999996E-4</v>
      </c>
      <c r="F186" s="256">
        <v>2.3000000000000001E-4</v>
      </c>
      <c r="G186" s="256">
        <v>9.5999999999999992E-4</v>
      </c>
      <c r="H186" s="241">
        <v>11405629</v>
      </c>
      <c r="I186" s="242">
        <f>ROUND($H186*E186,0)</f>
        <v>8326</v>
      </c>
      <c r="J186" s="242">
        <f>ROUND($H186*F186,0)</f>
        <v>2623</v>
      </c>
      <c r="K186" s="242">
        <f t="shared" ref="K186" si="80">SUM(I186:J186)</f>
        <v>10949</v>
      </c>
      <c r="M186" s="210" t="s">
        <v>359</v>
      </c>
      <c r="N186" s="216"/>
    </row>
    <row r="187" spans="1:14" x14ac:dyDescent="0.2">
      <c r="A187" s="227">
        <f t="shared" si="60"/>
        <v>178</v>
      </c>
      <c r="B187" s="235"/>
      <c r="C187" s="235"/>
      <c r="D187" s="235"/>
      <c r="E187" s="236"/>
      <c r="F187" s="236"/>
      <c r="G187" s="236"/>
      <c r="H187" s="244"/>
      <c r="I187" s="244"/>
      <c r="J187" s="244"/>
      <c r="K187" s="228"/>
      <c r="M187" s="210"/>
      <c r="N187" s="216"/>
    </row>
    <row r="188" spans="1:14" x14ac:dyDescent="0.2">
      <c r="A188" s="227">
        <f t="shared" si="60"/>
        <v>179</v>
      </c>
      <c r="B188" s="235" t="s">
        <v>167</v>
      </c>
      <c r="C188" s="252"/>
      <c r="D188" s="252"/>
      <c r="E188" s="236"/>
      <c r="F188" s="236"/>
      <c r="G188" s="236"/>
      <c r="H188" s="244"/>
      <c r="I188" s="244"/>
      <c r="J188" s="244"/>
      <c r="K188" s="228"/>
      <c r="M188" s="210"/>
      <c r="N188" s="216"/>
    </row>
    <row r="189" spans="1:14" x14ac:dyDescent="0.2">
      <c r="A189" s="227">
        <f t="shared" si="60"/>
        <v>180</v>
      </c>
      <c r="B189" s="237" t="s">
        <v>168</v>
      </c>
      <c r="C189" s="252" t="s">
        <v>169</v>
      </c>
      <c r="D189" s="252">
        <v>0</v>
      </c>
      <c r="E189" s="240">
        <v>0.45</v>
      </c>
      <c r="F189" s="240">
        <v>0.14000000000000001</v>
      </c>
      <c r="G189" s="240">
        <v>0.59000000000000008</v>
      </c>
      <c r="H189" s="241">
        <v>7257</v>
      </c>
      <c r="I189" s="242">
        <f t="shared" ref="I189:I190" si="81">ROUND($H189*E189,0)</f>
        <v>3266</v>
      </c>
      <c r="J189" s="242">
        <f t="shared" ref="J189:J190" si="82">ROUND($H189*F189,0)</f>
        <v>1016</v>
      </c>
      <c r="K189" s="242">
        <f t="shared" ref="K189" si="83">SUM(I189:J189)</f>
        <v>4282</v>
      </c>
      <c r="M189" s="210" t="s">
        <v>358</v>
      </c>
      <c r="N189" s="216"/>
    </row>
    <row r="190" spans="1:14" x14ac:dyDescent="0.2">
      <c r="A190" s="227">
        <f t="shared" si="60"/>
        <v>181</v>
      </c>
      <c r="B190" s="237" t="s">
        <v>170</v>
      </c>
      <c r="C190" s="252" t="s">
        <v>169</v>
      </c>
      <c r="D190" s="252">
        <v>0</v>
      </c>
      <c r="E190" s="240">
        <v>0.89</v>
      </c>
      <c r="F190" s="240">
        <v>0.28000000000000003</v>
      </c>
      <c r="G190" s="240">
        <v>1.17</v>
      </c>
      <c r="H190" s="241">
        <v>4030</v>
      </c>
      <c r="I190" s="242">
        <f t="shared" si="81"/>
        <v>3587</v>
      </c>
      <c r="J190" s="242">
        <f t="shared" si="82"/>
        <v>1128</v>
      </c>
      <c r="K190" s="242">
        <f>SUM(I190:J190)</f>
        <v>4715</v>
      </c>
      <c r="M190" s="210" t="s">
        <v>358</v>
      </c>
      <c r="N190" s="216"/>
    </row>
    <row r="191" spans="1:14" x14ac:dyDescent="0.2">
      <c r="A191" s="227">
        <f t="shared" si="60"/>
        <v>182</v>
      </c>
      <c r="B191" s="237"/>
      <c r="C191" s="235"/>
      <c r="D191" s="235"/>
      <c r="E191" s="236"/>
      <c r="F191" s="236"/>
      <c r="G191" s="236"/>
      <c r="H191" s="244"/>
      <c r="I191" s="244"/>
      <c r="J191" s="244"/>
      <c r="K191" s="228"/>
      <c r="M191" s="210"/>
      <c r="N191" s="216"/>
    </row>
    <row r="192" spans="1:14" x14ac:dyDescent="0.2">
      <c r="A192" s="227">
        <f t="shared" si="60"/>
        <v>183</v>
      </c>
      <c r="B192" s="237" t="s">
        <v>329</v>
      </c>
      <c r="C192" s="252" t="s">
        <v>169</v>
      </c>
      <c r="D192" s="252">
        <v>0</v>
      </c>
      <c r="E192" s="240">
        <v>0.45</v>
      </c>
      <c r="F192" s="240">
        <v>0.14000000000000001</v>
      </c>
      <c r="G192" s="240">
        <v>0.59000000000000008</v>
      </c>
      <c r="H192" s="241">
        <v>0</v>
      </c>
      <c r="I192" s="242">
        <f>ROUND($H192*E192,0)</f>
        <v>0</v>
      </c>
      <c r="J192" s="242">
        <f>ROUND($H192*F192,0)</f>
        <v>0</v>
      </c>
      <c r="K192" s="242">
        <f>SUM(I192:J192)</f>
        <v>0</v>
      </c>
      <c r="M192" s="210" t="s">
        <v>364</v>
      </c>
      <c r="N192" s="216"/>
    </row>
    <row r="193" spans="1:14" ht="15" thickBot="1" x14ac:dyDescent="0.25">
      <c r="A193" s="227">
        <f t="shared" si="60"/>
        <v>184</v>
      </c>
      <c r="B193" s="237" t="s">
        <v>171</v>
      </c>
      <c r="C193" s="252" t="s">
        <v>169</v>
      </c>
      <c r="D193" s="252">
        <v>0</v>
      </c>
      <c r="E193" s="240">
        <v>0.89</v>
      </c>
      <c r="F193" s="240">
        <v>0.28000000000000003</v>
      </c>
      <c r="G193" s="240">
        <v>1.17</v>
      </c>
      <c r="H193" s="241">
        <v>1868</v>
      </c>
      <c r="I193" s="242">
        <f>ROUND($H193*E193,0)</f>
        <v>1663</v>
      </c>
      <c r="J193" s="242">
        <f>ROUND($H193*F193,0)</f>
        <v>523</v>
      </c>
      <c r="K193" s="242">
        <f>SUM(I193:J193)</f>
        <v>2186</v>
      </c>
      <c r="M193" s="218" t="s">
        <v>362</v>
      </c>
      <c r="N193" s="217"/>
    </row>
    <row r="194" spans="1:14" x14ac:dyDescent="0.2">
      <c r="A194" s="227">
        <f t="shared" si="60"/>
        <v>185</v>
      </c>
      <c r="B194" s="235"/>
      <c r="C194" s="235"/>
      <c r="D194" s="235"/>
      <c r="E194" s="235"/>
      <c r="F194" s="235"/>
      <c r="G194" s="228"/>
      <c r="H194" s="228"/>
      <c r="I194" s="228"/>
      <c r="J194" s="228"/>
      <c r="K194" s="228"/>
      <c r="M194" s="257"/>
    </row>
    <row r="195" spans="1:14" x14ac:dyDescent="0.2">
      <c r="A195" s="227">
        <f t="shared" si="60"/>
        <v>186</v>
      </c>
      <c r="B195" s="258" t="s">
        <v>172</v>
      </c>
      <c r="C195" s="235"/>
      <c r="D195" s="235"/>
      <c r="E195" s="235"/>
      <c r="F195" s="235"/>
      <c r="G195" s="228"/>
      <c r="H195" s="259">
        <f>SUM(H10:H193)</f>
        <v>12867111</v>
      </c>
      <c r="I195" s="242">
        <f>SUM(I10:I193)</f>
        <v>439406</v>
      </c>
      <c r="J195" s="242">
        <f>SUM(J10:J193)</f>
        <v>137157</v>
      </c>
      <c r="K195" s="242">
        <f>SUM(K10:K193)</f>
        <v>576563</v>
      </c>
    </row>
    <row r="196" spans="1:14" x14ac:dyDescent="0.2">
      <c r="A196" s="227">
        <f t="shared" si="60"/>
        <v>187</v>
      </c>
      <c r="B196" s="260" t="s">
        <v>173</v>
      </c>
      <c r="C196" s="235"/>
      <c r="D196" s="235"/>
      <c r="E196" s="235"/>
      <c r="F196" s="235"/>
      <c r="G196" s="228"/>
      <c r="H196" s="259">
        <v>12853956</v>
      </c>
      <c r="I196" s="259">
        <f>+'DRAFT 2022 Prop Tax Rate Design'!G27</f>
        <v>434621.42253756488</v>
      </c>
      <c r="J196" s="259">
        <f>+'DRAFT 2022 Prop Tax Rate Design'!H27</f>
        <v>139661.91865103084</v>
      </c>
      <c r="K196" s="242">
        <f>+'DRAFT 2022 Prop Tax Rate Design'!I27</f>
        <v>574283.34118859575</v>
      </c>
    </row>
    <row r="197" spans="1:14" x14ac:dyDescent="0.2">
      <c r="A197" s="227">
        <f t="shared" si="60"/>
        <v>188</v>
      </c>
      <c r="B197" s="235" t="s">
        <v>76</v>
      </c>
      <c r="C197" s="235"/>
      <c r="D197" s="235"/>
      <c r="E197" s="235"/>
      <c r="F197" s="235"/>
      <c r="G197" s="228"/>
      <c r="H197" s="259">
        <f>+H195-H196</f>
        <v>13155</v>
      </c>
      <c r="I197" s="242">
        <f t="shared" ref="I197:J197" si="84">+I195-I196</f>
        <v>4784.5774624351179</v>
      </c>
      <c r="J197" s="242">
        <f t="shared" si="84"/>
        <v>-2504.9186510308355</v>
      </c>
      <c r="K197" s="242">
        <f>+K195-K196</f>
        <v>2279.6588114042534</v>
      </c>
    </row>
    <row r="198" spans="1:14" x14ac:dyDescent="0.2">
      <c r="A198" s="227"/>
      <c r="B198" s="235"/>
      <c r="C198" s="235"/>
      <c r="D198" s="235"/>
      <c r="E198" s="235"/>
      <c r="F198" s="235"/>
      <c r="G198" s="228"/>
      <c r="H198" s="228"/>
      <c r="I198" s="228"/>
      <c r="J198" s="228"/>
      <c r="K198" s="228"/>
    </row>
    <row r="199" spans="1:14" x14ac:dyDescent="0.2">
      <c r="A199" s="227"/>
      <c r="B199" s="258"/>
      <c r="C199" s="235"/>
      <c r="D199" s="235"/>
      <c r="E199" s="235"/>
      <c r="F199" s="235"/>
      <c r="G199" s="228"/>
      <c r="H199" s="228"/>
      <c r="I199" s="228"/>
      <c r="J199" s="228"/>
      <c r="K199" s="242"/>
    </row>
    <row r="200" spans="1:14" x14ac:dyDescent="0.2">
      <c r="A200" s="227"/>
      <c r="B200" s="258"/>
      <c r="C200" s="235"/>
      <c r="D200" s="235"/>
      <c r="E200" s="235"/>
      <c r="F200" s="235"/>
      <c r="G200" s="228"/>
      <c r="H200" s="228"/>
      <c r="I200" s="228"/>
      <c r="J200" s="228"/>
      <c r="K200" s="228"/>
    </row>
    <row r="201" spans="1:14" x14ac:dyDescent="0.2">
      <c r="A201" s="227"/>
      <c r="B201" s="235"/>
      <c r="C201" s="235"/>
      <c r="D201" s="235"/>
      <c r="E201" s="235"/>
      <c r="F201" s="235"/>
      <c r="G201" s="228"/>
      <c r="H201" s="228"/>
      <c r="I201" s="228"/>
      <c r="J201" s="228"/>
      <c r="K201" s="228"/>
    </row>
    <row r="202" spans="1:14" x14ac:dyDescent="0.2">
      <c r="A202" s="227"/>
      <c r="B202" s="238"/>
      <c r="C202" s="235"/>
      <c r="D202" s="235"/>
      <c r="E202" s="235"/>
      <c r="F202" s="235"/>
      <c r="G202" s="228"/>
      <c r="H202" s="261"/>
      <c r="I202" s="261"/>
      <c r="J202" s="261"/>
      <c r="K202" s="242"/>
    </row>
    <row r="203" spans="1:14" x14ac:dyDescent="0.2">
      <c r="A203" s="227"/>
      <c r="B203" s="235"/>
      <c r="C203" s="235"/>
      <c r="D203" s="235"/>
      <c r="E203" s="235"/>
      <c r="F203" s="235"/>
      <c r="G203" s="228"/>
      <c r="H203" s="261"/>
      <c r="I203" s="261"/>
      <c r="J203" s="261"/>
      <c r="K203" s="242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5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5.140625" style="219" customWidth="1"/>
    <col min="2" max="2" width="46.28515625" style="61" bestFit="1" customWidth="1"/>
    <col min="3" max="3" width="8.85546875" style="184" bestFit="1" customWidth="1"/>
    <col min="4" max="6" width="13.28515625" style="61" bestFit="1" customWidth="1"/>
    <col min="7" max="7" width="3.7109375" style="61" customWidth="1"/>
    <col min="8" max="8" width="13.7109375" style="61" bestFit="1" customWidth="1"/>
    <col min="9" max="9" width="13.42578125" style="61" bestFit="1" customWidth="1"/>
    <col min="10" max="10" width="13.140625" style="61" bestFit="1" customWidth="1"/>
    <col min="11" max="11" width="12.28515625" style="61" bestFit="1" customWidth="1"/>
    <col min="12" max="16384" width="9.140625" style="61"/>
  </cols>
  <sheetData>
    <row r="1" spans="1:10" ht="18.75" x14ac:dyDescent="0.3">
      <c r="A1" s="182" t="s">
        <v>395</v>
      </c>
      <c r="C1" s="183"/>
    </row>
    <row r="2" spans="1:10" ht="18.75" x14ac:dyDescent="0.3">
      <c r="B2" s="221"/>
      <c r="C2" s="183"/>
    </row>
    <row r="3" spans="1:10" x14ac:dyDescent="0.25">
      <c r="D3" s="185" t="s">
        <v>91</v>
      </c>
      <c r="E3" s="186"/>
      <c r="F3" s="187"/>
      <c r="H3" s="185" t="s">
        <v>92</v>
      </c>
      <c r="I3" s="187"/>
      <c r="J3" s="187"/>
    </row>
    <row r="4" spans="1:10" x14ac:dyDescent="0.25">
      <c r="D4" s="188" t="s">
        <v>93</v>
      </c>
      <c r="E4" s="188" t="s">
        <v>94</v>
      </c>
      <c r="F4" s="188" t="s">
        <v>35</v>
      </c>
      <c r="H4" s="188" t="s">
        <v>93</v>
      </c>
      <c r="I4" s="188" t="s">
        <v>94</v>
      </c>
      <c r="J4" s="188" t="s">
        <v>35</v>
      </c>
    </row>
    <row r="5" spans="1:10" x14ac:dyDescent="0.25">
      <c r="H5" s="61">
        <v>0.95111500000000004</v>
      </c>
      <c r="I5" s="61">
        <v>0.95455299999999998</v>
      </c>
    </row>
    <row r="6" spans="1:10" x14ac:dyDescent="0.25">
      <c r="A6" s="219">
        <v>1</v>
      </c>
      <c r="B6" s="61" t="s">
        <v>391</v>
      </c>
      <c r="C6" s="131"/>
      <c r="D6" s="189">
        <v>53428159.695488028</v>
      </c>
      <c r="E6" s="189">
        <v>20925693.974542998</v>
      </c>
      <c r="F6" s="189">
        <v>74353853.670031026</v>
      </c>
      <c r="H6" s="189">
        <v>56174237.285173744</v>
      </c>
      <c r="I6" s="189">
        <v>21921982.304327782</v>
      </c>
      <c r="J6" s="189">
        <v>78096219.58950153</v>
      </c>
    </row>
    <row r="8" spans="1:10" x14ac:dyDescent="0.25">
      <c r="A8" s="219">
        <v>2</v>
      </c>
      <c r="B8" s="61" t="s">
        <v>95</v>
      </c>
      <c r="E8" s="190"/>
    </row>
    <row r="9" spans="1:10" x14ac:dyDescent="0.25">
      <c r="A9" s="219">
        <v>3</v>
      </c>
      <c r="B9" s="191" t="s">
        <v>392</v>
      </c>
      <c r="C9" s="190"/>
      <c r="D9" s="192">
        <v>54359553</v>
      </c>
      <c r="E9" s="192">
        <v>22258722</v>
      </c>
      <c r="F9" s="192">
        <v>76618275</v>
      </c>
      <c r="H9" s="189">
        <v>57153501.942457005</v>
      </c>
      <c r="I9" s="189">
        <v>23318476.815849934</v>
      </c>
      <c r="J9" s="192">
        <v>80471978.758306935</v>
      </c>
    </row>
    <row r="10" spans="1:10" x14ac:dyDescent="0.25">
      <c r="A10" s="219">
        <v>4</v>
      </c>
      <c r="B10" s="191" t="s">
        <v>391</v>
      </c>
      <c r="C10" s="131" t="s">
        <v>96</v>
      </c>
      <c r="D10" s="192">
        <v>53428159.695488028</v>
      </c>
      <c r="E10" s="192">
        <v>20925693.974542998</v>
      </c>
      <c r="F10" s="192">
        <v>74353853.670031026</v>
      </c>
      <c r="H10" s="189">
        <v>56174237.285173744</v>
      </c>
      <c r="I10" s="189">
        <v>21921982.304327782</v>
      </c>
      <c r="J10" s="192">
        <v>78096219.58950153</v>
      </c>
    </row>
    <row r="11" spans="1:10" x14ac:dyDescent="0.25">
      <c r="A11" s="219">
        <v>5</v>
      </c>
      <c r="B11" s="61" t="s">
        <v>393</v>
      </c>
      <c r="D11" s="192">
        <v>-1800061.3179087457</v>
      </c>
      <c r="E11" s="192">
        <v>137451.57342060967</v>
      </c>
      <c r="F11" s="192">
        <v>-1662609.7444881361</v>
      </c>
      <c r="H11" s="189">
        <v>-1892580.0958966536</v>
      </c>
      <c r="I11" s="189">
        <v>143995.74818853397</v>
      </c>
      <c r="J11" s="192">
        <v>-1748584.3477081195</v>
      </c>
    </row>
    <row r="12" spans="1:10" x14ac:dyDescent="0.25">
      <c r="D12" s="193"/>
      <c r="E12" s="193"/>
      <c r="F12" s="193"/>
      <c r="H12" s="194">
        <v>0</v>
      </c>
      <c r="I12" s="194">
        <v>0</v>
      </c>
      <c r="J12" s="195" t="s">
        <v>291</v>
      </c>
    </row>
    <row r="13" spans="1:10" x14ac:dyDescent="0.25">
      <c r="A13" s="219">
        <v>6</v>
      </c>
      <c r="B13" s="61" t="s">
        <v>117</v>
      </c>
      <c r="C13" s="131" t="s">
        <v>97</v>
      </c>
      <c r="D13" s="192">
        <v>-868668.01339677395</v>
      </c>
      <c r="E13" s="192">
        <v>1470479.5988776118</v>
      </c>
      <c r="F13" s="192">
        <v>601811.58548083785</v>
      </c>
      <c r="H13" s="192">
        <v>-913315.43861339218</v>
      </c>
      <c r="I13" s="192">
        <v>1540490.2597106856</v>
      </c>
      <c r="J13" s="192">
        <v>627174.8210972934</v>
      </c>
    </row>
    <row r="14" spans="1:10" x14ac:dyDescent="0.25">
      <c r="D14" s="193"/>
      <c r="E14" s="193"/>
      <c r="F14" s="193"/>
      <c r="H14" s="193"/>
      <c r="I14" s="193"/>
      <c r="J14" s="193"/>
    </row>
    <row r="15" spans="1:10" ht="15.75" thickBot="1" x14ac:dyDescent="0.3">
      <c r="A15" s="219">
        <v>7</v>
      </c>
      <c r="B15" s="61" t="s">
        <v>98</v>
      </c>
      <c r="C15" s="131" t="s">
        <v>99</v>
      </c>
      <c r="D15" s="196">
        <v>52559491.682091251</v>
      </c>
      <c r="E15" s="196">
        <v>22396173.57342061</v>
      </c>
      <c r="F15" s="196">
        <v>74955665.255511865</v>
      </c>
      <c r="H15" s="196">
        <v>55260921.846560352</v>
      </c>
      <c r="I15" s="196">
        <v>23462472.564038467</v>
      </c>
      <c r="J15" s="196">
        <v>78723394.410598814</v>
      </c>
    </row>
    <row r="16" spans="1:10" ht="15.75" thickTop="1" x14ac:dyDescent="0.25"/>
    <row r="18" spans="1:10" x14ac:dyDescent="0.25">
      <c r="A18" s="219">
        <v>8</v>
      </c>
      <c r="B18" s="61" t="s">
        <v>100</v>
      </c>
      <c r="C18" s="131" t="s">
        <v>292</v>
      </c>
      <c r="D18" s="189">
        <v>39777370.166166753</v>
      </c>
      <c r="E18" s="189">
        <v>15525225.30201238</v>
      </c>
      <c r="F18" s="189">
        <v>55302595.468179137</v>
      </c>
      <c r="H18" s="189">
        <v>41821830.342457801</v>
      </c>
      <c r="I18" s="189">
        <v>16264393.178809747</v>
      </c>
      <c r="J18" s="189">
        <v>58086223.521267548</v>
      </c>
    </row>
    <row r="19" spans="1:10" x14ac:dyDescent="0.25">
      <c r="A19" s="219">
        <v>9</v>
      </c>
      <c r="B19" s="61" t="s">
        <v>101</v>
      </c>
      <c r="C19" s="190"/>
      <c r="D19" s="192">
        <v>12782121.5159245</v>
      </c>
      <c r="E19" s="192">
        <v>6870948.2714082301</v>
      </c>
      <c r="F19" s="192">
        <v>19653069.787332729</v>
      </c>
      <c r="H19" s="91">
        <v>13439091.504102552</v>
      </c>
      <c r="I19" s="91">
        <v>7198079.3852287196</v>
      </c>
      <c r="J19" s="192">
        <v>20637170.889331274</v>
      </c>
    </row>
    <row r="20" spans="1:10" x14ac:dyDescent="0.25">
      <c r="D20" s="193"/>
      <c r="E20" s="193"/>
      <c r="F20" s="193"/>
      <c r="H20" s="193"/>
      <c r="I20" s="193"/>
      <c r="J20" s="193"/>
    </row>
    <row r="21" spans="1:10" ht="15.75" thickBot="1" x14ac:dyDescent="0.3">
      <c r="A21" s="219">
        <v>10</v>
      </c>
      <c r="B21" s="61" t="s">
        <v>98</v>
      </c>
      <c r="C21" s="131" t="s">
        <v>102</v>
      </c>
      <c r="D21" s="196">
        <v>52559491.682091251</v>
      </c>
      <c r="E21" s="196">
        <v>22396173.57342061</v>
      </c>
      <c r="F21" s="196">
        <v>74955665.255511865</v>
      </c>
      <c r="H21" s="196">
        <v>55260921.846560352</v>
      </c>
      <c r="I21" s="196">
        <v>23462472.564038467</v>
      </c>
      <c r="J21" s="196">
        <v>78723394.410598814</v>
      </c>
    </row>
    <row r="22" spans="1:10" ht="15.75" thickTop="1" x14ac:dyDescent="0.25"/>
    <row r="23" spans="1:10" x14ac:dyDescent="0.25">
      <c r="D23" s="189"/>
      <c r="E23" s="189"/>
      <c r="F23" s="189"/>
    </row>
    <row r="24" spans="1:10" x14ac:dyDescent="0.25">
      <c r="A24" s="219">
        <v>11</v>
      </c>
      <c r="B24" s="61" t="s">
        <v>103</v>
      </c>
    </row>
    <row r="25" spans="1:10" x14ac:dyDescent="0.25">
      <c r="A25" s="219">
        <v>12</v>
      </c>
      <c r="B25" s="191" t="s">
        <v>104</v>
      </c>
      <c r="D25" s="192">
        <v>2970443.5</v>
      </c>
      <c r="E25" s="192">
        <v>2754580</v>
      </c>
      <c r="F25" s="192">
        <v>5725023.5</v>
      </c>
      <c r="H25" s="91">
        <v>3123117.0783764319</v>
      </c>
      <c r="I25" s="91">
        <v>2885727.6652003611</v>
      </c>
      <c r="J25" s="192">
        <v>6008844.743576793</v>
      </c>
    </row>
    <row r="26" spans="1:10" x14ac:dyDescent="0.25">
      <c r="A26" s="219">
        <v>13</v>
      </c>
      <c r="B26" s="191" t="s">
        <v>105</v>
      </c>
      <c r="D26" s="192">
        <v>-3839111.5133967767</v>
      </c>
      <c r="E26" s="192">
        <v>-1284100.4011223894</v>
      </c>
      <c r="F26" s="192">
        <v>-5123211.9145191666</v>
      </c>
      <c r="H26" s="91">
        <v>-4036432.5169898239</v>
      </c>
      <c r="I26" s="91">
        <v>-1345237.4054896787</v>
      </c>
      <c r="J26" s="192">
        <v>-5381669.9224795029</v>
      </c>
    </row>
    <row r="27" spans="1:10" ht="15.75" thickBot="1" x14ac:dyDescent="0.3">
      <c r="A27" s="219">
        <v>14</v>
      </c>
      <c r="B27" s="61" t="s">
        <v>106</v>
      </c>
      <c r="D27" s="197">
        <v>-868668.01339677675</v>
      </c>
      <c r="E27" s="197">
        <v>1470479.5988776106</v>
      </c>
      <c r="F27" s="197">
        <v>601811.58548083389</v>
      </c>
      <c r="H27" s="197">
        <v>-913315.43861339195</v>
      </c>
      <c r="I27" s="197">
        <v>1540490.2597106823</v>
      </c>
      <c r="J27" s="197">
        <v>627174.82109729038</v>
      </c>
    </row>
    <row r="28" spans="1:10" ht="15.75" thickTop="1" x14ac:dyDescent="0.25">
      <c r="D28" s="198">
        <v>-2.7939677238464355E-9</v>
      </c>
      <c r="E28" s="198">
        <v>0</v>
      </c>
      <c r="F28" s="198">
        <v>-3.9581209421157837E-9</v>
      </c>
      <c r="G28" s="199"/>
      <c r="H28" s="200">
        <v>0</v>
      </c>
      <c r="I28" s="198">
        <v>-3.2596290111541748E-9</v>
      </c>
      <c r="J28" s="198">
        <v>-3.0267983675003052E-9</v>
      </c>
    </row>
    <row r="29" spans="1:10" x14ac:dyDescent="0.25">
      <c r="D29" s="91"/>
      <c r="E29" s="91"/>
      <c r="H29" s="189"/>
      <c r="I29" s="189"/>
      <c r="J29" s="189"/>
    </row>
    <row r="30" spans="1:10" x14ac:dyDescent="0.25">
      <c r="A30" s="219">
        <v>15</v>
      </c>
      <c r="B30" s="201" t="s">
        <v>269</v>
      </c>
      <c r="C30" s="131"/>
      <c r="H30" s="202">
        <v>-1.6258617522065519E-2</v>
      </c>
      <c r="I30" s="202">
        <v>7.0271485412455731E-2</v>
      </c>
    </row>
    <row r="31" spans="1:10" x14ac:dyDescent="0.25">
      <c r="A31" s="219">
        <v>16</v>
      </c>
      <c r="B31" s="201" t="s">
        <v>270</v>
      </c>
      <c r="H31" s="219" t="s">
        <v>394</v>
      </c>
      <c r="I31" s="219" t="s">
        <v>394</v>
      </c>
    </row>
    <row r="32" spans="1:10" x14ac:dyDescent="0.25">
      <c r="A32" s="219">
        <v>17</v>
      </c>
      <c r="B32" s="203" t="s">
        <v>271</v>
      </c>
    </row>
    <row r="33" spans="1:2" x14ac:dyDescent="0.25">
      <c r="A33" s="219">
        <v>18</v>
      </c>
      <c r="B33" s="203" t="s">
        <v>272</v>
      </c>
    </row>
    <row r="35" spans="1:2" x14ac:dyDescent="0.25">
      <c r="B35" s="220"/>
    </row>
  </sheetData>
  <printOptions horizontalCentered="1"/>
  <pageMargins left="0.7" right="0.7" top="0.75" bottom="0.75" header="0.3" footer="0.3"/>
  <pageSetup scale="88" fitToHeight="0" orientation="landscape" r:id="rId1"/>
  <headerFooter alignWithMargins="0"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>
      <pane xSplit="3" ySplit="7" topLeftCell="F8" activePane="bottomRight" state="frozen"/>
      <selection activeCell="E8" sqref="E8"/>
      <selection pane="topRight" activeCell="E8" sqref="E8"/>
      <selection pane="bottomLeft" activeCell="E8" sqref="E8"/>
      <selection pane="bottomRight" activeCell="A4" sqref="A4:Q4"/>
    </sheetView>
  </sheetViews>
  <sheetFormatPr defaultRowHeight="15" x14ac:dyDescent="0.25"/>
  <cols>
    <col min="1" max="1" width="4.42578125" bestFit="1" customWidth="1"/>
    <col min="2" max="2" width="23" bestFit="1" customWidth="1"/>
    <col min="3" max="4" width="15.28515625" bestFit="1" customWidth="1"/>
    <col min="5" max="5" width="13.42578125" bestFit="1" customWidth="1"/>
    <col min="6" max="6" width="13.42578125" customWidth="1"/>
    <col min="7" max="7" width="13.42578125" bestFit="1" customWidth="1"/>
    <col min="8" max="9" width="12.5703125" bestFit="1" customWidth="1"/>
    <col min="10" max="10" width="12.28515625" bestFit="1" customWidth="1"/>
    <col min="11" max="11" width="12.5703125" bestFit="1" customWidth="1"/>
    <col min="12" max="12" width="13.42578125" bestFit="1" customWidth="1"/>
    <col min="13" max="13" width="13.42578125" customWidth="1"/>
    <col min="14" max="14" width="12.5703125" bestFit="1" customWidth="1"/>
    <col min="15" max="15" width="12.5703125" customWidth="1"/>
    <col min="16" max="16" width="13.42578125" bestFit="1" customWidth="1"/>
    <col min="17" max="17" width="16" bestFit="1" customWidth="1"/>
    <col min="18" max="18" width="16" customWidth="1"/>
    <col min="19" max="19" width="13.42578125" bestFit="1" customWidth="1"/>
    <col min="20" max="20" width="15.28515625" bestFit="1" customWidth="1"/>
  </cols>
  <sheetData>
    <row r="1" spans="1:20" x14ac:dyDescent="0.2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25"/>
    </row>
    <row r="2" spans="1:20" x14ac:dyDescent="0.25">
      <c r="A2" s="283" t="s">
        <v>365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25"/>
    </row>
    <row r="3" spans="1:20" x14ac:dyDescent="0.25">
      <c r="A3" s="283" t="s">
        <v>398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25"/>
    </row>
    <row r="4" spans="1:20" x14ac:dyDescent="0.25">
      <c r="A4" s="283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25"/>
    </row>
    <row r="5" spans="1:20" x14ac:dyDescent="0.25">
      <c r="A5" s="72"/>
      <c r="B5" s="73"/>
      <c r="C5" s="73"/>
      <c r="D5" s="73"/>
      <c r="E5" s="73"/>
      <c r="F5" s="129"/>
      <c r="G5" s="73"/>
      <c r="H5" s="73"/>
      <c r="I5" s="73"/>
      <c r="J5" s="73"/>
      <c r="K5" s="88"/>
      <c r="L5" s="119"/>
      <c r="M5" s="129"/>
      <c r="N5" s="73"/>
      <c r="O5" s="129"/>
      <c r="P5" s="73"/>
      <c r="Q5" s="74"/>
      <c r="R5" s="74"/>
    </row>
    <row r="6" spans="1:20" x14ac:dyDescent="0.25">
      <c r="A6" s="72"/>
      <c r="B6" s="73"/>
      <c r="C6" s="73"/>
      <c r="D6" s="73"/>
      <c r="E6" s="73"/>
      <c r="F6" s="129"/>
      <c r="G6" s="73"/>
      <c r="H6" s="73"/>
      <c r="I6" s="73"/>
      <c r="J6" s="73"/>
      <c r="K6" s="88"/>
      <c r="L6" s="119"/>
      <c r="M6" s="129"/>
      <c r="N6" s="73"/>
      <c r="O6" s="129"/>
      <c r="P6" s="73"/>
      <c r="Q6" s="75"/>
      <c r="R6" s="75"/>
    </row>
    <row r="7" spans="1:20" ht="90" x14ac:dyDescent="0.25">
      <c r="A7" s="76" t="s">
        <v>1</v>
      </c>
      <c r="B7" s="76" t="s">
        <v>33</v>
      </c>
      <c r="C7" s="77" t="s">
        <v>397</v>
      </c>
      <c r="D7" s="77" t="s">
        <v>366</v>
      </c>
      <c r="E7" s="77" t="s">
        <v>299</v>
      </c>
      <c r="F7" s="77" t="s">
        <v>300</v>
      </c>
      <c r="G7" s="77" t="s">
        <v>303</v>
      </c>
      <c r="H7" s="77" t="s">
        <v>304</v>
      </c>
      <c r="I7" s="77" t="s">
        <v>305</v>
      </c>
      <c r="J7" s="77" t="s">
        <v>306</v>
      </c>
      <c r="K7" s="77" t="s">
        <v>307</v>
      </c>
      <c r="L7" s="77" t="s">
        <v>308</v>
      </c>
      <c r="M7" s="77" t="s">
        <v>301</v>
      </c>
      <c r="N7" s="77" t="s">
        <v>309</v>
      </c>
      <c r="O7" s="77" t="s">
        <v>302</v>
      </c>
      <c r="P7" s="77" t="s">
        <v>310</v>
      </c>
      <c r="Q7" s="77" t="s">
        <v>405</v>
      </c>
      <c r="R7" s="77" t="s">
        <v>406</v>
      </c>
      <c r="S7" s="77" t="s">
        <v>293</v>
      </c>
      <c r="T7" s="77" t="s">
        <v>367</v>
      </c>
    </row>
    <row r="8" spans="1:20" x14ac:dyDescent="0.25">
      <c r="A8" s="73">
        <v>1</v>
      </c>
      <c r="B8" s="78">
        <v>7</v>
      </c>
      <c r="C8" s="91">
        <v>10772500000</v>
      </c>
      <c r="D8" s="91">
        <v>1168709000</v>
      </c>
      <c r="E8" s="91">
        <v>22995000</v>
      </c>
      <c r="F8" s="91">
        <v>35703000</v>
      </c>
      <c r="G8" s="91">
        <v>-14985000</v>
      </c>
      <c r="H8" s="91">
        <v>41205000</v>
      </c>
      <c r="I8" s="91">
        <v>14564000</v>
      </c>
      <c r="J8" s="91">
        <v>-226000</v>
      </c>
      <c r="K8" s="91">
        <v>33093000</v>
      </c>
      <c r="L8" s="91">
        <v>9157000</v>
      </c>
      <c r="M8" s="91">
        <v>-9523000</v>
      </c>
      <c r="N8" s="91">
        <v>-4492000</v>
      </c>
      <c r="O8" s="91">
        <v>3383000</v>
      </c>
      <c r="P8" s="91">
        <v>-72059000</v>
      </c>
      <c r="Q8" s="83">
        <v>58815000</v>
      </c>
      <c r="R8" s="83">
        <v>1227524000</v>
      </c>
      <c r="S8" s="83">
        <f>-K8</f>
        <v>-33093000</v>
      </c>
      <c r="T8" s="83">
        <f>SUM(R8:S8)</f>
        <v>1194431000</v>
      </c>
    </row>
    <row r="9" spans="1:20" x14ac:dyDescent="0.25">
      <c r="A9" s="73">
        <f t="shared" ref="A9:A41" si="0">+A8+1</f>
        <v>2</v>
      </c>
      <c r="B9" s="79" t="s">
        <v>114</v>
      </c>
      <c r="C9" s="91">
        <v>2500000</v>
      </c>
      <c r="D9" s="91">
        <v>232000</v>
      </c>
      <c r="E9" s="91">
        <v>6000</v>
      </c>
      <c r="F9" s="91">
        <v>8000</v>
      </c>
      <c r="G9" s="91">
        <v>-4000</v>
      </c>
      <c r="H9" s="91">
        <v>10000</v>
      </c>
      <c r="I9" s="91">
        <v>3000</v>
      </c>
      <c r="J9" s="91">
        <v>0</v>
      </c>
      <c r="K9" s="91">
        <v>6000</v>
      </c>
      <c r="L9" s="91">
        <v>2000</v>
      </c>
      <c r="M9" s="91">
        <v>-2000</v>
      </c>
      <c r="N9" s="91">
        <v>7000</v>
      </c>
      <c r="O9" s="91">
        <v>0</v>
      </c>
      <c r="P9" s="91">
        <v>-17000</v>
      </c>
      <c r="Q9" s="83">
        <v>19000</v>
      </c>
      <c r="R9" s="83">
        <v>251000</v>
      </c>
      <c r="S9" s="83">
        <f>-K9</f>
        <v>-6000</v>
      </c>
      <c r="T9" s="83">
        <f>SUM(R9:S9)</f>
        <v>245000</v>
      </c>
    </row>
    <row r="10" spans="1:20" x14ac:dyDescent="0.25">
      <c r="A10" s="73">
        <f t="shared" si="0"/>
        <v>3</v>
      </c>
      <c r="B10" s="80" t="s">
        <v>7</v>
      </c>
      <c r="C10" s="92">
        <f>SUM(C8:C9)</f>
        <v>10775000000</v>
      </c>
      <c r="D10" s="92">
        <f t="shared" ref="D10:L10" si="1">SUM(D8:D9)</f>
        <v>1168941000</v>
      </c>
      <c r="E10" s="92">
        <f t="shared" si="1"/>
        <v>23001000</v>
      </c>
      <c r="F10" s="92">
        <f t="shared" si="1"/>
        <v>35711000</v>
      </c>
      <c r="G10" s="92">
        <f t="shared" si="1"/>
        <v>-14989000</v>
      </c>
      <c r="H10" s="92">
        <f t="shared" si="1"/>
        <v>41215000</v>
      </c>
      <c r="I10" s="92">
        <f t="shared" si="1"/>
        <v>14567000</v>
      </c>
      <c r="J10" s="92">
        <f t="shared" si="1"/>
        <v>-226000</v>
      </c>
      <c r="K10" s="92">
        <f t="shared" si="1"/>
        <v>33099000</v>
      </c>
      <c r="L10" s="92">
        <f t="shared" si="1"/>
        <v>9159000</v>
      </c>
      <c r="M10" s="92">
        <f t="shared" ref="M10:P10" si="2">SUM(M8:M9)</f>
        <v>-9525000</v>
      </c>
      <c r="N10" s="92">
        <f t="shared" si="2"/>
        <v>-4485000</v>
      </c>
      <c r="O10" s="92">
        <f t="shared" si="2"/>
        <v>3383000</v>
      </c>
      <c r="P10" s="92">
        <f t="shared" si="2"/>
        <v>-72076000</v>
      </c>
      <c r="Q10" s="84">
        <f t="shared" ref="Q10" si="3">SUM(Q8:Q9)</f>
        <v>58834000</v>
      </c>
      <c r="R10" s="84">
        <f t="shared" ref="R10" si="4">SUM(R8:R9)</f>
        <v>1227775000</v>
      </c>
      <c r="S10" s="84">
        <f t="shared" ref="S10:T10" si="5">SUM(S8:S9)</f>
        <v>-33099000</v>
      </c>
      <c r="T10" s="84">
        <f t="shared" si="5"/>
        <v>1194676000</v>
      </c>
    </row>
    <row r="11" spans="1:20" x14ac:dyDescent="0.25">
      <c r="A11" s="73">
        <f t="shared" si="0"/>
        <v>4</v>
      </c>
      <c r="B11" s="73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83"/>
      <c r="R11" s="83"/>
      <c r="S11" s="83"/>
      <c r="T11" s="83"/>
    </row>
    <row r="12" spans="1:20" x14ac:dyDescent="0.25">
      <c r="A12" s="73">
        <f t="shared" si="0"/>
        <v>5</v>
      </c>
      <c r="B12" s="78">
        <v>8</v>
      </c>
      <c r="C12" s="91">
        <v>249847000</v>
      </c>
      <c r="D12" s="91">
        <v>25397000</v>
      </c>
      <c r="E12" s="91">
        <v>538000</v>
      </c>
      <c r="F12" s="91">
        <v>862000</v>
      </c>
      <c r="G12" s="91">
        <v>-356000</v>
      </c>
      <c r="H12" s="91">
        <v>962000</v>
      </c>
      <c r="I12" s="91">
        <v>333000</v>
      </c>
      <c r="J12" s="91">
        <v>-5000</v>
      </c>
      <c r="K12" s="91">
        <v>659000</v>
      </c>
      <c r="L12" s="91">
        <v>186000</v>
      </c>
      <c r="M12" s="91">
        <v>-178000</v>
      </c>
      <c r="N12" s="91">
        <v>819000</v>
      </c>
      <c r="O12" s="91">
        <v>300000</v>
      </c>
      <c r="P12" s="91">
        <v>-1671000</v>
      </c>
      <c r="Q12" s="83">
        <v>2449000</v>
      </c>
      <c r="R12" s="83">
        <v>27846000</v>
      </c>
      <c r="S12" s="83">
        <f t="shared" ref="S12:S18" si="6">-K12</f>
        <v>-659000</v>
      </c>
      <c r="T12" s="83">
        <f t="shared" ref="T12:T18" si="7">SUM(R12:S12)</f>
        <v>27187000</v>
      </c>
    </row>
    <row r="13" spans="1:20" x14ac:dyDescent="0.25">
      <c r="A13" s="73">
        <f t="shared" si="0"/>
        <v>6</v>
      </c>
      <c r="B13" s="78">
        <v>24</v>
      </c>
      <c r="C13" s="91">
        <v>2471773000</v>
      </c>
      <c r="D13" s="91">
        <v>251255000</v>
      </c>
      <c r="E13" s="91">
        <v>5326000</v>
      </c>
      <c r="F13" s="91">
        <v>8524000</v>
      </c>
      <c r="G13" s="91">
        <v>-3517000</v>
      </c>
      <c r="H13" s="91">
        <v>9516000</v>
      </c>
      <c r="I13" s="91">
        <v>3297000</v>
      </c>
      <c r="J13" s="91">
        <v>-52000</v>
      </c>
      <c r="K13" s="91">
        <v>6523000</v>
      </c>
      <c r="L13" s="91">
        <v>1837000</v>
      </c>
      <c r="M13" s="91">
        <v>-1762000</v>
      </c>
      <c r="N13" s="91">
        <v>8107000</v>
      </c>
      <c r="O13" s="91">
        <v>2969000</v>
      </c>
      <c r="P13" s="91">
        <v>0</v>
      </c>
      <c r="Q13" s="83">
        <v>40768000</v>
      </c>
      <c r="R13" s="83">
        <v>292023000</v>
      </c>
      <c r="S13" s="83">
        <f t="shared" si="6"/>
        <v>-6523000</v>
      </c>
      <c r="T13" s="83">
        <f t="shared" si="7"/>
        <v>285500000</v>
      </c>
    </row>
    <row r="14" spans="1:20" x14ac:dyDescent="0.25">
      <c r="A14" s="73">
        <f t="shared" si="0"/>
        <v>7</v>
      </c>
      <c r="B14" s="79">
        <v>11</v>
      </c>
      <c r="C14" s="91">
        <v>130211000</v>
      </c>
      <c r="D14" s="91">
        <v>12106000</v>
      </c>
      <c r="E14" s="91">
        <v>290000</v>
      </c>
      <c r="F14" s="91">
        <v>442000</v>
      </c>
      <c r="G14" s="91">
        <v>-188000</v>
      </c>
      <c r="H14" s="91">
        <v>532000</v>
      </c>
      <c r="I14" s="91">
        <v>157000</v>
      </c>
      <c r="J14" s="91">
        <v>-3000</v>
      </c>
      <c r="K14" s="91">
        <v>316000</v>
      </c>
      <c r="L14" s="91">
        <v>93000</v>
      </c>
      <c r="M14" s="91">
        <v>-87000</v>
      </c>
      <c r="N14" s="91">
        <v>385000</v>
      </c>
      <c r="O14" s="91">
        <v>-8000</v>
      </c>
      <c r="P14" s="91">
        <v>-871000</v>
      </c>
      <c r="Q14" s="83">
        <v>1058000</v>
      </c>
      <c r="R14" s="83">
        <v>13164000</v>
      </c>
      <c r="S14" s="83">
        <f t="shared" si="6"/>
        <v>-316000</v>
      </c>
      <c r="T14" s="83">
        <f t="shared" si="7"/>
        <v>12848000</v>
      </c>
    </row>
    <row r="15" spans="1:20" x14ac:dyDescent="0.25">
      <c r="A15" s="73">
        <f t="shared" si="0"/>
        <v>8</v>
      </c>
      <c r="B15" s="79">
        <v>25</v>
      </c>
      <c r="C15" s="91">
        <v>2756860000</v>
      </c>
      <c r="D15" s="91">
        <v>256304000</v>
      </c>
      <c r="E15" s="91">
        <v>6130000</v>
      </c>
      <c r="F15" s="91">
        <v>9351000</v>
      </c>
      <c r="G15" s="91">
        <v>-3986000</v>
      </c>
      <c r="H15" s="91">
        <v>11270000</v>
      </c>
      <c r="I15" s="91">
        <v>3325000</v>
      </c>
      <c r="J15" s="91">
        <v>-61000</v>
      </c>
      <c r="K15" s="91">
        <v>6696000</v>
      </c>
      <c r="L15" s="91">
        <v>1968000</v>
      </c>
      <c r="M15" s="91">
        <v>-1844000</v>
      </c>
      <c r="N15" s="91">
        <v>8149000</v>
      </c>
      <c r="O15" s="91">
        <v>-168000</v>
      </c>
      <c r="P15" s="91">
        <v>0</v>
      </c>
      <c r="Q15" s="83">
        <v>40830000</v>
      </c>
      <c r="R15" s="83">
        <v>297134000</v>
      </c>
      <c r="S15" s="83">
        <f t="shared" si="6"/>
        <v>-6696000</v>
      </c>
      <c r="T15" s="83">
        <f t="shared" si="7"/>
        <v>290438000</v>
      </c>
    </row>
    <row r="16" spans="1:20" x14ac:dyDescent="0.25">
      <c r="A16" s="73">
        <f t="shared" si="0"/>
        <v>9</v>
      </c>
      <c r="B16" s="78">
        <v>12</v>
      </c>
      <c r="C16" s="91">
        <v>15670000</v>
      </c>
      <c r="D16" s="91">
        <v>1335000</v>
      </c>
      <c r="E16" s="91">
        <v>36000</v>
      </c>
      <c r="F16" s="91">
        <v>52000</v>
      </c>
      <c r="G16" s="91">
        <v>-22000</v>
      </c>
      <c r="H16" s="91">
        <v>66000</v>
      </c>
      <c r="I16" s="91">
        <v>18000</v>
      </c>
      <c r="J16" s="91">
        <v>0</v>
      </c>
      <c r="K16" s="91">
        <v>36000</v>
      </c>
      <c r="L16" s="91">
        <v>10000</v>
      </c>
      <c r="M16" s="91">
        <v>-9000</v>
      </c>
      <c r="N16" s="91">
        <v>46000</v>
      </c>
      <c r="O16" s="91">
        <v>5000</v>
      </c>
      <c r="P16" s="91">
        <v>-105000</v>
      </c>
      <c r="Q16" s="83">
        <v>133000</v>
      </c>
      <c r="R16" s="83">
        <v>1468000</v>
      </c>
      <c r="S16" s="83">
        <f t="shared" si="6"/>
        <v>-36000</v>
      </c>
      <c r="T16" s="83">
        <f t="shared" si="7"/>
        <v>1432000</v>
      </c>
    </row>
    <row r="17" spans="1:20" x14ac:dyDescent="0.25">
      <c r="A17" s="73">
        <f t="shared" si="0"/>
        <v>10</v>
      </c>
      <c r="B17" s="78" t="s">
        <v>115</v>
      </c>
      <c r="C17" s="91">
        <v>1808632000</v>
      </c>
      <c r="D17" s="91">
        <v>154082000</v>
      </c>
      <c r="E17" s="91">
        <v>4208000</v>
      </c>
      <c r="F17" s="91">
        <v>5947000</v>
      </c>
      <c r="G17" s="91">
        <v>-2566000</v>
      </c>
      <c r="H17" s="91">
        <v>7596000</v>
      </c>
      <c r="I17" s="91">
        <v>2022000</v>
      </c>
      <c r="J17" s="91">
        <v>-38000</v>
      </c>
      <c r="K17" s="91">
        <v>4173000</v>
      </c>
      <c r="L17" s="91">
        <v>1147000</v>
      </c>
      <c r="M17" s="91">
        <v>-1044000</v>
      </c>
      <c r="N17" s="91">
        <v>4978000</v>
      </c>
      <c r="O17" s="91">
        <v>551000</v>
      </c>
      <c r="P17" s="91">
        <v>0</v>
      </c>
      <c r="Q17" s="83">
        <v>26974000</v>
      </c>
      <c r="R17" s="83">
        <v>181056000</v>
      </c>
      <c r="S17" s="83">
        <f t="shared" si="6"/>
        <v>-4173000</v>
      </c>
      <c r="T17" s="83">
        <f t="shared" si="7"/>
        <v>176883000</v>
      </c>
    </row>
    <row r="18" spans="1:20" x14ac:dyDescent="0.25">
      <c r="A18" s="73">
        <f t="shared" si="0"/>
        <v>11</v>
      </c>
      <c r="B18" s="78">
        <v>29</v>
      </c>
      <c r="C18" s="91">
        <v>15082000</v>
      </c>
      <c r="D18" s="91">
        <v>1219000</v>
      </c>
      <c r="E18" s="91">
        <v>28000</v>
      </c>
      <c r="F18" s="91">
        <v>55000</v>
      </c>
      <c r="G18" s="91">
        <v>-18000</v>
      </c>
      <c r="H18" s="91">
        <v>52000</v>
      </c>
      <c r="I18" s="91">
        <v>16000</v>
      </c>
      <c r="J18" s="91">
        <v>0</v>
      </c>
      <c r="K18" s="91">
        <v>37000</v>
      </c>
      <c r="L18" s="91">
        <v>11000</v>
      </c>
      <c r="M18" s="91">
        <v>-10000</v>
      </c>
      <c r="N18" s="91">
        <v>45000</v>
      </c>
      <c r="O18" s="91">
        <v>-1000</v>
      </c>
      <c r="P18" s="91">
        <v>-101000</v>
      </c>
      <c r="Q18" s="83">
        <v>114000</v>
      </c>
      <c r="R18" s="83">
        <v>1333000</v>
      </c>
      <c r="S18" s="83">
        <f t="shared" si="6"/>
        <v>-37000</v>
      </c>
      <c r="T18" s="83">
        <f t="shared" si="7"/>
        <v>1296000</v>
      </c>
    </row>
    <row r="19" spans="1:20" x14ac:dyDescent="0.25">
      <c r="A19" s="73">
        <f t="shared" si="0"/>
        <v>12</v>
      </c>
      <c r="B19" s="81" t="s">
        <v>12</v>
      </c>
      <c r="C19" s="92">
        <f t="shared" ref="C19" si="8">SUM(C12:C18)</f>
        <v>7448075000</v>
      </c>
      <c r="D19" s="92">
        <f t="shared" ref="D19:L19" si="9">SUM(D12:D18)</f>
        <v>701698000</v>
      </c>
      <c r="E19" s="92">
        <f t="shared" si="9"/>
        <v>16556000</v>
      </c>
      <c r="F19" s="92">
        <f t="shared" si="9"/>
        <v>25233000</v>
      </c>
      <c r="G19" s="92">
        <f t="shared" si="9"/>
        <v>-10653000</v>
      </c>
      <c r="H19" s="92">
        <f t="shared" si="9"/>
        <v>29994000</v>
      </c>
      <c r="I19" s="92">
        <f t="shared" si="9"/>
        <v>9168000</v>
      </c>
      <c r="J19" s="92">
        <f t="shared" si="9"/>
        <v>-159000</v>
      </c>
      <c r="K19" s="92">
        <f t="shared" si="9"/>
        <v>18440000</v>
      </c>
      <c r="L19" s="92">
        <f t="shared" si="9"/>
        <v>5252000</v>
      </c>
      <c r="M19" s="92">
        <f t="shared" ref="M19:P19" si="10">SUM(M12:M18)</f>
        <v>-4934000</v>
      </c>
      <c r="N19" s="92">
        <f t="shared" si="10"/>
        <v>22529000</v>
      </c>
      <c r="O19" s="92">
        <f t="shared" si="10"/>
        <v>3648000</v>
      </c>
      <c r="P19" s="92">
        <f t="shared" si="10"/>
        <v>-2748000</v>
      </c>
      <c r="Q19" s="84">
        <f t="shared" ref="Q19" si="11">SUM(Q12:Q18)</f>
        <v>112326000</v>
      </c>
      <c r="R19" s="84">
        <f t="shared" ref="R19" si="12">SUM(R12:R18)</f>
        <v>814024000</v>
      </c>
      <c r="S19" s="84">
        <f t="shared" ref="S19:T19" si="13">SUM(S12:S18)</f>
        <v>-18440000</v>
      </c>
      <c r="T19" s="84">
        <f t="shared" si="13"/>
        <v>795584000</v>
      </c>
    </row>
    <row r="20" spans="1:20" x14ac:dyDescent="0.25">
      <c r="A20" s="73">
        <f t="shared" si="0"/>
        <v>13</v>
      </c>
      <c r="B20" s="73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83"/>
      <c r="R20" s="83"/>
      <c r="S20" s="83"/>
      <c r="T20" s="83"/>
    </row>
    <row r="21" spans="1:20" x14ac:dyDescent="0.25">
      <c r="A21" s="73">
        <f t="shared" si="0"/>
        <v>14</v>
      </c>
      <c r="B21" s="78">
        <v>10</v>
      </c>
      <c r="C21" s="91">
        <v>23120000</v>
      </c>
      <c r="D21" s="91">
        <v>1938000</v>
      </c>
      <c r="E21" s="91">
        <v>49000</v>
      </c>
      <c r="F21" s="91">
        <v>73000</v>
      </c>
      <c r="G21" s="91">
        <v>-31000</v>
      </c>
      <c r="H21" s="91">
        <v>88000</v>
      </c>
      <c r="I21" s="91">
        <v>26000</v>
      </c>
      <c r="J21" s="91">
        <v>0</v>
      </c>
      <c r="K21" s="91">
        <v>51000</v>
      </c>
      <c r="L21" s="91">
        <v>15000</v>
      </c>
      <c r="M21" s="91">
        <v>-14000</v>
      </c>
      <c r="N21" s="91">
        <v>65000</v>
      </c>
      <c r="O21" s="91">
        <v>21000</v>
      </c>
      <c r="P21" s="91">
        <v>-155000</v>
      </c>
      <c r="Q21" s="83">
        <v>188000</v>
      </c>
      <c r="R21" s="83">
        <v>2126000</v>
      </c>
      <c r="S21" s="83">
        <f>-K21</f>
        <v>-51000</v>
      </c>
      <c r="T21" s="83">
        <f t="shared" ref="T21:T24" si="14">SUM(R21:S21)</f>
        <v>2075000</v>
      </c>
    </row>
    <row r="22" spans="1:20" x14ac:dyDescent="0.25">
      <c r="A22" s="73">
        <f t="shared" si="0"/>
        <v>15</v>
      </c>
      <c r="B22" s="78">
        <v>31</v>
      </c>
      <c r="C22" s="91">
        <v>1306133000</v>
      </c>
      <c r="D22" s="91">
        <v>109491000</v>
      </c>
      <c r="E22" s="91">
        <v>2781000</v>
      </c>
      <c r="F22" s="91">
        <v>4132000</v>
      </c>
      <c r="G22" s="91">
        <v>-1755000</v>
      </c>
      <c r="H22" s="91">
        <v>4992000</v>
      </c>
      <c r="I22" s="91">
        <v>1446000</v>
      </c>
      <c r="J22" s="91">
        <v>-26000</v>
      </c>
      <c r="K22" s="91">
        <v>2902000</v>
      </c>
      <c r="L22" s="91">
        <v>833000</v>
      </c>
      <c r="M22" s="91">
        <v>-771000</v>
      </c>
      <c r="N22" s="91">
        <v>3583000</v>
      </c>
      <c r="O22" s="91">
        <v>1147000</v>
      </c>
      <c r="P22" s="91">
        <v>0</v>
      </c>
      <c r="Q22" s="83">
        <v>19264000</v>
      </c>
      <c r="R22" s="83">
        <v>128755000</v>
      </c>
      <c r="S22" s="83">
        <f>-K22</f>
        <v>-2902000</v>
      </c>
      <c r="T22" s="83">
        <f t="shared" si="14"/>
        <v>125853000</v>
      </c>
    </row>
    <row r="23" spans="1:20" x14ac:dyDescent="0.25">
      <c r="A23" s="73">
        <f t="shared" si="0"/>
        <v>16</v>
      </c>
      <c r="B23" s="78">
        <v>35</v>
      </c>
      <c r="C23" s="91">
        <v>4736000</v>
      </c>
      <c r="D23" s="91">
        <v>304000</v>
      </c>
      <c r="E23" s="91">
        <v>8000</v>
      </c>
      <c r="F23" s="91">
        <v>8000</v>
      </c>
      <c r="G23" s="91">
        <v>-5000</v>
      </c>
      <c r="H23" s="91">
        <v>13000</v>
      </c>
      <c r="I23" s="91">
        <v>4000</v>
      </c>
      <c r="J23" s="91">
        <v>0</v>
      </c>
      <c r="K23" s="91">
        <v>11000</v>
      </c>
      <c r="L23" s="91">
        <v>5000</v>
      </c>
      <c r="M23" s="91">
        <v>-5000</v>
      </c>
      <c r="N23" s="91">
        <v>14000</v>
      </c>
      <c r="O23" s="91">
        <v>0</v>
      </c>
      <c r="P23" s="91">
        <v>-32000</v>
      </c>
      <c r="Q23" s="83">
        <v>21000</v>
      </c>
      <c r="R23" s="83">
        <v>325000</v>
      </c>
      <c r="S23" s="83">
        <f>-K23</f>
        <v>-11000</v>
      </c>
      <c r="T23" s="83">
        <f t="shared" si="14"/>
        <v>314000</v>
      </c>
    </row>
    <row r="24" spans="1:20" x14ac:dyDescent="0.25">
      <c r="A24" s="73">
        <f t="shared" si="0"/>
        <v>17</v>
      </c>
      <c r="B24" s="78">
        <v>43</v>
      </c>
      <c r="C24" s="91">
        <v>119574000</v>
      </c>
      <c r="D24" s="91">
        <v>10852000</v>
      </c>
      <c r="E24" s="91">
        <v>203000</v>
      </c>
      <c r="F24" s="91">
        <v>299000</v>
      </c>
      <c r="G24" s="91">
        <v>-127000</v>
      </c>
      <c r="H24" s="91">
        <v>367000</v>
      </c>
      <c r="I24" s="91">
        <v>139000</v>
      </c>
      <c r="J24" s="91">
        <v>-2000</v>
      </c>
      <c r="K24" s="91">
        <v>365000</v>
      </c>
      <c r="L24" s="91">
        <v>104000</v>
      </c>
      <c r="M24" s="91">
        <v>-97000</v>
      </c>
      <c r="N24" s="91">
        <v>353000</v>
      </c>
      <c r="O24" s="91">
        <v>-7000</v>
      </c>
      <c r="P24" s="91">
        <v>0</v>
      </c>
      <c r="Q24" s="83">
        <v>1597000</v>
      </c>
      <c r="R24" s="83">
        <v>12449000</v>
      </c>
      <c r="S24" s="83">
        <f>-K24</f>
        <v>-365000</v>
      </c>
      <c r="T24" s="83">
        <f t="shared" si="14"/>
        <v>12084000</v>
      </c>
    </row>
    <row r="25" spans="1:20" x14ac:dyDescent="0.25">
      <c r="A25" s="73">
        <f t="shared" si="0"/>
        <v>18</v>
      </c>
      <c r="B25" s="80" t="s">
        <v>15</v>
      </c>
      <c r="C25" s="92">
        <f>SUM(C21:C24)</f>
        <v>1453563000</v>
      </c>
      <c r="D25" s="92">
        <f t="shared" ref="D25:L25" si="15">SUM(D21:D24)</f>
        <v>122585000</v>
      </c>
      <c r="E25" s="92">
        <f t="shared" si="15"/>
        <v>3041000</v>
      </c>
      <c r="F25" s="92">
        <f t="shared" si="15"/>
        <v>4512000</v>
      </c>
      <c r="G25" s="92">
        <f t="shared" si="15"/>
        <v>-1918000</v>
      </c>
      <c r="H25" s="92">
        <f t="shared" si="15"/>
        <v>5460000</v>
      </c>
      <c r="I25" s="92">
        <f t="shared" si="15"/>
        <v>1615000</v>
      </c>
      <c r="J25" s="92">
        <f t="shared" si="15"/>
        <v>-28000</v>
      </c>
      <c r="K25" s="92">
        <f t="shared" si="15"/>
        <v>3329000</v>
      </c>
      <c r="L25" s="92">
        <f t="shared" si="15"/>
        <v>957000</v>
      </c>
      <c r="M25" s="92">
        <f t="shared" ref="M25:P25" si="16">SUM(M21:M24)</f>
        <v>-887000</v>
      </c>
      <c r="N25" s="92">
        <f t="shared" si="16"/>
        <v>4015000</v>
      </c>
      <c r="O25" s="92">
        <f t="shared" si="16"/>
        <v>1161000</v>
      </c>
      <c r="P25" s="92">
        <f t="shared" si="16"/>
        <v>-187000</v>
      </c>
      <c r="Q25" s="84">
        <f t="shared" ref="Q25" si="17">SUM(Q21:Q24)</f>
        <v>21070000</v>
      </c>
      <c r="R25" s="84">
        <f t="shared" ref="R25" si="18">SUM(R21:R24)</f>
        <v>143655000</v>
      </c>
      <c r="S25" s="84">
        <f t="shared" ref="S25:T25" si="19">SUM(S21:S24)</f>
        <v>-3329000</v>
      </c>
      <c r="T25" s="84">
        <f t="shared" si="19"/>
        <v>140326000</v>
      </c>
    </row>
    <row r="26" spans="1:20" x14ac:dyDescent="0.25">
      <c r="A26" s="73">
        <f t="shared" si="0"/>
        <v>19</v>
      </c>
      <c r="B26" s="73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83"/>
      <c r="R26" s="83"/>
      <c r="S26" s="83"/>
      <c r="T26" s="83"/>
    </row>
    <row r="27" spans="1:20" x14ac:dyDescent="0.25">
      <c r="A27" s="129">
        <f t="shared" si="0"/>
        <v>20</v>
      </c>
      <c r="B27" s="78">
        <v>46</v>
      </c>
      <c r="C27" s="91">
        <v>89921000</v>
      </c>
      <c r="D27" s="91">
        <v>6144000</v>
      </c>
      <c r="E27" s="91">
        <v>163000</v>
      </c>
      <c r="F27" s="91">
        <v>201000</v>
      </c>
      <c r="G27" s="91">
        <v>-87000</v>
      </c>
      <c r="H27" s="91">
        <v>320000</v>
      </c>
      <c r="I27" s="91">
        <v>78000</v>
      </c>
      <c r="J27" s="91">
        <v>-1000</v>
      </c>
      <c r="K27" s="91">
        <v>150000</v>
      </c>
      <c r="L27" s="91">
        <v>44000</v>
      </c>
      <c r="M27" s="91">
        <v>-40000</v>
      </c>
      <c r="N27" s="91">
        <v>0</v>
      </c>
      <c r="O27" s="91">
        <v>0</v>
      </c>
      <c r="P27" s="91">
        <v>0</v>
      </c>
      <c r="Q27" s="83">
        <v>828000</v>
      </c>
      <c r="R27" s="83">
        <v>6972000</v>
      </c>
      <c r="S27" s="83">
        <f>-K27</f>
        <v>-150000</v>
      </c>
      <c r="T27" s="83">
        <f t="shared" ref="T27:T28" si="20">SUM(R27:S27)</f>
        <v>6822000</v>
      </c>
    </row>
    <row r="28" spans="1:20" x14ac:dyDescent="0.25">
      <c r="A28" s="73">
        <f t="shared" si="0"/>
        <v>21</v>
      </c>
      <c r="B28" s="78">
        <v>49</v>
      </c>
      <c r="C28" s="91">
        <v>512177000</v>
      </c>
      <c r="D28" s="91">
        <v>34041000</v>
      </c>
      <c r="E28" s="91">
        <v>1007000</v>
      </c>
      <c r="F28" s="91">
        <v>1422000</v>
      </c>
      <c r="G28" s="91">
        <v>-666000</v>
      </c>
      <c r="H28" s="91">
        <v>1787000</v>
      </c>
      <c r="I28" s="91">
        <v>434000</v>
      </c>
      <c r="J28" s="91">
        <v>-10000</v>
      </c>
      <c r="K28" s="91">
        <v>854000</v>
      </c>
      <c r="L28" s="91">
        <v>248000</v>
      </c>
      <c r="M28" s="91">
        <v>-230000</v>
      </c>
      <c r="N28" s="91">
        <v>0</v>
      </c>
      <c r="O28" s="91">
        <v>0</v>
      </c>
      <c r="P28" s="91">
        <v>0</v>
      </c>
      <c r="Q28" s="83">
        <v>4846000</v>
      </c>
      <c r="R28" s="83">
        <v>38887000</v>
      </c>
      <c r="S28" s="83">
        <f>-K28</f>
        <v>-854000</v>
      </c>
      <c r="T28" s="83">
        <f t="shared" si="20"/>
        <v>38033000</v>
      </c>
    </row>
    <row r="29" spans="1:20" x14ac:dyDescent="0.25">
      <c r="A29" s="73">
        <f t="shared" si="0"/>
        <v>22</v>
      </c>
      <c r="B29" s="80" t="s">
        <v>16</v>
      </c>
      <c r="C29" s="92">
        <f>SUM(C27:C28)</f>
        <v>602098000</v>
      </c>
      <c r="D29" s="92">
        <f t="shared" ref="D29:L29" si="21">SUM(D27:D28)</f>
        <v>40185000</v>
      </c>
      <c r="E29" s="92">
        <f t="shared" si="21"/>
        <v>1170000</v>
      </c>
      <c r="F29" s="92">
        <f t="shared" si="21"/>
        <v>1623000</v>
      </c>
      <c r="G29" s="92">
        <f t="shared" si="21"/>
        <v>-753000</v>
      </c>
      <c r="H29" s="92">
        <f t="shared" si="21"/>
        <v>2107000</v>
      </c>
      <c r="I29" s="92">
        <f t="shared" si="21"/>
        <v>512000</v>
      </c>
      <c r="J29" s="92">
        <f t="shared" si="21"/>
        <v>-11000</v>
      </c>
      <c r="K29" s="92">
        <f t="shared" si="21"/>
        <v>1004000</v>
      </c>
      <c r="L29" s="92">
        <f t="shared" si="21"/>
        <v>292000</v>
      </c>
      <c r="M29" s="92">
        <f t="shared" ref="M29:P29" si="22">SUM(M27:M28)</f>
        <v>-270000</v>
      </c>
      <c r="N29" s="92">
        <f t="shared" si="22"/>
        <v>0</v>
      </c>
      <c r="O29" s="92">
        <f t="shared" si="22"/>
        <v>0</v>
      </c>
      <c r="P29" s="92">
        <f t="shared" si="22"/>
        <v>0</v>
      </c>
      <c r="Q29" s="84">
        <f t="shared" ref="Q29" si="23">SUM(Q27:Q28)</f>
        <v>5674000</v>
      </c>
      <c r="R29" s="84">
        <f t="shared" ref="R29" si="24">SUM(R27:R28)</f>
        <v>45859000</v>
      </c>
      <c r="S29" s="84">
        <f t="shared" ref="S29:T29" si="25">SUM(S27:S28)</f>
        <v>-1004000</v>
      </c>
      <c r="T29" s="84">
        <f t="shared" si="25"/>
        <v>44855000</v>
      </c>
    </row>
    <row r="30" spans="1:20" x14ac:dyDescent="0.25">
      <c r="A30" s="73">
        <f t="shared" si="0"/>
        <v>23</v>
      </c>
      <c r="B30" s="78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83"/>
      <c r="R30" s="83"/>
      <c r="S30" s="83"/>
      <c r="T30" s="83"/>
    </row>
    <row r="31" spans="1:20" x14ac:dyDescent="0.25">
      <c r="A31" s="73">
        <f t="shared" si="0"/>
        <v>24</v>
      </c>
      <c r="B31" s="78" t="s">
        <v>18</v>
      </c>
      <c r="C31" s="92">
        <v>63800000</v>
      </c>
      <c r="D31" s="92">
        <v>15639000</v>
      </c>
      <c r="E31" s="92">
        <v>136000</v>
      </c>
      <c r="F31" s="92">
        <v>193000</v>
      </c>
      <c r="G31" s="92">
        <v>-87000</v>
      </c>
      <c r="H31" s="92">
        <v>230000</v>
      </c>
      <c r="I31" s="92">
        <v>188000</v>
      </c>
      <c r="J31" s="92">
        <v>-1000</v>
      </c>
      <c r="K31" s="92">
        <v>593000</v>
      </c>
      <c r="L31" s="92">
        <v>174000</v>
      </c>
      <c r="M31" s="92">
        <v>-160000</v>
      </c>
      <c r="N31" s="92">
        <v>0</v>
      </c>
      <c r="O31" s="92">
        <v>0</v>
      </c>
      <c r="P31" s="92">
        <v>-12000</v>
      </c>
      <c r="Q31" s="84">
        <v>1254000</v>
      </c>
      <c r="R31" s="84">
        <v>16893000</v>
      </c>
      <c r="S31" s="84">
        <f>-K31</f>
        <v>-593000</v>
      </c>
      <c r="T31" s="84">
        <f>SUM(R31:S31)</f>
        <v>16300000</v>
      </c>
    </row>
    <row r="32" spans="1:20" x14ac:dyDescent="0.25">
      <c r="A32" s="73">
        <f t="shared" si="0"/>
        <v>25</v>
      </c>
      <c r="B32" s="78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83"/>
      <c r="R32" s="83"/>
      <c r="S32" s="83"/>
      <c r="T32" s="83"/>
    </row>
    <row r="33" spans="1:20" x14ac:dyDescent="0.25">
      <c r="A33" s="73">
        <f>+A32+1</f>
        <v>26</v>
      </c>
      <c r="B33" s="78" t="s">
        <v>78</v>
      </c>
      <c r="C33" s="92">
        <v>1959816000</v>
      </c>
      <c r="D33" s="92">
        <v>9807000</v>
      </c>
      <c r="E33" s="92">
        <v>0</v>
      </c>
      <c r="F33" s="92">
        <v>0</v>
      </c>
      <c r="G33" s="92">
        <v>0</v>
      </c>
      <c r="H33" s="92">
        <v>2052000</v>
      </c>
      <c r="I33" s="92">
        <v>118000</v>
      </c>
      <c r="J33" s="92">
        <v>0</v>
      </c>
      <c r="K33" s="92">
        <v>43000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84">
        <v>2213000</v>
      </c>
      <c r="R33" s="84">
        <v>12020000</v>
      </c>
      <c r="S33" s="84">
        <f>-K33</f>
        <v>-43000</v>
      </c>
      <c r="T33" s="84">
        <f>SUM(R33:S33)</f>
        <v>11977000</v>
      </c>
    </row>
    <row r="34" spans="1:20" x14ac:dyDescent="0.25">
      <c r="A34" s="119">
        <f t="shared" si="0"/>
        <v>27</v>
      </c>
      <c r="B34" s="78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86"/>
      <c r="R34" s="86"/>
      <c r="S34" s="86"/>
      <c r="T34" s="86"/>
    </row>
    <row r="35" spans="1:20" x14ac:dyDescent="0.25">
      <c r="A35" s="119">
        <f t="shared" si="0"/>
        <v>28</v>
      </c>
      <c r="B35" s="78" t="s">
        <v>294</v>
      </c>
      <c r="C35" s="92">
        <v>289426000</v>
      </c>
      <c r="D35" s="92">
        <v>3711000</v>
      </c>
      <c r="E35" s="92">
        <v>0</v>
      </c>
      <c r="F35" s="92">
        <v>0</v>
      </c>
      <c r="G35" s="92">
        <v>0</v>
      </c>
      <c r="H35" s="92">
        <v>658000</v>
      </c>
      <c r="I35" s="92">
        <v>178000</v>
      </c>
      <c r="J35" s="92">
        <v>0</v>
      </c>
      <c r="K35" s="92">
        <v>140000</v>
      </c>
      <c r="L35" s="92">
        <v>96000</v>
      </c>
      <c r="M35" s="92">
        <v>-81000</v>
      </c>
      <c r="N35" s="92">
        <v>182000</v>
      </c>
      <c r="O35" s="92">
        <v>746000</v>
      </c>
      <c r="P35" s="92">
        <v>0</v>
      </c>
      <c r="Q35" s="84">
        <v>1919000</v>
      </c>
      <c r="R35" s="84">
        <v>5630000</v>
      </c>
      <c r="S35" s="84">
        <f>-K35</f>
        <v>-140000</v>
      </c>
      <c r="T35" s="84">
        <f>SUM(R35:S35)</f>
        <v>5490000</v>
      </c>
    </row>
    <row r="36" spans="1:20" x14ac:dyDescent="0.25">
      <c r="A36" s="119">
        <f t="shared" si="0"/>
        <v>29</v>
      </c>
      <c r="B36" s="7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83"/>
      <c r="R36" s="83"/>
      <c r="S36" s="83"/>
      <c r="T36" s="83"/>
    </row>
    <row r="37" spans="1:20" ht="15.75" thickBot="1" x14ac:dyDescent="0.3">
      <c r="A37" s="119">
        <f t="shared" si="0"/>
        <v>30</v>
      </c>
      <c r="B37" s="80" t="s">
        <v>35</v>
      </c>
      <c r="C37" s="93">
        <f>SUM(C10,C19,C25,C29,C31,C33,C35)</f>
        <v>22591778000</v>
      </c>
      <c r="D37" s="93">
        <f>SUM(D10,D19,D25,D29,D31,D33,D35)</f>
        <v>2062566000</v>
      </c>
      <c r="E37" s="93">
        <f t="shared" ref="E37:S37" si="26">SUM(E10,E19,E25,E29,E31,E33,E35)</f>
        <v>43904000</v>
      </c>
      <c r="F37" s="93">
        <f t="shared" si="26"/>
        <v>67272000</v>
      </c>
      <c r="G37" s="93">
        <f t="shared" si="26"/>
        <v>-28400000</v>
      </c>
      <c r="H37" s="93">
        <f t="shared" si="26"/>
        <v>81716000</v>
      </c>
      <c r="I37" s="93">
        <f t="shared" si="26"/>
        <v>26346000</v>
      </c>
      <c r="J37" s="93">
        <f t="shared" si="26"/>
        <v>-425000</v>
      </c>
      <c r="K37" s="93">
        <f t="shared" si="26"/>
        <v>56648000</v>
      </c>
      <c r="L37" s="93">
        <f t="shared" si="26"/>
        <v>15930000</v>
      </c>
      <c r="M37" s="93">
        <f t="shared" ref="M37:P37" si="27">SUM(M10,M19,M25,M29,M31,M33,M35)</f>
        <v>-15857000</v>
      </c>
      <c r="N37" s="93">
        <f t="shared" si="27"/>
        <v>22241000</v>
      </c>
      <c r="O37" s="93">
        <f t="shared" si="27"/>
        <v>8938000</v>
      </c>
      <c r="P37" s="93">
        <f t="shared" si="27"/>
        <v>-75023000</v>
      </c>
      <c r="Q37" s="93">
        <f t="shared" ref="Q37" si="28">SUM(Q10,Q19,Q25,Q29,Q31,Q33,Q35)</f>
        <v>203290000</v>
      </c>
      <c r="R37" s="93">
        <f t="shared" ref="R37" si="29">SUM(R10,R19,R25,R29,R31,R33,R35)</f>
        <v>2265856000</v>
      </c>
      <c r="S37" s="93">
        <f t="shared" si="26"/>
        <v>-56648000</v>
      </c>
      <c r="T37" s="93">
        <f>SUM(R37:S37)</f>
        <v>2209208000</v>
      </c>
    </row>
    <row r="38" spans="1:20" ht="15.75" thickTop="1" x14ac:dyDescent="0.25">
      <c r="A38" s="73">
        <f t="shared" si="0"/>
        <v>31</v>
      </c>
      <c r="B38" s="78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86"/>
      <c r="R38" s="86"/>
      <c r="S38" s="86"/>
      <c r="T38" s="86"/>
    </row>
    <row r="39" spans="1:20" x14ac:dyDescent="0.25">
      <c r="A39" s="73">
        <f t="shared" si="0"/>
        <v>32</v>
      </c>
      <c r="B39" s="78">
        <v>5</v>
      </c>
      <c r="C39" s="92">
        <v>7101000</v>
      </c>
      <c r="D39" s="92">
        <v>675000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5000</v>
      </c>
      <c r="M39" s="92">
        <v>0</v>
      </c>
      <c r="N39" s="92">
        <v>0</v>
      </c>
      <c r="O39" s="92">
        <v>0</v>
      </c>
      <c r="P39" s="92">
        <v>0</v>
      </c>
      <c r="Q39" s="84">
        <v>5000</v>
      </c>
      <c r="R39" s="84">
        <v>680000</v>
      </c>
      <c r="S39" s="84">
        <f>-K39</f>
        <v>0</v>
      </c>
      <c r="T39" s="84">
        <f>SUM(R39:S39)</f>
        <v>680000</v>
      </c>
    </row>
    <row r="40" spans="1:20" x14ac:dyDescent="0.25">
      <c r="A40" s="73">
        <f t="shared" si="0"/>
        <v>33</v>
      </c>
      <c r="B40" s="78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86"/>
      <c r="R40" s="86"/>
      <c r="S40" s="86"/>
      <c r="T40" s="86"/>
    </row>
    <row r="41" spans="1:20" ht="15.75" thickBot="1" x14ac:dyDescent="0.3">
      <c r="A41" s="73">
        <f t="shared" si="0"/>
        <v>34</v>
      </c>
      <c r="B41" s="80" t="s">
        <v>116</v>
      </c>
      <c r="C41" s="93">
        <f>+C39+C37</f>
        <v>22598879000</v>
      </c>
      <c r="D41" s="93">
        <f>+D39+D37</f>
        <v>2063241000</v>
      </c>
      <c r="E41" s="93">
        <f t="shared" ref="E41:L41" si="30">+E39+E37</f>
        <v>43904000</v>
      </c>
      <c r="F41" s="93">
        <f t="shared" si="30"/>
        <v>67272000</v>
      </c>
      <c r="G41" s="93">
        <f t="shared" si="30"/>
        <v>-28400000</v>
      </c>
      <c r="H41" s="93">
        <f t="shared" si="30"/>
        <v>81716000</v>
      </c>
      <c r="I41" s="93">
        <f t="shared" si="30"/>
        <v>26346000</v>
      </c>
      <c r="J41" s="93">
        <f t="shared" si="30"/>
        <v>-425000</v>
      </c>
      <c r="K41" s="93">
        <f t="shared" si="30"/>
        <v>56648000</v>
      </c>
      <c r="L41" s="93">
        <f t="shared" si="30"/>
        <v>15935000</v>
      </c>
      <c r="M41" s="93">
        <f t="shared" ref="M41:P41" si="31">+M39+M37</f>
        <v>-15857000</v>
      </c>
      <c r="N41" s="93">
        <f t="shared" si="31"/>
        <v>22241000</v>
      </c>
      <c r="O41" s="93">
        <f t="shared" si="31"/>
        <v>8938000</v>
      </c>
      <c r="P41" s="93">
        <f t="shared" si="31"/>
        <v>-75023000</v>
      </c>
      <c r="Q41" s="85">
        <f t="shared" ref="Q41" si="32">+Q39+Q37</f>
        <v>203295000</v>
      </c>
      <c r="R41" s="85">
        <f t="shared" ref="R41" si="33">+R39+R37</f>
        <v>2266536000</v>
      </c>
      <c r="S41" s="85">
        <f t="shared" ref="S41" si="34">+S39+S37</f>
        <v>-56648000</v>
      </c>
      <c r="T41" s="85">
        <f>+T39+T37</f>
        <v>2209888000</v>
      </c>
    </row>
    <row r="42" spans="1:20" ht="15.75" thickTop="1" x14ac:dyDescent="0.25"/>
    <row r="46" spans="1:20" x14ac:dyDescent="0.25">
      <c r="Q46" s="95"/>
      <c r="R46" s="95"/>
    </row>
  </sheetData>
  <mergeCells count="4">
    <mergeCell ref="A1:Q1"/>
    <mergeCell ref="A2:Q2"/>
    <mergeCell ref="A3:Q3"/>
    <mergeCell ref="A4:Q4"/>
  </mergeCells>
  <printOptions horizontalCentered="1"/>
  <pageMargins left="0.7" right="0.7" top="0.75" bottom="0.75" header="0.3" footer="0.3"/>
  <pageSetup scale="47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0.79998168889431442"/>
    <pageSetUpPr fitToPage="1"/>
  </sheetPr>
  <dimension ref="A1:Y71"/>
  <sheetViews>
    <sheetView showGridLines="0" zoomScale="86" zoomScaleNormal="86" workbookViewId="0">
      <pane xSplit="4" ySplit="6" topLeftCell="E7" activePane="bottomRight" state="frozen"/>
      <selection sqref="A1:O26"/>
      <selection pane="topRight" sqref="A1:O26"/>
      <selection pane="bottomLeft" sqref="A1:O26"/>
      <selection pane="bottomRight" activeCell="K32" sqref="K32"/>
    </sheetView>
  </sheetViews>
  <sheetFormatPr defaultColWidth="4.5703125" defaultRowHeight="12.75" x14ac:dyDescent="0.2"/>
  <cols>
    <col min="1" max="1" width="4.7109375" style="132" bestFit="1" customWidth="1"/>
    <col min="2" max="2" width="11.7109375" style="132" bestFit="1" customWidth="1"/>
    <col min="3" max="3" width="50.7109375" style="132" bestFit="1" customWidth="1"/>
    <col min="4" max="4" width="10.7109375" style="133" bestFit="1" customWidth="1"/>
    <col min="5" max="5" width="16.28515625" style="133" bestFit="1" customWidth="1"/>
    <col min="6" max="6" width="15.85546875" style="133" bestFit="1" customWidth="1"/>
    <col min="7" max="15" width="15.28515625" style="133" customWidth="1"/>
    <col min="16" max="16" width="4.5703125" style="145"/>
    <col min="17" max="17" width="17.7109375" style="145" bestFit="1" customWidth="1"/>
    <col min="18" max="18" width="14.28515625" style="145" bestFit="1" customWidth="1"/>
    <col min="19" max="19" width="16" style="145" bestFit="1" customWidth="1"/>
    <col min="20" max="20" width="17.28515625" style="145" bestFit="1" customWidth="1"/>
    <col min="21" max="21" width="17.7109375" style="145" bestFit="1" customWidth="1"/>
    <col min="22" max="25" width="4.5703125" style="145"/>
    <col min="26" max="16384" width="4.5703125" style="144"/>
  </cols>
  <sheetData>
    <row r="1" spans="1:25" x14ac:dyDescent="0.2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25" x14ac:dyDescent="0.2">
      <c r="A2" s="285" t="s">
        <v>402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25" x14ac:dyDescent="0.2">
      <c r="A3" s="284" t="s">
        <v>328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25" s="132" customFormat="1" x14ac:dyDescent="0.2"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s="139" customFormat="1" ht="51" x14ac:dyDescent="0.2">
      <c r="A5" s="141" t="s">
        <v>1</v>
      </c>
      <c r="B5" s="141" t="s">
        <v>176</v>
      </c>
      <c r="C5" s="142" t="s">
        <v>177</v>
      </c>
      <c r="D5" s="141" t="s">
        <v>178</v>
      </c>
      <c r="E5" s="141" t="s">
        <v>35</v>
      </c>
      <c r="F5" s="141" t="s">
        <v>260</v>
      </c>
      <c r="G5" s="141" t="s">
        <v>261</v>
      </c>
      <c r="H5" s="141" t="s">
        <v>262</v>
      </c>
      <c r="I5" s="141" t="s">
        <v>263</v>
      </c>
      <c r="J5" s="141" t="s">
        <v>264</v>
      </c>
      <c r="K5" s="141" t="s">
        <v>294</v>
      </c>
      <c r="L5" s="141" t="s">
        <v>265</v>
      </c>
      <c r="M5" s="141" t="s">
        <v>266</v>
      </c>
      <c r="N5" s="141" t="s">
        <v>267</v>
      </c>
      <c r="O5" s="141" t="s">
        <v>268</v>
      </c>
      <c r="Q5" s="140" t="s">
        <v>252</v>
      </c>
      <c r="R5" s="140" t="s">
        <v>253</v>
      </c>
      <c r="S5" s="140" t="s">
        <v>254</v>
      </c>
      <c r="T5" s="140" t="s">
        <v>255</v>
      </c>
      <c r="U5" s="140" t="s">
        <v>256</v>
      </c>
    </row>
    <row r="6" spans="1:25" s="139" customFormat="1" x14ac:dyDescent="0.25">
      <c r="B6" s="139" t="s">
        <v>30</v>
      </c>
      <c r="C6" s="139" t="s">
        <v>29</v>
      </c>
      <c r="D6" s="139" t="s">
        <v>28</v>
      </c>
      <c r="E6" s="139" t="s">
        <v>32</v>
      </c>
      <c r="F6" s="139" t="s">
        <v>31</v>
      </c>
      <c r="G6" s="139" t="s">
        <v>27</v>
      </c>
      <c r="H6" s="139" t="s">
        <v>121</v>
      </c>
      <c r="I6" s="139" t="s">
        <v>90</v>
      </c>
      <c r="J6" s="139" t="s">
        <v>179</v>
      </c>
      <c r="K6" s="139" t="s">
        <v>180</v>
      </c>
      <c r="L6" s="139" t="s">
        <v>122</v>
      </c>
      <c r="M6" s="139" t="s">
        <v>123</v>
      </c>
      <c r="N6" s="139" t="s">
        <v>124</v>
      </c>
      <c r="O6" s="139" t="s">
        <v>124</v>
      </c>
    </row>
    <row r="7" spans="1:25" x14ac:dyDescent="0.2">
      <c r="A7" s="132">
        <v>1</v>
      </c>
      <c r="C7" s="138" t="s">
        <v>181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25" x14ac:dyDescent="0.2">
      <c r="A8" s="132">
        <f t="shared" ref="A8:A39" si="0">+A7+1</f>
        <v>2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25" x14ac:dyDescent="0.2">
      <c r="A9" s="132">
        <f t="shared" si="0"/>
        <v>3</v>
      </c>
      <c r="C9" s="138" t="s">
        <v>182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25" s="132" customFormat="1" x14ac:dyDescent="0.2">
      <c r="A10" s="132">
        <f t="shared" si="0"/>
        <v>4</v>
      </c>
      <c r="C10" s="138" t="s">
        <v>183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s="132" customFormat="1" ht="15" x14ac:dyDescent="0.25">
      <c r="A11" s="132">
        <f t="shared" si="0"/>
        <v>5</v>
      </c>
      <c r="B11" s="134">
        <v>300</v>
      </c>
      <c r="C11" s="132" t="s">
        <v>320</v>
      </c>
      <c r="D11" s="133" t="s">
        <v>311</v>
      </c>
      <c r="E11" s="146">
        <v>77496384.779840693</v>
      </c>
      <c r="F11" s="146">
        <v>41453121.695942357</v>
      </c>
      <c r="G11" s="146">
        <v>10269779.753896231</v>
      </c>
      <c r="H11" s="146">
        <v>11313259.204122439</v>
      </c>
      <c r="I11" s="146">
        <v>6970459.7389923707</v>
      </c>
      <c r="J11" s="146">
        <v>5212083.5181050021</v>
      </c>
      <c r="K11" s="146">
        <v>0</v>
      </c>
      <c r="L11" s="146">
        <v>2010456.6684885037</v>
      </c>
      <c r="M11" s="146">
        <v>0</v>
      </c>
      <c r="N11" s="146">
        <v>240491.78185012622</v>
      </c>
      <c r="O11" s="146">
        <v>26732.418443676026</v>
      </c>
      <c r="P11" s="133"/>
      <c r="Q11" s="146">
        <v>4865119.2801033482</v>
      </c>
      <c r="R11" s="146">
        <v>12165.574113200002</v>
      </c>
      <c r="S11" s="146">
        <v>334798.66388845362</v>
      </c>
      <c r="T11" s="146">
        <f>SUM(Q11:S11)</f>
        <v>5212083.5181050021</v>
      </c>
      <c r="U11" s="146">
        <f>SUM(Q11:R11)</f>
        <v>4877284.8542165486</v>
      </c>
      <c r="V11" s="133"/>
      <c r="W11" s="133"/>
      <c r="X11" s="133"/>
      <c r="Y11" s="133"/>
    </row>
    <row r="12" spans="1:25" s="132" customFormat="1" ht="15" x14ac:dyDescent="0.25">
      <c r="A12" s="132">
        <f t="shared" si="0"/>
        <v>6</v>
      </c>
      <c r="B12" s="134">
        <v>300.01</v>
      </c>
      <c r="C12" s="132" t="s">
        <v>319</v>
      </c>
      <c r="D12" s="133" t="s">
        <v>312</v>
      </c>
      <c r="E12" s="146">
        <v>48660476.437339872</v>
      </c>
      <c r="F12" s="146">
        <v>32402976.631554358</v>
      </c>
      <c r="G12" s="146">
        <v>5705793.2333934065</v>
      </c>
      <c r="H12" s="146">
        <v>4636061.8834336009</v>
      </c>
      <c r="I12" s="146">
        <v>1993074.6059974332</v>
      </c>
      <c r="J12" s="146">
        <v>2114760.8613127666</v>
      </c>
      <c r="K12" s="146">
        <v>487545.70853830938</v>
      </c>
      <c r="L12" s="146">
        <v>262432.42560238438</v>
      </c>
      <c r="M12" s="146">
        <v>85148.818322857172</v>
      </c>
      <c r="N12" s="146">
        <v>957354.70815934509</v>
      </c>
      <c r="O12" s="146">
        <v>15327.561025404088</v>
      </c>
      <c r="P12" s="133"/>
      <c r="Q12" s="146">
        <v>1684517.3735032908</v>
      </c>
      <c r="R12" s="146">
        <v>19869.285431638196</v>
      </c>
      <c r="S12" s="146">
        <v>410374.20237783773</v>
      </c>
      <c r="T12" s="146">
        <f>SUM(Q12:S12)</f>
        <v>2114760.8613127666</v>
      </c>
      <c r="U12" s="146">
        <f>SUM(Q12:R12)</f>
        <v>1704386.6589349289</v>
      </c>
      <c r="V12" s="133"/>
      <c r="W12" s="133"/>
      <c r="X12" s="133"/>
      <c r="Y12" s="133"/>
    </row>
    <row r="13" spans="1:25" s="132" customFormat="1" ht="15" x14ac:dyDescent="0.25">
      <c r="A13" s="132">
        <f t="shared" si="0"/>
        <v>7</v>
      </c>
      <c r="B13" s="134">
        <v>300.02</v>
      </c>
      <c r="C13" s="132" t="s">
        <v>318</v>
      </c>
      <c r="D13" s="133" t="s">
        <v>187</v>
      </c>
      <c r="E13" s="146">
        <v>388247846.93698829</v>
      </c>
      <c r="F13" s="146">
        <v>238099604.9143123</v>
      </c>
      <c r="G13" s="146">
        <v>46826741.865623482</v>
      </c>
      <c r="H13" s="146">
        <v>42700235.629263133</v>
      </c>
      <c r="I13" s="146">
        <v>23852731.662480194</v>
      </c>
      <c r="J13" s="146">
        <v>19840404.573058944</v>
      </c>
      <c r="K13" s="146">
        <v>2060868.0235037722</v>
      </c>
      <c r="L13" s="146">
        <v>5907094.7037302442</v>
      </c>
      <c r="M13" s="146">
        <v>3521189.0503280703</v>
      </c>
      <c r="N13" s="146">
        <v>5325745.7874946091</v>
      </c>
      <c r="O13" s="146">
        <v>113230.72719358069</v>
      </c>
      <c r="P13" s="133"/>
      <c r="Q13" s="146">
        <v>17667981.347292274</v>
      </c>
      <c r="R13" s="146">
        <v>90148.205922183974</v>
      </c>
      <c r="S13" s="146">
        <v>2082275.0198444889</v>
      </c>
      <c r="T13" s="146">
        <f>SUM(Q13:S13)</f>
        <v>19840404.573058944</v>
      </c>
      <c r="U13" s="146">
        <f>SUM(Q13:R13)</f>
        <v>17758129.553214457</v>
      </c>
      <c r="V13" s="133"/>
      <c r="W13" s="133"/>
      <c r="X13" s="133"/>
      <c r="Y13" s="133"/>
    </row>
    <row r="14" spans="1:25" s="138" customFormat="1" x14ac:dyDescent="0.2">
      <c r="A14" s="135">
        <f t="shared" si="0"/>
        <v>8</v>
      </c>
      <c r="B14" s="136"/>
      <c r="C14" s="135" t="s">
        <v>188</v>
      </c>
      <c r="D14" s="137"/>
      <c r="E14" s="147">
        <f t="shared" ref="E14:O14" si="1">SUM(E11:E13)</f>
        <v>514404708.15416884</v>
      </c>
      <c r="F14" s="147">
        <f t="shared" si="1"/>
        <v>311955703.24180901</v>
      </c>
      <c r="G14" s="147">
        <f t="shared" si="1"/>
        <v>62802314.852913119</v>
      </c>
      <c r="H14" s="147">
        <f t="shared" si="1"/>
        <v>58649556.716819175</v>
      </c>
      <c r="I14" s="147">
        <f t="shared" si="1"/>
        <v>32816266.007469997</v>
      </c>
      <c r="J14" s="147">
        <f t="shared" si="1"/>
        <v>27167248.952476714</v>
      </c>
      <c r="K14" s="147">
        <f t="shared" si="1"/>
        <v>2548413.7320420817</v>
      </c>
      <c r="L14" s="147">
        <f t="shared" si="1"/>
        <v>8179983.7978211325</v>
      </c>
      <c r="M14" s="147">
        <f t="shared" si="1"/>
        <v>3606337.8686509277</v>
      </c>
      <c r="N14" s="147">
        <f t="shared" si="1"/>
        <v>6523592.2775040809</v>
      </c>
      <c r="O14" s="147">
        <f t="shared" si="1"/>
        <v>155290.70666266081</v>
      </c>
      <c r="P14" s="143"/>
      <c r="Q14" s="147">
        <f>SUM(Q11:Q13)</f>
        <v>24217618.000898913</v>
      </c>
      <c r="R14" s="147">
        <f>SUM(R11:R13)</f>
        <v>122183.06546702217</v>
      </c>
      <c r="S14" s="147">
        <f>SUM(S11:S13)</f>
        <v>2827447.8861107803</v>
      </c>
      <c r="T14" s="147">
        <f>SUM(T11:T13)</f>
        <v>27167248.952476714</v>
      </c>
      <c r="U14" s="147">
        <f>SUM(U11:U13)</f>
        <v>24339801.066365935</v>
      </c>
      <c r="V14" s="143"/>
      <c r="W14" s="143"/>
      <c r="X14" s="143"/>
      <c r="Y14" s="143"/>
    </row>
    <row r="15" spans="1:25" s="132" customFormat="1" ht="15" x14ac:dyDescent="0.25">
      <c r="A15" s="132">
        <f t="shared" si="0"/>
        <v>9</v>
      </c>
      <c r="B15" s="134"/>
      <c r="D15" s="133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33"/>
      <c r="Q15" s="146"/>
      <c r="R15" s="146"/>
      <c r="S15" s="146"/>
      <c r="T15" s="146"/>
      <c r="U15" s="146"/>
      <c r="V15" s="133"/>
      <c r="W15" s="133"/>
      <c r="X15" s="133"/>
      <c r="Y15" s="133"/>
    </row>
    <row r="16" spans="1:25" s="132" customFormat="1" ht="15" x14ac:dyDescent="0.25">
      <c r="A16" s="132">
        <f t="shared" si="0"/>
        <v>10</v>
      </c>
      <c r="B16" s="134"/>
      <c r="C16" s="138" t="s">
        <v>184</v>
      </c>
      <c r="D16" s="133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33"/>
      <c r="Q16" s="146"/>
      <c r="R16" s="146"/>
      <c r="S16" s="146"/>
      <c r="T16" s="146"/>
      <c r="U16" s="146"/>
      <c r="V16" s="133"/>
      <c r="W16" s="133"/>
      <c r="X16" s="133"/>
      <c r="Y16" s="133"/>
    </row>
    <row r="17" spans="1:25" s="132" customFormat="1" ht="15" x14ac:dyDescent="0.25">
      <c r="A17" s="132">
        <f t="shared" si="0"/>
        <v>11</v>
      </c>
      <c r="B17" s="134">
        <v>310</v>
      </c>
      <c r="C17" s="132" t="s">
        <v>189</v>
      </c>
      <c r="D17" s="133" t="s">
        <v>311</v>
      </c>
      <c r="E17" s="146">
        <v>1389261654</v>
      </c>
      <c r="F17" s="146">
        <v>743121534.95125341</v>
      </c>
      <c r="G17" s="146">
        <v>184104216.57275817</v>
      </c>
      <c r="H17" s="146">
        <v>202810456.75485992</v>
      </c>
      <c r="I17" s="146">
        <v>124957989.3777447</v>
      </c>
      <c r="J17" s="146">
        <v>93435942.71809566</v>
      </c>
      <c r="K17" s="146">
        <v>0</v>
      </c>
      <c r="L17" s="146">
        <v>36041040.682019413</v>
      </c>
      <c r="M17" s="146">
        <v>0</v>
      </c>
      <c r="N17" s="146">
        <v>4311246.4094379963</v>
      </c>
      <c r="O17" s="146">
        <v>479226.53383106383</v>
      </c>
      <c r="P17" s="133"/>
      <c r="Q17" s="146">
        <v>87215986.619054288</v>
      </c>
      <c r="R17" s="146">
        <v>218089.72976453422</v>
      </c>
      <c r="S17" s="146">
        <v>6001866.3692768374</v>
      </c>
      <c r="T17" s="146">
        <f>SUM(Q17:S17)</f>
        <v>93435942.71809566</v>
      </c>
      <c r="U17" s="146">
        <f>SUM(Q17:R17)</f>
        <v>87434076.348818824</v>
      </c>
      <c r="V17" s="133"/>
      <c r="W17" s="133"/>
      <c r="X17" s="133"/>
      <c r="Y17" s="133"/>
    </row>
    <row r="18" spans="1:25" s="132" customFormat="1" ht="15" x14ac:dyDescent="0.25">
      <c r="A18" s="132">
        <f t="shared" si="0"/>
        <v>12</v>
      </c>
      <c r="B18" s="134">
        <v>330</v>
      </c>
      <c r="C18" s="132" t="s">
        <v>190</v>
      </c>
      <c r="D18" s="133" t="s">
        <v>311</v>
      </c>
      <c r="E18" s="146">
        <v>729618000</v>
      </c>
      <c r="F18" s="146">
        <v>390275544.22664833</v>
      </c>
      <c r="G18" s="146">
        <v>96688589.871194035</v>
      </c>
      <c r="H18" s="146">
        <v>106512808.01605381</v>
      </c>
      <c r="I18" s="146">
        <v>65625937.368463017</v>
      </c>
      <c r="J18" s="146">
        <v>49071062.645259999</v>
      </c>
      <c r="K18" s="146">
        <v>0</v>
      </c>
      <c r="L18" s="146">
        <v>18928178.10426202</v>
      </c>
      <c r="M18" s="146">
        <v>0</v>
      </c>
      <c r="N18" s="146">
        <v>2264197.6575863454</v>
      </c>
      <c r="O18" s="146">
        <v>251682.11053261615</v>
      </c>
      <c r="P18" s="133"/>
      <c r="Q18" s="146">
        <v>45804441.187736943</v>
      </c>
      <c r="R18" s="146">
        <v>114537.23781491483</v>
      </c>
      <c r="S18" s="146">
        <v>3152084.2197081381</v>
      </c>
      <c r="T18" s="146">
        <f>SUM(Q18:S18)</f>
        <v>49071062.645259999</v>
      </c>
      <c r="U18" s="146">
        <f>SUM(Q18:R18)</f>
        <v>45918978.425551862</v>
      </c>
      <c r="V18" s="133"/>
      <c r="W18" s="133"/>
      <c r="X18" s="133"/>
      <c r="Y18" s="133"/>
    </row>
    <row r="19" spans="1:25" s="132" customFormat="1" ht="15" x14ac:dyDescent="0.25">
      <c r="A19" s="132">
        <f t="shared" si="0"/>
        <v>13</v>
      </c>
      <c r="B19" s="134">
        <v>340</v>
      </c>
      <c r="C19" s="132" t="s">
        <v>191</v>
      </c>
      <c r="D19" s="133" t="s">
        <v>311</v>
      </c>
      <c r="E19" s="146">
        <v>1971707000</v>
      </c>
      <c r="F19" s="146">
        <v>1054673846.4244194</v>
      </c>
      <c r="G19" s="146">
        <v>261289564.4969866</v>
      </c>
      <c r="H19" s="146">
        <v>287838360.83390129</v>
      </c>
      <c r="I19" s="146">
        <v>177346392.34635127</v>
      </c>
      <c r="J19" s="146">
        <v>132608786.67343409</v>
      </c>
      <c r="K19" s="146">
        <v>0</v>
      </c>
      <c r="L19" s="146">
        <v>51151179.473944113</v>
      </c>
      <c r="M19" s="146">
        <v>0</v>
      </c>
      <c r="N19" s="146">
        <v>6118728.390536692</v>
      </c>
      <c r="O19" s="146">
        <v>680141.36042687122</v>
      </c>
      <c r="P19" s="133"/>
      <c r="Q19" s="146">
        <v>123781125.63142526</v>
      </c>
      <c r="R19" s="146">
        <v>309523.44043092726</v>
      </c>
      <c r="S19" s="146">
        <v>8518137.6015779134</v>
      </c>
      <c r="T19" s="146">
        <f>SUM(Q19:S19)</f>
        <v>132608786.67343409</v>
      </c>
      <c r="U19" s="146">
        <f>SUM(Q19:R19)</f>
        <v>124090649.07185619</v>
      </c>
      <c r="V19" s="133"/>
      <c r="W19" s="133"/>
      <c r="X19" s="133"/>
      <c r="Y19" s="133"/>
    </row>
    <row r="20" spans="1:25" s="132" customFormat="1" x14ac:dyDescent="0.2">
      <c r="A20" s="135">
        <f t="shared" si="0"/>
        <v>14</v>
      </c>
      <c r="B20" s="136"/>
      <c r="C20" s="135" t="s">
        <v>188</v>
      </c>
      <c r="D20" s="137"/>
      <c r="E20" s="147">
        <f t="shared" ref="E20:O20" si="2">SUM(E17:E19)</f>
        <v>4090586654</v>
      </c>
      <c r="F20" s="147">
        <f t="shared" si="2"/>
        <v>2188070925.6023211</v>
      </c>
      <c r="G20" s="147">
        <f t="shared" si="2"/>
        <v>542082370.94093883</v>
      </c>
      <c r="H20" s="147">
        <f t="shared" si="2"/>
        <v>597161625.60481501</v>
      </c>
      <c r="I20" s="147">
        <f t="shared" si="2"/>
        <v>367930319.09255898</v>
      </c>
      <c r="J20" s="147">
        <f t="shared" si="2"/>
        <v>275115792.03678977</v>
      </c>
      <c r="K20" s="147">
        <f t="shared" si="2"/>
        <v>0</v>
      </c>
      <c r="L20" s="147">
        <f t="shared" si="2"/>
        <v>106120398.26022555</v>
      </c>
      <c r="M20" s="147">
        <f t="shared" si="2"/>
        <v>0</v>
      </c>
      <c r="N20" s="147">
        <f t="shared" si="2"/>
        <v>12694172.457561035</v>
      </c>
      <c r="O20" s="147">
        <f t="shared" si="2"/>
        <v>1411050.004790551</v>
      </c>
      <c r="P20" s="133"/>
      <c r="Q20" s="147">
        <f>SUM(Q17:Q19)</f>
        <v>256801553.43821651</v>
      </c>
      <c r="R20" s="147">
        <f>SUM(R17:R19)</f>
        <v>642150.40801037638</v>
      </c>
      <c r="S20" s="147">
        <f>SUM(S17:S19)</f>
        <v>17672088.190562889</v>
      </c>
      <c r="T20" s="147">
        <f>SUM(T17:T19)</f>
        <v>275115792.03678977</v>
      </c>
      <c r="U20" s="147">
        <f>SUM(U17:U19)</f>
        <v>257443703.84622687</v>
      </c>
      <c r="V20" s="133"/>
      <c r="W20" s="133"/>
      <c r="X20" s="133"/>
      <c r="Y20" s="133"/>
    </row>
    <row r="21" spans="1:25" s="132" customFormat="1" ht="15" x14ac:dyDescent="0.25">
      <c r="A21" s="132">
        <f t="shared" si="0"/>
        <v>15</v>
      </c>
      <c r="B21" s="134"/>
      <c r="D21" s="133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33"/>
      <c r="Q21" s="146"/>
      <c r="R21" s="146"/>
      <c r="S21" s="146"/>
      <c r="T21" s="146"/>
      <c r="U21" s="146"/>
      <c r="V21" s="133"/>
      <c r="W21" s="133"/>
      <c r="X21" s="133"/>
      <c r="Y21" s="133"/>
    </row>
    <row r="22" spans="1:25" s="132" customFormat="1" ht="15" x14ac:dyDescent="0.25">
      <c r="A22" s="132">
        <f t="shared" si="0"/>
        <v>16</v>
      </c>
      <c r="B22" s="134"/>
      <c r="C22" s="138" t="s">
        <v>185</v>
      </c>
      <c r="D22" s="133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33"/>
      <c r="Q22" s="146"/>
      <c r="R22" s="146"/>
      <c r="S22" s="146"/>
      <c r="T22" s="146"/>
      <c r="U22" s="146"/>
      <c r="V22" s="133"/>
      <c r="W22" s="133"/>
      <c r="X22" s="133"/>
      <c r="Y22" s="133"/>
    </row>
    <row r="23" spans="1:25" s="132" customFormat="1" ht="15" x14ac:dyDescent="0.25">
      <c r="A23" s="132">
        <f t="shared" si="0"/>
        <v>17</v>
      </c>
      <c r="B23" s="134">
        <v>350</v>
      </c>
      <c r="C23" s="132" t="s">
        <v>317</v>
      </c>
      <c r="D23" s="133" t="s">
        <v>313</v>
      </c>
      <c r="E23" s="146">
        <v>1233537389.476027</v>
      </c>
      <c r="F23" s="146">
        <v>599230131.01372826</v>
      </c>
      <c r="G23" s="146">
        <v>148376401.77503225</v>
      </c>
      <c r="H23" s="146">
        <v>163419106.09784052</v>
      </c>
      <c r="I23" s="146">
        <v>100584174.46874896</v>
      </c>
      <c r="J23" s="146">
        <v>75185929.540188134</v>
      </c>
      <c r="K23" s="146">
        <v>17142065.432192277</v>
      </c>
      <c r="L23" s="146">
        <v>28981938.820339769</v>
      </c>
      <c r="M23" s="146">
        <v>96764949.440437227</v>
      </c>
      <c r="N23" s="146">
        <v>3466288.137843214</v>
      </c>
      <c r="O23" s="146">
        <v>386404.74967658328</v>
      </c>
      <c r="P23" s="133"/>
      <c r="Q23" s="146">
        <v>70209052.605483279</v>
      </c>
      <c r="R23" s="146">
        <v>174517.73433906786</v>
      </c>
      <c r="S23" s="146">
        <v>4802359.2003657883</v>
      </c>
      <c r="T23" s="146">
        <f>SUM(Q23:S23)</f>
        <v>75185929.540188134</v>
      </c>
      <c r="U23" s="146">
        <f>SUM(Q23:R23)</f>
        <v>70383570.339822352</v>
      </c>
      <c r="V23" s="133"/>
      <c r="W23" s="133"/>
      <c r="X23" s="133"/>
      <c r="Y23" s="133"/>
    </row>
    <row r="24" spans="1:25" s="132" customFormat="1" ht="15" x14ac:dyDescent="0.25">
      <c r="A24" s="132">
        <f t="shared" si="0"/>
        <v>18</v>
      </c>
      <c r="B24" s="134">
        <v>350.01</v>
      </c>
      <c r="C24" s="132" t="s">
        <v>316</v>
      </c>
      <c r="D24" s="133" t="s">
        <v>311</v>
      </c>
      <c r="E24" s="146">
        <v>176754568</v>
      </c>
      <c r="F24" s="146">
        <v>94546715.158817515</v>
      </c>
      <c r="G24" s="146">
        <v>23423421.47974978</v>
      </c>
      <c r="H24" s="146">
        <v>25803400.364772428</v>
      </c>
      <c r="I24" s="146">
        <v>15898297.751916397</v>
      </c>
      <c r="J24" s="146">
        <v>11887774.80704131</v>
      </c>
      <c r="K24" s="146">
        <v>0</v>
      </c>
      <c r="L24" s="146">
        <v>4585470.6762249451</v>
      </c>
      <c r="M24" s="146">
        <v>0</v>
      </c>
      <c r="N24" s="146">
        <v>548516.18084159982</v>
      </c>
      <c r="O24" s="146">
        <v>60971.580636059989</v>
      </c>
      <c r="P24" s="133"/>
      <c r="Q24" s="146">
        <v>11096415.130410502</v>
      </c>
      <c r="R24" s="146">
        <v>27747.369157406392</v>
      </c>
      <c r="S24" s="146">
        <v>763612.30747340259</v>
      </c>
      <c r="T24" s="146">
        <f>SUM(Q24:S24)</f>
        <v>11887774.80704131</v>
      </c>
      <c r="U24" s="146">
        <f>SUM(Q24:R24)</f>
        <v>11124162.499567907</v>
      </c>
      <c r="V24" s="133"/>
      <c r="W24" s="133"/>
      <c r="X24" s="133"/>
      <c r="Y24" s="133"/>
    </row>
    <row r="25" spans="1:25" s="132" customFormat="1" ht="15" x14ac:dyDescent="0.25">
      <c r="A25" s="132">
        <f t="shared" si="0"/>
        <v>19</v>
      </c>
      <c r="B25" s="134">
        <v>350.02</v>
      </c>
      <c r="C25" s="132" t="s">
        <v>315</v>
      </c>
      <c r="D25" s="133" t="s">
        <v>206</v>
      </c>
      <c r="E25" s="146">
        <v>405246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405246</v>
      </c>
      <c r="N25" s="146">
        <v>0</v>
      </c>
      <c r="O25" s="146">
        <v>0</v>
      </c>
      <c r="P25" s="133"/>
      <c r="Q25" s="146">
        <v>0</v>
      </c>
      <c r="R25" s="146">
        <v>0</v>
      </c>
      <c r="S25" s="146">
        <v>0</v>
      </c>
      <c r="T25" s="146">
        <f>SUM(Q25:S25)</f>
        <v>0</v>
      </c>
      <c r="U25" s="146">
        <f>SUM(Q25:R25)</f>
        <v>0</v>
      </c>
      <c r="V25" s="133"/>
      <c r="W25" s="133"/>
      <c r="X25" s="133"/>
      <c r="Y25" s="133"/>
    </row>
    <row r="26" spans="1:25" s="132" customFormat="1" ht="15" x14ac:dyDescent="0.25">
      <c r="A26" s="132">
        <f t="shared" si="0"/>
        <v>20</v>
      </c>
      <c r="B26" s="134">
        <v>350.03</v>
      </c>
      <c r="C26" s="132" t="s">
        <v>314</v>
      </c>
      <c r="D26" s="133" t="s">
        <v>311</v>
      </c>
      <c r="E26" s="146">
        <v>185680043</v>
      </c>
      <c r="F26" s="146">
        <v>99320986.918980151</v>
      </c>
      <c r="G26" s="146">
        <v>24606220.686568413</v>
      </c>
      <c r="H26" s="146">
        <v>27106380.013200901</v>
      </c>
      <c r="I26" s="146">
        <v>16701105.061129961</v>
      </c>
      <c r="J26" s="146">
        <v>12488065.017622329</v>
      </c>
      <c r="K26" s="146">
        <v>0</v>
      </c>
      <c r="L26" s="146">
        <v>4817020.5838000579</v>
      </c>
      <c r="M26" s="146">
        <v>0</v>
      </c>
      <c r="N26" s="146">
        <v>576214.29079481575</v>
      </c>
      <c r="O26" s="146">
        <v>64050.427903405507</v>
      </c>
      <c r="P26" s="133"/>
      <c r="Q26" s="146">
        <v>11656744.500999106</v>
      </c>
      <c r="R26" s="146">
        <v>29148.512293521562</v>
      </c>
      <c r="S26" s="146">
        <v>802172.004329702</v>
      </c>
      <c r="T26" s="146">
        <f>SUM(Q26:S26)</f>
        <v>12488065.017622329</v>
      </c>
      <c r="U26" s="146">
        <f>SUM(Q26:R26)</f>
        <v>11685893.013292627</v>
      </c>
      <c r="V26" s="133"/>
      <c r="W26" s="133"/>
      <c r="X26" s="133"/>
      <c r="Y26" s="133"/>
    </row>
    <row r="27" spans="1:25" s="132" customFormat="1" x14ac:dyDescent="0.2">
      <c r="A27" s="135">
        <f t="shared" si="0"/>
        <v>21</v>
      </c>
      <c r="B27" s="136"/>
      <c r="C27" s="135" t="s">
        <v>188</v>
      </c>
      <c r="D27" s="137"/>
      <c r="E27" s="147">
        <f t="shared" ref="E27:O27" si="3">SUM(E23:E26)</f>
        <v>1596377246.476027</v>
      </c>
      <c r="F27" s="147">
        <f t="shared" si="3"/>
        <v>793097833.09152591</v>
      </c>
      <c r="G27" s="147">
        <f t="shared" si="3"/>
        <v>196406043.94135043</v>
      </c>
      <c r="H27" s="147">
        <f t="shared" si="3"/>
        <v>216328886.47581387</v>
      </c>
      <c r="I27" s="147">
        <f t="shared" si="3"/>
        <v>133183577.28179531</v>
      </c>
      <c r="J27" s="147">
        <f t="shared" si="3"/>
        <v>99561769.364851773</v>
      </c>
      <c r="K27" s="147">
        <f t="shared" si="3"/>
        <v>17142065.432192277</v>
      </c>
      <c r="L27" s="147">
        <f t="shared" si="3"/>
        <v>38384430.080364771</v>
      </c>
      <c r="M27" s="147">
        <f t="shared" si="3"/>
        <v>97170195.440437227</v>
      </c>
      <c r="N27" s="147">
        <f t="shared" si="3"/>
        <v>4591018.6094796294</v>
      </c>
      <c r="O27" s="147">
        <f t="shared" si="3"/>
        <v>511426.75821604877</v>
      </c>
      <c r="P27" s="133"/>
      <c r="Q27" s="147">
        <f>SUM(Q23:Q26)</f>
        <v>92962212.236892894</v>
      </c>
      <c r="R27" s="147">
        <f>SUM(R23:R26)</f>
        <v>231413.61578999582</v>
      </c>
      <c r="S27" s="147">
        <f>SUM(S23:S26)</f>
        <v>6368143.5121688927</v>
      </c>
      <c r="T27" s="147">
        <f>SUM(T23:T26)</f>
        <v>99561769.364851773</v>
      </c>
      <c r="U27" s="147">
        <f>SUM(U23:U26)</f>
        <v>93193625.852682889</v>
      </c>
      <c r="V27" s="133"/>
      <c r="W27" s="133"/>
      <c r="X27" s="133"/>
      <c r="Y27" s="133"/>
    </row>
    <row r="28" spans="1:25" s="132" customFormat="1" ht="15" x14ac:dyDescent="0.25">
      <c r="A28" s="132">
        <f t="shared" si="0"/>
        <v>22</v>
      </c>
      <c r="B28" s="134"/>
      <c r="D28" s="133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33"/>
      <c r="Q28" s="146"/>
      <c r="R28" s="146"/>
      <c r="S28" s="146"/>
      <c r="T28" s="146"/>
      <c r="U28" s="146"/>
      <c r="V28" s="133"/>
      <c r="W28" s="133"/>
      <c r="X28" s="133"/>
      <c r="Y28" s="133"/>
    </row>
    <row r="29" spans="1:25" s="132" customFormat="1" ht="15" x14ac:dyDescent="0.25">
      <c r="A29" s="132">
        <f t="shared" si="0"/>
        <v>23</v>
      </c>
      <c r="B29" s="134"/>
      <c r="C29" s="138" t="s">
        <v>192</v>
      </c>
      <c r="D29" s="133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33"/>
      <c r="Q29" s="146"/>
      <c r="R29" s="146"/>
      <c r="S29" s="146"/>
      <c r="T29" s="146"/>
      <c r="U29" s="146"/>
      <c r="V29" s="133"/>
      <c r="W29" s="133"/>
      <c r="X29" s="133"/>
      <c r="Y29" s="133"/>
    </row>
    <row r="30" spans="1:25" s="132" customFormat="1" ht="15" x14ac:dyDescent="0.25">
      <c r="A30" s="132">
        <f t="shared" si="0"/>
        <v>24</v>
      </c>
      <c r="B30" s="134">
        <v>360.01</v>
      </c>
      <c r="C30" s="132" t="s">
        <v>193</v>
      </c>
      <c r="D30" s="133" t="s">
        <v>194</v>
      </c>
      <c r="E30" s="146">
        <v>3584294.5099956198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3561622.1547956197</v>
      </c>
      <c r="L30" s="146">
        <v>22672.355200000002</v>
      </c>
      <c r="M30" s="146">
        <v>0</v>
      </c>
      <c r="N30" s="146">
        <v>0</v>
      </c>
      <c r="O30" s="146">
        <v>0</v>
      </c>
      <c r="P30" s="133"/>
      <c r="Q30" s="146">
        <v>0</v>
      </c>
      <c r="R30" s="146">
        <v>0</v>
      </c>
      <c r="S30" s="146">
        <v>0</v>
      </c>
      <c r="T30" s="146">
        <f t="shared" ref="T30:T50" si="4">SUM(Q30:S30)</f>
        <v>0</v>
      </c>
      <c r="U30" s="146">
        <f t="shared" ref="U30:U50" si="5">SUM(Q30:R30)</f>
        <v>0</v>
      </c>
      <c r="V30" s="133"/>
      <c r="W30" s="133"/>
      <c r="X30" s="133"/>
      <c r="Y30" s="133"/>
    </row>
    <row r="31" spans="1:25" s="132" customFormat="1" ht="15" x14ac:dyDescent="0.25">
      <c r="A31" s="132">
        <f t="shared" si="0"/>
        <v>25</v>
      </c>
      <c r="B31" s="134">
        <v>360.02</v>
      </c>
      <c r="C31" s="132" t="s">
        <v>195</v>
      </c>
      <c r="D31" s="133" t="s">
        <v>196</v>
      </c>
      <c r="E31" s="146">
        <v>47903705.490004383</v>
      </c>
      <c r="F31" s="146">
        <v>21741743.528318834</v>
      </c>
      <c r="G31" s="146">
        <v>7009017.0714245131</v>
      </c>
      <c r="H31" s="146">
        <v>9118962.3590785321</v>
      </c>
      <c r="I31" s="146">
        <v>5359289.5306215016</v>
      </c>
      <c r="J31" s="146">
        <v>4640901.3287207689</v>
      </c>
      <c r="K31" s="146">
        <v>0</v>
      </c>
      <c r="L31" s="146">
        <v>0</v>
      </c>
      <c r="M31" s="146">
        <v>0</v>
      </c>
      <c r="N31" s="146">
        <v>30858.711539461285</v>
      </c>
      <c r="O31" s="146">
        <v>2932.9603007722035</v>
      </c>
      <c r="P31" s="133"/>
      <c r="Q31" s="146">
        <v>4414267.9237825638</v>
      </c>
      <c r="R31" s="146">
        <v>966.26645516288909</v>
      </c>
      <c r="S31" s="146">
        <v>225667.13848304198</v>
      </c>
      <c r="T31" s="146">
        <f t="shared" si="4"/>
        <v>4640901.3287207689</v>
      </c>
      <c r="U31" s="146">
        <f t="shared" si="5"/>
        <v>4415234.190237727</v>
      </c>
      <c r="V31" s="133"/>
      <c r="W31" s="133"/>
      <c r="X31" s="133"/>
      <c r="Y31" s="133"/>
    </row>
    <row r="32" spans="1:25" s="132" customFormat="1" ht="15" x14ac:dyDescent="0.25">
      <c r="A32" s="132">
        <f t="shared" si="0"/>
        <v>26</v>
      </c>
      <c r="B32" s="134">
        <v>361.01</v>
      </c>
      <c r="C32" s="132" t="s">
        <v>197</v>
      </c>
      <c r="D32" s="133" t="s">
        <v>198</v>
      </c>
      <c r="E32" s="146">
        <v>598299.79449141794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242390.36241461791</v>
      </c>
      <c r="L32" s="146">
        <v>162866.1520768</v>
      </c>
      <c r="M32" s="146">
        <v>193043.28</v>
      </c>
      <c r="N32" s="146">
        <v>0</v>
      </c>
      <c r="O32" s="146">
        <v>0</v>
      </c>
      <c r="P32" s="133"/>
      <c r="Q32" s="146">
        <v>0</v>
      </c>
      <c r="R32" s="146">
        <v>0</v>
      </c>
      <c r="S32" s="146">
        <v>0</v>
      </c>
      <c r="T32" s="146">
        <f t="shared" si="4"/>
        <v>0</v>
      </c>
      <c r="U32" s="146">
        <f t="shared" si="5"/>
        <v>0</v>
      </c>
      <c r="V32" s="133"/>
      <c r="W32" s="133"/>
      <c r="X32" s="133"/>
      <c r="Y32" s="133"/>
    </row>
    <row r="33" spans="1:25" s="132" customFormat="1" ht="15" x14ac:dyDescent="0.25">
      <c r="A33" s="132">
        <f t="shared" si="0"/>
        <v>27</v>
      </c>
      <c r="B33" s="134">
        <v>361.02</v>
      </c>
      <c r="C33" s="132" t="s">
        <v>199</v>
      </c>
      <c r="D33" s="133" t="s">
        <v>200</v>
      </c>
      <c r="E33" s="146">
        <v>7504700.2055085823</v>
      </c>
      <c r="F33" s="146">
        <v>3820437.6002308587</v>
      </c>
      <c r="G33" s="146">
        <v>1051706.37135761</v>
      </c>
      <c r="H33" s="146">
        <v>1306197.3366424269</v>
      </c>
      <c r="I33" s="146">
        <v>759664.43838272104</v>
      </c>
      <c r="J33" s="146">
        <v>560035.2167259726</v>
      </c>
      <c r="K33" s="146">
        <v>0</v>
      </c>
      <c r="L33" s="146">
        <v>0</v>
      </c>
      <c r="M33" s="146">
        <v>0</v>
      </c>
      <c r="N33" s="146">
        <v>5805.14555529883</v>
      </c>
      <c r="O33" s="146">
        <v>854.09661369412947</v>
      </c>
      <c r="P33" s="133"/>
      <c r="Q33" s="146">
        <v>498719.75639976206</v>
      </c>
      <c r="R33" s="146">
        <v>1.0845671285004819</v>
      </c>
      <c r="S33" s="146">
        <v>61314.375759082002</v>
      </c>
      <c r="T33" s="146">
        <f t="shared" si="4"/>
        <v>560035.2167259726</v>
      </c>
      <c r="U33" s="146">
        <f t="shared" si="5"/>
        <v>498720.84096689057</v>
      </c>
      <c r="V33" s="133"/>
      <c r="W33" s="133"/>
      <c r="X33" s="133"/>
      <c r="Y33" s="133"/>
    </row>
    <row r="34" spans="1:25" s="132" customFormat="1" ht="15" x14ac:dyDescent="0.25">
      <c r="A34" s="132">
        <f t="shared" si="0"/>
        <v>28</v>
      </c>
      <c r="B34" s="134">
        <v>362.01</v>
      </c>
      <c r="C34" s="132" t="s">
        <v>201</v>
      </c>
      <c r="D34" s="133" t="s">
        <v>202</v>
      </c>
      <c r="E34" s="146">
        <v>31963716.521255195</v>
      </c>
      <c r="F34" s="146">
        <v>0</v>
      </c>
      <c r="G34" s="146">
        <v>0</v>
      </c>
      <c r="H34" s="146">
        <v>0</v>
      </c>
      <c r="I34" s="146">
        <v>0</v>
      </c>
      <c r="J34" s="146">
        <v>775891.62600000005</v>
      </c>
      <c r="K34" s="146">
        <v>10309974.6572004</v>
      </c>
      <c r="L34" s="146">
        <v>14591388.153054798</v>
      </c>
      <c r="M34" s="146">
        <v>6286462.084999999</v>
      </c>
      <c r="N34" s="146">
        <v>0</v>
      </c>
      <c r="O34" s="146">
        <v>0</v>
      </c>
      <c r="P34" s="133"/>
      <c r="Q34" s="146">
        <v>775891.62600000005</v>
      </c>
      <c r="R34" s="146">
        <v>0</v>
      </c>
      <c r="S34" s="146">
        <v>0</v>
      </c>
      <c r="T34" s="146">
        <f t="shared" si="4"/>
        <v>775891.62600000005</v>
      </c>
      <c r="U34" s="146">
        <f t="shared" si="5"/>
        <v>775891.62600000005</v>
      </c>
      <c r="V34" s="133"/>
      <c r="W34" s="133"/>
      <c r="X34" s="133"/>
      <c r="Y34" s="133"/>
    </row>
    <row r="35" spans="1:25" s="132" customFormat="1" ht="15" x14ac:dyDescent="0.25">
      <c r="A35" s="132">
        <f t="shared" si="0"/>
        <v>29</v>
      </c>
      <c r="B35" s="134">
        <v>362.02</v>
      </c>
      <c r="C35" s="132" t="s">
        <v>203</v>
      </c>
      <c r="D35" s="133" t="s">
        <v>204</v>
      </c>
      <c r="E35" s="146">
        <v>439222283.4787448</v>
      </c>
      <c r="F35" s="146">
        <v>245172012.49877518</v>
      </c>
      <c r="G35" s="146">
        <v>59276205.92702511</v>
      </c>
      <c r="H35" s="146">
        <v>65132080.749197923</v>
      </c>
      <c r="I35" s="146">
        <v>34656237.881569348</v>
      </c>
      <c r="J35" s="146">
        <v>34510634.081663273</v>
      </c>
      <c r="K35" s="146">
        <v>0</v>
      </c>
      <c r="L35" s="146">
        <v>0</v>
      </c>
      <c r="M35" s="146">
        <v>0</v>
      </c>
      <c r="N35" s="146">
        <v>354330.73590944649</v>
      </c>
      <c r="O35" s="146">
        <v>120781.60460452207</v>
      </c>
      <c r="P35" s="133"/>
      <c r="Q35" s="146">
        <v>30853949.816595841</v>
      </c>
      <c r="R35" s="146">
        <v>113449.85596689511</v>
      </c>
      <c r="S35" s="146">
        <v>3543234.4091005395</v>
      </c>
      <c r="T35" s="146">
        <f t="shared" si="4"/>
        <v>34510634.081663273</v>
      </c>
      <c r="U35" s="146">
        <f t="shared" si="5"/>
        <v>30967399.672562737</v>
      </c>
      <c r="V35" s="133"/>
      <c r="W35" s="133"/>
      <c r="X35" s="133"/>
      <c r="Y35" s="133"/>
    </row>
    <row r="36" spans="1:25" s="132" customFormat="1" ht="15" x14ac:dyDescent="0.25">
      <c r="A36" s="132">
        <f t="shared" si="0"/>
        <v>30</v>
      </c>
      <c r="B36" s="134">
        <v>363.01</v>
      </c>
      <c r="C36" s="132" t="s">
        <v>205</v>
      </c>
      <c r="D36" s="133" t="s">
        <v>204</v>
      </c>
      <c r="E36" s="146">
        <v>1101000</v>
      </c>
      <c r="F36" s="146">
        <v>614573.52214283624</v>
      </c>
      <c r="G36" s="146">
        <v>148587.86810349277</v>
      </c>
      <c r="H36" s="146">
        <v>163266.80954550701</v>
      </c>
      <c r="I36" s="146">
        <v>86872.910011302622</v>
      </c>
      <c r="J36" s="146">
        <v>86507.924468158293</v>
      </c>
      <c r="K36" s="146">
        <v>0</v>
      </c>
      <c r="L36" s="146">
        <v>0</v>
      </c>
      <c r="M36" s="146">
        <v>0</v>
      </c>
      <c r="N36" s="146">
        <v>888.20206740530625</v>
      </c>
      <c r="O36" s="146">
        <v>302.76366129774038</v>
      </c>
      <c r="P36" s="133"/>
      <c r="Q36" s="146">
        <v>77341.701516188972</v>
      </c>
      <c r="R36" s="146">
        <v>284.38514191549706</v>
      </c>
      <c r="S36" s="146">
        <v>8881.837810053823</v>
      </c>
      <c r="T36" s="146">
        <f t="shared" si="4"/>
        <v>86507.924468158293</v>
      </c>
      <c r="U36" s="146">
        <f t="shared" si="5"/>
        <v>77626.086658104468</v>
      </c>
      <c r="V36" s="133"/>
      <c r="W36" s="133"/>
      <c r="X36" s="133"/>
      <c r="Y36" s="133"/>
    </row>
    <row r="37" spans="1:25" s="132" customFormat="1" ht="15" x14ac:dyDescent="0.25">
      <c r="A37" s="132">
        <f t="shared" si="0"/>
        <v>31</v>
      </c>
      <c r="B37" s="134">
        <v>364.01</v>
      </c>
      <c r="C37" s="132" t="s">
        <v>207</v>
      </c>
      <c r="D37" s="133" t="s">
        <v>208</v>
      </c>
      <c r="E37" s="146">
        <v>391509930.108778</v>
      </c>
      <c r="F37" s="146">
        <v>269833753.4777205</v>
      </c>
      <c r="G37" s="146">
        <v>49303277.846063584</v>
      </c>
      <c r="H37" s="146">
        <v>38329822.254128896</v>
      </c>
      <c r="I37" s="146">
        <v>15162676.965196848</v>
      </c>
      <c r="J37" s="146">
        <v>18373115.648320116</v>
      </c>
      <c r="K37" s="146">
        <v>0</v>
      </c>
      <c r="L37" s="146">
        <v>0</v>
      </c>
      <c r="M37" s="146">
        <v>0</v>
      </c>
      <c r="N37" s="146">
        <v>237125.73810917835</v>
      </c>
      <c r="O37" s="146">
        <v>270158.17923881515</v>
      </c>
      <c r="P37" s="133"/>
      <c r="Q37" s="146">
        <v>14192938.872033939</v>
      </c>
      <c r="R37" s="146">
        <v>355491.98549037683</v>
      </c>
      <c r="S37" s="146">
        <v>3824684.7907958021</v>
      </c>
      <c r="T37" s="146">
        <f t="shared" si="4"/>
        <v>18373115.648320116</v>
      </c>
      <c r="U37" s="146">
        <f t="shared" si="5"/>
        <v>14548430.857524315</v>
      </c>
      <c r="V37" s="133"/>
      <c r="W37" s="133"/>
      <c r="X37" s="133"/>
      <c r="Y37" s="133"/>
    </row>
    <row r="38" spans="1:25" s="132" customFormat="1" ht="15" x14ac:dyDescent="0.25">
      <c r="A38" s="132">
        <f t="shared" si="0"/>
        <v>32</v>
      </c>
      <c r="B38" s="134">
        <v>365.01</v>
      </c>
      <c r="C38" s="132" t="s">
        <v>209</v>
      </c>
      <c r="D38" s="133" t="s">
        <v>210</v>
      </c>
      <c r="E38" s="146">
        <v>67009.356344389787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67009.356344389787</v>
      </c>
      <c r="L38" s="146">
        <v>0</v>
      </c>
      <c r="M38" s="146">
        <v>0</v>
      </c>
      <c r="N38" s="146">
        <v>0</v>
      </c>
      <c r="O38" s="146">
        <v>0</v>
      </c>
      <c r="P38" s="133"/>
      <c r="Q38" s="146">
        <v>0</v>
      </c>
      <c r="R38" s="146">
        <v>0</v>
      </c>
      <c r="S38" s="146">
        <v>0</v>
      </c>
      <c r="T38" s="146">
        <f t="shared" si="4"/>
        <v>0</v>
      </c>
      <c r="U38" s="146">
        <f t="shared" si="5"/>
        <v>0</v>
      </c>
      <c r="V38" s="133"/>
      <c r="W38" s="133"/>
      <c r="X38" s="133"/>
      <c r="Y38" s="133"/>
    </row>
    <row r="39" spans="1:25" s="132" customFormat="1" ht="15" x14ac:dyDescent="0.25">
      <c r="A39" s="132">
        <f t="shared" si="0"/>
        <v>33</v>
      </c>
      <c r="B39" s="134">
        <v>365.02</v>
      </c>
      <c r="C39" s="132" t="s">
        <v>211</v>
      </c>
      <c r="D39" s="133" t="s">
        <v>208</v>
      </c>
      <c r="E39" s="146">
        <v>473766801.08175522</v>
      </c>
      <c r="F39" s="146">
        <v>326526262.49736166</v>
      </c>
      <c r="G39" s="146">
        <v>59661976.444593899</v>
      </c>
      <c r="H39" s="146">
        <v>46382980.044274919</v>
      </c>
      <c r="I39" s="146">
        <v>18348379.975040294</v>
      </c>
      <c r="J39" s="146">
        <v>22233337.029768985</v>
      </c>
      <c r="K39" s="146">
        <v>0</v>
      </c>
      <c r="L39" s="146">
        <v>0</v>
      </c>
      <c r="M39" s="146">
        <v>0</v>
      </c>
      <c r="N39" s="146">
        <v>286946.24007856468</v>
      </c>
      <c r="O39" s="146">
        <v>326918.85063677264</v>
      </c>
      <c r="P39" s="133"/>
      <c r="Q39" s="146">
        <v>17174898.336510044</v>
      </c>
      <c r="R39" s="146">
        <v>430181.42791214335</v>
      </c>
      <c r="S39" s="146">
        <v>4628257.265346799</v>
      </c>
      <c r="T39" s="146">
        <f t="shared" si="4"/>
        <v>22233337.029768985</v>
      </c>
      <c r="U39" s="146">
        <f t="shared" si="5"/>
        <v>17605079.764422186</v>
      </c>
      <c r="V39" s="133"/>
      <c r="W39" s="133"/>
      <c r="X39" s="133"/>
      <c r="Y39" s="133"/>
    </row>
    <row r="40" spans="1:25" s="132" customFormat="1" ht="15" x14ac:dyDescent="0.25">
      <c r="A40" s="132">
        <f>+A38+1</f>
        <v>33</v>
      </c>
      <c r="B40" s="134">
        <v>366.01</v>
      </c>
      <c r="C40" s="132" t="s">
        <v>212</v>
      </c>
      <c r="D40" s="133" t="s">
        <v>213</v>
      </c>
      <c r="E40" s="146">
        <v>27766610.698247954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21070405.608247954</v>
      </c>
      <c r="L40" s="146">
        <v>6656205.0899999999</v>
      </c>
      <c r="M40" s="146">
        <v>40000</v>
      </c>
      <c r="N40" s="146">
        <v>0</v>
      </c>
      <c r="O40" s="146">
        <v>0</v>
      </c>
      <c r="P40" s="133"/>
      <c r="Q40" s="146">
        <v>0</v>
      </c>
      <c r="R40" s="146">
        <v>0</v>
      </c>
      <c r="S40" s="146">
        <v>0</v>
      </c>
      <c r="T40" s="146">
        <f t="shared" si="4"/>
        <v>0</v>
      </c>
      <c r="U40" s="146">
        <f t="shared" si="5"/>
        <v>0</v>
      </c>
      <c r="V40" s="133"/>
      <c r="W40" s="133"/>
      <c r="X40" s="133"/>
      <c r="Y40" s="133"/>
    </row>
    <row r="41" spans="1:25" s="132" customFormat="1" ht="15" x14ac:dyDescent="0.25">
      <c r="A41" s="132">
        <f t="shared" ref="A41:A71" si="6">+A40+1</f>
        <v>34</v>
      </c>
      <c r="B41" s="134">
        <v>366.02</v>
      </c>
      <c r="C41" s="132" t="s">
        <v>214</v>
      </c>
      <c r="D41" s="133" t="s">
        <v>215</v>
      </c>
      <c r="E41" s="146">
        <v>723354758.19607222</v>
      </c>
      <c r="F41" s="146">
        <v>486813798.12785774</v>
      </c>
      <c r="G41" s="146">
        <v>86744263.228688866</v>
      </c>
      <c r="H41" s="146">
        <v>80947921.458197594</v>
      </c>
      <c r="I41" s="146">
        <v>35145343.56682042</v>
      </c>
      <c r="J41" s="146">
        <v>33171861.362535581</v>
      </c>
      <c r="K41" s="146">
        <v>0</v>
      </c>
      <c r="L41" s="146">
        <v>0</v>
      </c>
      <c r="M41" s="146">
        <v>0</v>
      </c>
      <c r="N41" s="146">
        <v>333576.59941564943</v>
      </c>
      <c r="O41" s="146">
        <v>197993.85255638545</v>
      </c>
      <c r="P41" s="133"/>
      <c r="Q41" s="146">
        <v>25068460.788343806</v>
      </c>
      <c r="R41" s="146">
        <v>297708.14786557958</v>
      </c>
      <c r="S41" s="146">
        <v>7805692.4263261957</v>
      </c>
      <c r="T41" s="146">
        <f t="shared" si="4"/>
        <v>33171861.362535581</v>
      </c>
      <c r="U41" s="146">
        <f t="shared" si="5"/>
        <v>25366168.936209384</v>
      </c>
      <c r="V41" s="133"/>
      <c r="W41" s="133"/>
      <c r="X41" s="133"/>
      <c r="Y41" s="133"/>
    </row>
    <row r="42" spans="1:25" s="132" customFormat="1" ht="15" x14ac:dyDescent="0.25">
      <c r="A42" s="132">
        <f t="shared" si="6"/>
        <v>35</v>
      </c>
      <c r="B42" s="134">
        <v>367.01</v>
      </c>
      <c r="C42" s="132" t="s">
        <v>216</v>
      </c>
      <c r="D42" s="133" t="s">
        <v>215</v>
      </c>
      <c r="E42" s="146">
        <v>1026225254.2519155</v>
      </c>
      <c r="F42" s="146">
        <v>690643986.36565733</v>
      </c>
      <c r="G42" s="146">
        <v>123064309.14860564</v>
      </c>
      <c r="H42" s="146">
        <v>114841024.18399489</v>
      </c>
      <c r="I42" s="146">
        <v>49860789.230966657</v>
      </c>
      <c r="J42" s="146">
        <v>47061004.956505746</v>
      </c>
      <c r="K42" s="146">
        <v>0</v>
      </c>
      <c r="L42" s="146">
        <v>0</v>
      </c>
      <c r="M42" s="146">
        <v>0</v>
      </c>
      <c r="N42" s="146">
        <v>473245.97878019873</v>
      </c>
      <c r="O42" s="146">
        <v>280894.38740502117</v>
      </c>
      <c r="P42" s="133"/>
      <c r="Q42" s="146">
        <v>35564689.738653861</v>
      </c>
      <c r="R42" s="146">
        <v>422359.31439523114</v>
      </c>
      <c r="S42" s="146">
        <v>11073955.903456649</v>
      </c>
      <c r="T42" s="146">
        <f t="shared" si="4"/>
        <v>47061004.956505746</v>
      </c>
      <c r="U42" s="146">
        <f t="shared" si="5"/>
        <v>35987049.053049095</v>
      </c>
      <c r="V42" s="133"/>
      <c r="W42" s="133"/>
      <c r="X42" s="133"/>
      <c r="Y42" s="133"/>
    </row>
    <row r="43" spans="1:25" s="132" customFormat="1" ht="15" x14ac:dyDescent="0.25">
      <c r="A43" s="132">
        <f t="shared" si="6"/>
        <v>36</v>
      </c>
      <c r="B43" s="134" t="s">
        <v>217</v>
      </c>
      <c r="C43" s="132" t="s">
        <v>218</v>
      </c>
      <c r="D43" s="133" t="s">
        <v>219</v>
      </c>
      <c r="E43" s="146">
        <v>173605063.30048591</v>
      </c>
      <c r="F43" s="146">
        <v>129622783.85526644</v>
      </c>
      <c r="G43" s="146">
        <v>21229564.703891553</v>
      </c>
      <c r="H43" s="146">
        <v>3103642.0998950875</v>
      </c>
      <c r="I43" s="146">
        <v>34997.8638195979</v>
      </c>
      <c r="J43" s="146">
        <v>0</v>
      </c>
      <c r="K43" s="146">
        <v>0</v>
      </c>
      <c r="L43" s="146">
        <v>0</v>
      </c>
      <c r="M43" s="146">
        <v>0</v>
      </c>
      <c r="N43" s="146">
        <v>19614074.777613256</v>
      </c>
      <c r="O43" s="146">
        <v>0</v>
      </c>
      <c r="P43" s="133"/>
      <c r="Q43" s="146">
        <v>0</v>
      </c>
      <c r="R43" s="146">
        <v>0</v>
      </c>
      <c r="S43" s="146">
        <v>0</v>
      </c>
      <c r="T43" s="146">
        <f t="shared" si="4"/>
        <v>0</v>
      </c>
      <c r="U43" s="146">
        <f t="shared" si="5"/>
        <v>0</v>
      </c>
      <c r="V43" s="133"/>
      <c r="W43" s="133"/>
      <c r="X43" s="133"/>
      <c r="Y43" s="133"/>
    </row>
    <row r="44" spans="1:25" s="132" customFormat="1" ht="15" x14ac:dyDescent="0.25">
      <c r="A44" s="132">
        <f t="shared" si="6"/>
        <v>37</v>
      </c>
      <c r="B44" s="134" t="s">
        <v>220</v>
      </c>
      <c r="C44" s="132" t="s">
        <v>221</v>
      </c>
      <c r="D44" s="133" t="s">
        <v>222</v>
      </c>
      <c r="E44" s="146">
        <v>318356351.16211182</v>
      </c>
      <c r="F44" s="146">
        <v>254327740.80673003</v>
      </c>
      <c r="G44" s="146">
        <v>39317738.093223535</v>
      </c>
      <c r="H44" s="146">
        <v>18739582.929669607</v>
      </c>
      <c r="I44" s="146">
        <v>5178152.8820115114</v>
      </c>
      <c r="J44" s="146">
        <v>0</v>
      </c>
      <c r="K44" s="146">
        <v>0</v>
      </c>
      <c r="L44" s="146">
        <v>0</v>
      </c>
      <c r="M44" s="146">
        <v>0</v>
      </c>
      <c r="N44" s="146">
        <v>793136.45047712862</v>
      </c>
      <c r="O44" s="146">
        <v>0</v>
      </c>
      <c r="P44" s="133"/>
      <c r="Q44" s="146">
        <v>0</v>
      </c>
      <c r="R44" s="146">
        <v>0</v>
      </c>
      <c r="S44" s="146">
        <v>0</v>
      </c>
      <c r="T44" s="146">
        <f t="shared" si="4"/>
        <v>0</v>
      </c>
      <c r="U44" s="146">
        <f t="shared" si="5"/>
        <v>0</v>
      </c>
      <c r="V44" s="133"/>
      <c r="W44" s="133"/>
      <c r="X44" s="133"/>
      <c r="Y44" s="133"/>
    </row>
    <row r="45" spans="1:25" s="132" customFormat="1" ht="15" x14ac:dyDescent="0.25">
      <c r="A45" s="132">
        <f t="shared" si="6"/>
        <v>38</v>
      </c>
      <c r="B45" s="134">
        <v>368.03</v>
      </c>
      <c r="C45" s="132" t="s">
        <v>223</v>
      </c>
      <c r="D45" s="133" t="s">
        <v>224</v>
      </c>
      <c r="E45" s="146">
        <v>7588388.9357394706</v>
      </c>
      <c r="F45" s="146">
        <v>0</v>
      </c>
      <c r="G45" s="146">
        <v>0</v>
      </c>
      <c r="H45" s="146">
        <v>0</v>
      </c>
      <c r="I45" s="146">
        <v>0</v>
      </c>
      <c r="J45" s="146">
        <v>2881042.1201866162</v>
      </c>
      <c r="K45" s="146">
        <v>4643236.3957666187</v>
      </c>
      <c r="L45" s="146">
        <v>0</v>
      </c>
      <c r="M45" s="146">
        <v>0</v>
      </c>
      <c r="N45" s="146">
        <v>0</v>
      </c>
      <c r="O45" s="146">
        <v>64110.419786236234</v>
      </c>
      <c r="P45" s="133"/>
      <c r="Q45" s="146">
        <v>2724875.4994521518</v>
      </c>
      <c r="R45" s="146">
        <v>0</v>
      </c>
      <c r="S45" s="146">
        <v>156166.6207344642</v>
      </c>
      <c r="T45" s="146">
        <f t="shared" si="4"/>
        <v>2881042.1201866162</v>
      </c>
      <c r="U45" s="146">
        <f t="shared" si="5"/>
        <v>2724875.4994521518</v>
      </c>
      <c r="V45" s="133"/>
      <c r="W45" s="133"/>
      <c r="X45" s="133"/>
      <c r="Y45" s="133"/>
    </row>
    <row r="46" spans="1:25" s="132" customFormat="1" ht="15" x14ac:dyDescent="0.25">
      <c r="A46" s="132">
        <f t="shared" si="6"/>
        <v>39</v>
      </c>
      <c r="B46" s="134" t="s">
        <v>225</v>
      </c>
      <c r="C46" s="132" t="s">
        <v>226</v>
      </c>
      <c r="D46" s="133" t="s">
        <v>227</v>
      </c>
      <c r="E46" s="146">
        <v>40891220.469543234</v>
      </c>
      <c r="F46" s="146">
        <v>35288462.6545965</v>
      </c>
      <c r="G46" s="146">
        <v>5391704.5577693377</v>
      </c>
      <c r="H46" s="146">
        <v>206577.5754747632</v>
      </c>
      <c r="I46" s="146">
        <v>4475.6817026308827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33"/>
      <c r="Q46" s="146">
        <v>0</v>
      </c>
      <c r="R46" s="146">
        <v>0</v>
      </c>
      <c r="S46" s="146">
        <v>0</v>
      </c>
      <c r="T46" s="146">
        <f t="shared" si="4"/>
        <v>0</v>
      </c>
      <c r="U46" s="146">
        <f t="shared" si="5"/>
        <v>0</v>
      </c>
      <c r="V46" s="133"/>
      <c r="W46" s="133"/>
      <c r="X46" s="133"/>
      <c r="Y46" s="133"/>
    </row>
    <row r="47" spans="1:25" s="132" customFormat="1" ht="15" x14ac:dyDescent="0.25">
      <c r="A47" s="132">
        <f t="shared" si="6"/>
        <v>40</v>
      </c>
      <c r="B47" s="134" t="s">
        <v>228</v>
      </c>
      <c r="C47" s="132" t="s">
        <v>229</v>
      </c>
      <c r="D47" s="133" t="s">
        <v>230</v>
      </c>
      <c r="E47" s="146">
        <v>148146329.43013555</v>
      </c>
      <c r="F47" s="146">
        <v>148146329.43013555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33"/>
      <c r="Q47" s="146">
        <v>0</v>
      </c>
      <c r="R47" s="146">
        <v>0</v>
      </c>
      <c r="S47" s="146">
        <v>0</v>
      </c>
      <c r="T47" s="146">
        <f t="shared" si="4"/>
        <v>0</v>
      </c>
      <c r="U47" s="146">
        <f t="shared" si="5"/>
        <v>0</v>
      </c>
      <c r="V47" s="133"/>
      <c r="W47" s="133"/>
      <c r="X47" s="133"/>
      <c r="Y47" s="133"/>
    </row>
    <row r="48" spans="1:25" s="132" customFormat="1" ht="15" x14ac:dyDescent="0.25">
      <c r="A48" s="132">
        <f t="shared" si="6"/>
        <v>41</v>
      </c>
      <c r="B48" s="134">
        <v>370.01</v>
      </c>
      <c r="C48" s="132" t="s">
        <v>231</v>
      </c>
      <c r="D48" s="133" t="s">
        <v>232</v>
      </c>
      <c r="E48" s="146">
        <v>115399422.98340474</v>
      </c>
      <c r="F48" s="146">
        <v>74920301.859404609</v>
      </c>
      <c r="G48" s="146">
        <v>21029038.15190383</v>
      </c>
      <c r="H48" s="146">
        <v>6214839.8802748723</v>
      </c>
      <c r="I48" s="146">
        <v>698494.69445630582</v>
      </c>
      <c r="J48" s="146">
        <v>11097434.250974938</v>
      </c>
      <c r="K48" s="146">
        <v>546863.08017469931</v>
      </c>
      <c r="L48" s="146">
        <v>339600.67006979481</v>
      </c>
      <c r="M48" s="146">
        <v>546754.15171604604</v>
      </c>
      <c r="N48" s="146">
        <v>0</v>
      </c>
      <c r="O48" s="146">
        <v>6096.2444296311105</v>
      </c>
      <c r="P48" s="133"/>
      <c r="Q48" s="146">
        <v>8366430.5131380884</v>
      </c>
      <c r="R48" s="146">
        <v>27126.603830858654</v>
      </c>
      <c r="S48" s="146">
        <v>2703877.1340059908</v>
      </c>
      <c r="T48" s="146">
        <f t="shared" si="4"/>
        <v>11097434.250974938</v>
      </c>
      <c r="U48" s="146">
        <f t="shared" si="5"/>
        <v>8393557.1169689465</v>
      </c>
      <c r="V48" s="133"/>
      <c r="W48" s="133"/>
      <c r="X48" s="133"/>
      <c r="Y48" s="133"/>
    </row>
    <row r="49" spans="1:25" s="132" customFormat="1" ht="15" x14ac:dyDescent="0.25">
      <c r="A49" s="132">
        <f t="shared" si="6"/>
        <v>42</v>
      </c>
      <c r="B49" s="134">
        <v>373</v>
      </c>
      <c r="C49" s="132" t="s">
        <v>233</v>
      </c>
      <c r="D49" s="133" t="s">
        <v>234</v>
      </c>
      <c r="E49" s="146">
        <v>57317388.722843789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57317388.722843789</v>
      </c>
      <c r="O49" s="146">
        <v>0</v>
      </c>
      <c r="P49" s="133"/>
      <c r="Q49" s="146">
        <v>0</v>
      </c>
      <c r="R49" s="146">
        <v>0</v>
      </c>
      <c r="S49" s="146">
        <v>0</v>
      </c>
      <c r="T49" s="146">
        <f t="shared" si="4"/>
        <v>0</v>
      </c>
      <c r="U49" s="146">
        <f t="shared" si="5"/>
        <v>0</v>
      </c>
      <c r="V49" s="133"/>
      <c r="W49" s="133"/>
      <c r="X49" s="133"/>
      <c r="Y49" s="133"/>
    </row>
    <row r="50" spans="1:25" s="132" customFormat="1" ht="15" x14ac:dyDescent="0.25">
      <c r="A50" s="132">
        <f t="shared" si="6"/>
        <v>43</v>
      </c>
      <c r="B50" s="134">
        <v>374</v>
      </c>
      <c r="C50" s="132" t="s">
        <v>235</v>
      </c>
      <c r="D50" s="133" t="s">
        <v>236</v>
      </c>
      <c r="E50" s="146">
        <v>2343000</v>
      </c>
      <c r="F50" s="146">
        <v>1572660.6353874579</v>
      </c>
      <c r="G50" s="146">
        <v>282623.75575443881</v>
      </c>
      <c r="H50" s="146">
        <v>248691.86509855432</v>
      </c>
      <c r="I50" s="146">
        <v>105076.92439916788</v>
      </c>
      <c r="J50" s="146">
        <v>107135.71604908427</v>
      </c>
      <c r="K50" s="146">
        <v>18740.357910424889</v>
      </c>
      <c r="L50" s="146">
        <v>5901.3680679849231</v>
      </c>
      <c r="M50" s="146">
        <v>35.463859590810316</v>
      </c>
      <c r="N50" s="146">
        <v>1179.9664419440364</v>
      </c>
      <c r="O50" s="146">
        <v>953.94703135218742</v>
      </c>
      <c r="P50" s="133"/>
      <c r="Q50" s="146">
        <v>81567.752781727759</v>
      </c>
      <c r="R50" s="146">
        <v>1334.9845748667035</v>
      </c>
      <c r="S50" s="146">
        <v>24232.9786924898</v>
      </c>
      <c r="T50" s="146">
        <f t="shared" si="4"/>
        <v>107135.71604908427</v>
      </c>
      <c r="U50" s="146">
        <f t="shared" si="5"/>
        <v>82902.737356594458</v>
      </c>
      <c r="V50" s="133"/>
      <c r="W50" s="133"/>
      <c r="X50" s="133"/>
      <c r="Y50" s="133"/>
    </row>
    <row r="51" spans="1:25" s="132" customFormat="1" x14ac:dyDescent="0.2">
      <c r="A51" s="135">
        <f t="shared" si="6"/>
        <v>44</v>
      </c>
      <c r="B51" s="136"/>
      <c r="C51" s="135" t="s">
        <v>188</v>
      </c>
      <c r="D51" s="137"/>
      <c r="E51" s="147">
        <f t="shared" ref="E51:O51" si="7">SUM(E30:E50)</f>
        <v>4038215528.6973782</v>
      </c>
      <c r="F51" s="147">
        <f t="shared" si="7"/>
        <v>2689044846.8595858</v>
      </c>
      <c r="G51" s="147">
        <f t="shared" si="7"/>
        <v>473510013.16840535</v>
      </c>
      <c r="H51" s="147">
        <f t="shared" si="7"/>
        <v>384735589.54547358</v>
      </c>
      <c r="I51" s="147">
        <f t="shared" si="7"/>
        <v>165400452.54499832</v>
      </c>
      <c r="J51" s="147">
        <f t="shared" si="7"/>
        <v>175498901.26191926</v>
      </c>
      <c r="K51" s="147">
        <f t="shared" si="7"/>
        <v>40460241.972854719</v>
      </c>
      <c r="L51" s="147">
        <f t="shared" si="7"/>
        <v>21778633.788469374</v>
      </c>
      <c r="M51" s="147">
        <f t="shared" si="7"/>
        <v>7066294.980575636</v>
      </c>
      <c r="N51" s="147">
        <f t="shared" si="7"/>
        <v>79448557.268831328</v>
      </c>
      <c r="O51" s="147">
        <f t="shared" si="7"/>
        <v>1271997.3062645001</v>
      </c>
      <c r="P51" s="133"/>
      <c r="Q51" s="147">
        <f>SUM(Q30:Q50)</f>
        <v>139794032.32520798</v>
      </c>
      <c r="R51" s="147">
        <f>SUM(R30:R50)</f>
        <v>1648904.0562001581</v>
      </c>
      <c r="S51" s="147">
        <f>SUM(S30:S50)</f>
        <v>34055964.880511105</v>
      </c>
      <c r="T51" s="147">
        <f>SUM(T30:T50)</f>
        <v>175498901.26191926</v>
      </c>
      <c r="U51" s="147">
        <f>SUM(U30:U50)</f>
        <v>141442936.38140813</v>
      </c>
      <c r="V51" s="133"/>
      <c r="W51" s="133"/>
      <c r="X51" s="133"/>
      <c r="Y51" s="133"/>
    </row>
    <row r="52" spans="1:25" s="132" customFormat="1" ht="15" x14ac:dyDescent="0.25">
      <c r="A52" s="132">
        <f t="shared" si="6"/>
        <v>45</v>
      </c>
      <c r="B52" s="134"/>
      <c r="D52" s="133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33"/>
      <c r="Q52" s="146"/>
      <c r="R52" s="146"/>
      <c r="S52" s="146"/>
      <c r="T52" s="146"/>
      <c r="U52" s="146"/>
      <c r="V52" s="133"/>
      <c r="W52" s="133"/>
      <c r="X52" s="133"/>
      <c r="Y52" s="133"/>
    </row>
    <row r="53" spans="1:25" s="132" customFormat="1" ht="15" x14ac:dyDescent="0.25">
      <c r="A53" s="132">
        <f t="shared" si="6"/>
        <v>46</v>
      </c>
      <c r="B53" s="134"/>
      <c r="C53" s="138" t="s">
        <v>186</v>
      </c>
      <c r="D53" s="133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33"/>
      <c r="Q53" s="146"/>
      <c r="R53" s="146"/>
      <c r="S53" s="146"/>
      <c r="T53" s="146"/>
      <c r="U53" s="146"/>
      <c r="V53" s="133"/>
      <c r="W53" s="133"/>
      <c r="X53" s="133"/>
      <c r="Y53" s="133"/>
    </row>
    <row r="54" spans="1:25" s="132" customFormat="1" ht="15" x14ac:dyDescent="0.25">
      <c r="A54" s="132">
        <f t="shared" si="6"/>
        <v>47</v>
      </c>
      <c r="B54" s="134">
        <v>389</v>
      </c>
      <c r="C54" s="132" t="s">
        <v>237</v>
      </c>
      <c r="D54" s="133" t="s">
        <v>238</v>
      </c>
      <c r="E54" s="146">
        <v>36018223.299999997</v>
      </c>
      <c r="F54" s="146">
        <v>22139935.359298881</v>
      </c>
      <c r="G54" s="146">
        <v>4336796.1336381529</v>
      </c>
      <c r="H54" s="146">
        <v>3937821.2383772298</v>
      </c>
      <c r="I54" s="146">
        <v>2200665.1600312009</v>
      </c>
      <c r="J54" s="146">
        <v>1830928.5331081564</v>
      </c>
      <c r="K54" s="146">
        <v>190236.97526559804</v>
      </c>
      <c r="L54" s="146">
        <v>544935.92415041942</v>
      </c>
      <c r="M54" s="146">
        <v>325848.15402672521</v>
      </c>
      <c r="N54" s="146">
        <v>500619.07256664505</v>
      </c>
      <c r="O54" s="146">
        <v>10436.749536980589</v>
      </c>
      <c r="P54" s="133"/>
      <c r="Q54" s="146">
        <v>1630668.6994354688</v>
      </c>
      <c r="R54" s="146">
        <v>8307.3202527135545</v>
      </c>
      <c r="S54" s="146">
        <v>191952.51341997422</v>
      </c>
      <c r="T54" s="146">
        <f t="shared" ref="T54:T64" si="8">SUM(Q54:S54)</f>
        <v>1830928.5331081564</v>
      </c>
      <c r="U54" s="146">
        <f t="shared" ref="U54:U64" si="9">SUM(Q54:R54)</f>
        <v>1638976.0196881823</v>
      </c>
      <c r="V54" s="133"/>
      <c r="W54" s="133"/>
      <c r="X54" s="133"/>
      <c r="Y54" s="133"/>
    </row>
    <row r="55" spans="1:25" s="132" customFormat="1" ht="15" x14ac:dyDescent="0.25">
      <c r="A55" s="132">
        <f t="shared" si="6"/>
        <v>48</v>
      </c>
      <c r="B55" s="134">
        <v>390</v>
      </c>
      <c r="C55" s="132" t="s">
        <v>239</v>
      </c>
      <c r="D55" s="133" t="s">
        <v>238</v>
      </c>
      <c r="E55" s="146">
        <v>225176849.65399992</v>
      </c>
      <c r="F55" s="146">
        <v>138413293.0218721</v>
      </c>
      <c r="G55" s="146">
        <v>27112555.853477836</v>
      </c>
      <c r="H55" s="146">
        <v>24618265.414507478</v>
      </c>
      <c r="I55" s="146">
        <v>13758003.656974982</v>
      </c>
      <c r="J55" s="146">
        <v>11446503.498880636</v>
      </c>
      <c r="K55" s="146">
        <v>1189313.5988751913</v>
      </c>
      <c r="L55" s="146">
        <v>3406801.985801518</v>
      </c>
      <c r="M55" s="146">
        <v>2037120.4925399336</v>
      </c>
      <c r="N55" s="146">
        <v>3129744.2047138489</v>
      </c>
      <c r="O55" s="146">
        <v>65247.926356354503</v>
      </c>
      <c r="P55" s="133"/>
      <c r="Q55" s="146">
        <v>10194529.516625663</v>
      </c>
      <c r="R55" s="146">
        <v>51935.271431695219</v>
      </c>
      <c r="S55" s="146">
        <v>1200038.7108232775</v>
      </c>
      <c r="T55" s="146">
        <f t="shared" si="8"/>
        <v>11446503.498880636</v>
      </c>
      <c r="U55" s="146">
        <f t="shared" si="9"/>
        <v>10246464.788057359</v>
      </c>
      <c r="V55" s="133"/>
      <c r="W55" s="133"/>
      <c r="X55" s="133"/>
      <c r="Y55" s="133"/>
    </row>
    <row r="56" spans="1:25" s="132" customFormat="1" ht="15" x14ac:dyDescent="0.25">
      <c r="A56" s="132">
        <f t="shared" si="6"/>
        <v>49</v>
      </c>
      <c r="B56" s="134">
        <v>391</v>
      </c>
      <c r="C56" s="132" t="s">
        <v>240</v>
      </c>
      <c r="D56" s="133" t="s">
        <v>238</v>
      </c>
      <c r="E56" s="146">
        <v>109380337.50000001</v>
      </c>
      <c r="F56" s="146">
        <v>67234676.781747192</v>
      </c>
      <c r="G56" s="146">
        <v>13170006.216437567</v>
      </c>
      <c r="H56" s="146">
        <v>11958397.072527714</v>
      </c>
      <c r="I56" s="146">
        <v>6682991.9933531079</v>
      </c>
      <c r="J56" s="146">
        <v>5560173.7826349176</v>
      </c>
      <c r="K56" s="146">
        <v>577712.68688675901</v>
      </c>
      <c r="L56" s="146">
        <v>1654864.3946978718</v>
      </c>
      <c r="M56" s="146">
        <v>989537.45620193309</v>
      </c>
      <c r="N56" s="146">
        <v>1520282.7374407623</v>
      </c>
      <c r="O56" s="146">
        <v>31694.378072166201</v>
      </c>
      <c r="P56" s="133"/>
      <c r="Q56" s="146">
        <v>4952023.6245228034</v>
      </c>
      <c r="R56" s="146">
        <v>25227.715575920545</v>
      </c>
      <c r="S56" s="146">
        <v>582922.44253619423</v>
      </c>
      <c r="T56" s="146">
        <f t="shared" si="8"/>
        <v>5560173.7826349176</v>
      </c>
      <c r="U56" s="146">
        <f t="shared" si="9"/>
        <v>4977251.3400987238</v>
      </c>
      <c r="V56" s="133"/>
      <c r="W56" s="133"/>
      <c r="X56" s="133"/>
      <c r="Y56" s="133"/>
    </row>
    <row r="57" spans="1:25" s="132" customFormat="1" ht="15" x14ac:dyDescent="0.25">
      <c r="A57" s="132">
        <f t="shared" si="6"/>
        <v>50</v>
      </c>
      <c r="B57" s="134">
        <v>392</v>
      </c>
      <c r="C57" s="132" t="s">
        <v>241</v>
      </c>
      <c r="D57" s="133" t="s">
        <v>238</v>
      </c>
      <c r="E57" s="146">
        <v>15439498.100000001</v>
      </c>
      <c r="F57" s="146">
        <v>9490459.5117554832</v>
      </c>
      <c r="G57" s="146">
        <v>1859002.1808597546</v>
      </c>
      <c r="H57" s="146">
        <v>1687978.4164163617</v>
      </c>
      <c r="I57" s="146">
        <v>943332.6367610679</v>
      </c>
      <c r="J57" s="146">
        <v>784842.0887589748</v>
      </c>
      <c r="K57" s="146">
        <v>81546.593614542566</v>
      </c>
      <c r="L57" s="146">
        <v>233591.12123507063</v>
      </c>
      <c r="M57" s="146">
        <v>139677.4047703828</v>
      </c>
      <c r="N57" s="146">
        <v>214594.35006935726</v>
      </c>
      <c r="O57" s="146">
        <v>4473.7957590036849</v>
      </c>
      <c r="P57" s="133"/>
      <c r="Q57" s="146">
        <v>698999.11711256998</v>
      </c>
      <c r="R57" s="146">
        <v>3560.9989473817964</v>
      </c>
      <c r="S57" s="146">
        <v>82281.972699023085</v>
      </c>
      <c r="T57" s="146">
        <f t="shared" si="8"/>
        <v>784842.0887589748</v>
      </c>
      <c r="U57" s="146">
        <f t="shared" si="9"/>
        <v>702560.11605995172</v>
      </c>
      <c r="V57" s="133"/>
      <c r="W57" s="133"/>
      <c r="X57" s="133"/>
      <c r="Y57" s="133"/>
    </row>
    <row r="58" spans="1:25" s="132" customFormat="1" ht="15" x14ac:dyDescent="0.25">
      <c r="A58" s="132">
        <f t="shared" si="6"/>
        <v>51</v>
      </c>
      <c r="B58" s="134">
        <v>393</v>
      </c>
      <c r="C58" s="132" t="s">
        <v>242</v>
      </c>
      <c r="D58" s="133" t="s">
        <v>243</v>
      </c>
      <c r="E58" s="146">
        <v>232556.7</v>
      </c>
      <c r="F58" s="146">
        <v>135590.93423479251</v>
      </c>
      <c r="G58" s="146">
        <v>28982.329517452792</v>
      </c>
      <c r="H58" s="146">
        <v>28652.994022107774</v>
      </c>
      <c r="I58" s="146">
        <v>15938.253748034726</v>
      </c>
      <c r="J58" s="146">
        <v>13156.284005506093</v>
      </c>
      <c r="K58" s="146">
        <v>1377.4349995352093</v>
      </c>
      <c r="L58" s="146">
        <v>3976.3105142622449</v>
      </c>
      <c r="M58" s="146">
        <v>2492.590949959751</v>
      </c>
      <c r="N58" s="146">
        <v>2313.1790477960312</v>
      </c>
      <c r="O58" s="146">
        <v>76.38896055292642</v>
      </c>
      <c r="P58" s="133"/>
      <c r="Q58" s="146">
        <v>11706.719324961303</v>
      </c>
      <c r="R58" s="146">
        <v>60.319386065056811</v>
      </c>
      <c r="S58" s="146">
        <v>1389.2452944797326</v>
      </c>
      <c r="T58" s="146">
        <f t="shared" si="8"/>
        <v>13156.284005506093</v>
      </c>
      <c r="U58" s="146">
        <f t="shared" si="9"/>
        <v>11767.03871102636</v>
      </c>
      <c r="V58" s="133"/>
      <c r="W58" s="133"/>
      <c r="X58" s="133"/>
      <c r="Y58" s="133"/>
    </row>
    <row r="59" spans="1:25" s="132" customFormat="1" ht="15" x14ac:dyDescent="0.25">
      <c r="A59" s="132">
        <f t="shared" si="6"/>
        <v>52</v>
      </c>
      <c r="B59" s="134">
        <v>394</v>
      </c>
      <c r="C59" s="132" t="s">
        <v>244</v>
      </c>
      <c r="D59" s="133" t="s">
        <v>245</v>
      </c>
      <c r="E59" s="146">
        <v>13888778.5</v>
      </c>
      <c r="F59" s="146">
        <v>8130539.3880075421</v>
      </c>
      <c r="G59" s="146">
        <v>1730993.130953942</v>
      </c>
      <c r="H59" s="146">
        <v>1705641.2795366424</v>
      </c>
      <c r="I59" s="146">
        <v>945465.44121262641</v>
      </c>
      <c r="J59" s="146">
        <v>783097.28057513188</v>
      </c>
      <c r="K59" s="146">
        <v>80922.153205137249</v>
      </c>
      <c r="L59" s="146">
        <v>234553.045402947</v>
      </c>
      <c r="M59" s="146">
        <v>132004.31144038652</v>
      </c>
      <c r="N59" s="146">
        <v>140998.46964176124</v>
      </c>
      <c r="O59" s="146">
        <v>4564.0000238843013</v>
      </c>
      <c r="P59" s="133"/>
      <c r="Q59" s="146">
        <v>695695.61227625038</v>
      </c>
      <c r="R59" s="146">
        <v>3648.0528392342062</v>
      </c>
      <c r="S59" s="146">
        <v>83753.615459647292</v>
      </c>
      <c r="T59" s="146">
        <f t="shared" si="8"/>
        <v>783097.28057513188</v>
      </c>
      <c r="U59" s="146">
        <f t="shared" si="9"/>
        <v>699343.66511548462</v>
      </c>
      <c r="V59" s="133"/>
      <c r="W59" s="133"/>
      <c r="X59" s="133"/>
      <c r="Y59" s="133"/>
    </row>
    <row r="60" spans="1:25" s="132" customFormat="1" ht="15" x14ac:dyDescent="0.25">
      <c r="A60" s="132">
        <f t="shared" si="6"/>
        <v>53</v>
      </c>
      <c r="B60" s="134">
        <v>395</v>
      </c>
      <c r="C60" s="132" t="s">
        <v>246</v>
      </c>
      <c r="D60" s="133" t="s">
        <v>245</v>
      </c>
      <c r="E60" s="146">
        <v>7820000</v>
      </c>
      <c r="F60" s="146">
        <v>4577855.2818175461</v>
      </c>
      <c r="G60" s="146">
        <v>974626.11878069967</v>
      </c>
      <c r="H60" s="146">
        <v>960351.89890720358</v>
      </c>
      <c r="I60" s="146">
        <v>532339.09305146884</v>
      </c>
      <c r="J60" s="146">
        <v>440918.59727603343</v>
      </c>
      <c r="K60" s="146">
        <v>45562.77127352656</v>
      </c>
      <c r="L60" s="146">
        <v>132063.79632672851</v>
      </c>
      <c r="M60" s="146">
        <v>74324.298242917648</v>
      </c>
      <c r="N60" s="146">
        <v>79388.409326174573</v>
      </c>
      <c r="O60" s="146">
        <v>2569.7349977015792</v>
      </c>
      <c r="P60" s="133"/>
      <c r="Q60" s="146">
        <v>391707.57082779298</v>
      </c>
      <c r="R60" s="146">
        <v>2054.015995921563</v>
      </c>
      <c r="S60" s="146">
        <v>47157.010452318893</v>
      </c>
      <c r="T60" s="146">
        <f t="shared" si="8"/>
        <v>440918.59727603343</v>
      </c>
      <c r="U60" s="146">
        <f t="shared" si="9"/>
        <v>393761.58682371455</v>
      </c>
      <c r="V60" s="133"/>
      <c r="W60" s="133"/>
      <c r="X60" s="133"/>
      <c r="Y60" s="133"/>
    </row>
    <row r="61" spans="1:25" s="132" customFormat="1" ht="15" x14ac:dyDescent="0.25">
      <c r="A61" s="132">
        <f t="shared" si="6"/>
        <v>54</v>
      </c>
      <c r="B61" s="134">
        <v>396</v>
      </c>
      <c r="C61" s="132" t="s">
        <v>247</v>
      </c>
      <c r="D61" s="133" t="s">
        <v>245</v>
      </c>
      <c r="E61" s="146">
        <v>5307201.3</v>
      </c>
      <c r="F61" s="146">
        <v>3106854.1563777425</v>
      </c>
      <c r="G61" s="146">
        <v>661449.74483463983</v>
      </c>
      <c r="H61" s="146">
        <v>651762.25656493346</v>
      </c>
      <c r="I61" s="146">
        <v>361282.70162194071</v>
      </c>
      <c r="J61" s="146">
        <v>299238.33154188504</v>
      </c>
      <c r="K61" s="146">
        <v>30922.097050442811</v>
      </c>
      <c r="L61" s="146">
        <v>89627.768740172469</v>
      </c>
      <c r="M61" s="146">
        <v>50441.68954685425</v>
      </c>
      <c r="N61" s="146">
        <v>53878.551046138855</v>
      </c>
      <c r="O61" s="146">
        <v>1744.0026752502963</v>
      </c>
      <c r="P61" s="133"/>
      <c r="Q61" s="146">
        <v>265840.27226561448</v>
      </c>
      <c r="R61" s="146">
        <v>1393.9995350096822</v>
      </c>
      <c r="S61" s="146">
        <v>32004.05974126092</v>
      </c>
      <c r="T61" s="146">
        <f t="shared" si="8"/>
        <v>299238.33154188504</v>
      </c>
      <c r="U61" s="146">
        <f t="shared" si="9"/>
        <v>267234.27180062415</v>
      </c>
      <c r="V61" s="133"/>
      <c r="W61" s="133"/>
      <c r="X61" s="133"/>
      <c r="Y61" s="133"/>
    </row>
    <row r="62" spans="1:25" s="132" customFormat="1" ht="15" x14ac:dyDescent="0.25">
      <c r="A62" s="132">
        <f t="shared" si="6"/>
        <v>55</v>
      </c>
      <c r="B62" s="134">
        <v>397</v>
      </c>
      <c r="C62" s="132" t="s">
        <v>248</v>
      </c>
      <c r="D62" s="133" t="s">
        <v>238</v>
      </c>
      <c r="E62" s="146">
        <v>146821395.59999999</v>
      </c>
      <c r="F62" s="146">
        <v>90249210.264240026</v>
      </c>
      <c r="G62" s="146">
        <v>17678119.641549274</v>
      </c>
      <c r="H62" s="146">
        <v>16051774.820382804</v>
      </c>
      <c r="I62" s="146">
        <v>8970590.4523080215</v>
      </c>
      <c r="J62" s="146">
        <v>7463429.8376066862</v>
      </c>
      <c r="K62" s="146">
        <v>775464.62996185001</v>
      </c>
      <c r="L62" s="146">
        <v>2221327.0274311481</v>
      </c>
      <c r="M62" s="146">
        <v>1328257.6525057959</v>
      </c>
      <c r="N62" s="146">
        <v>2040677.8614816489</v>
      </c>
      <c r="O62" s="146">
        <v>42543.41253270935</v>
      </c>
      <c r="P62" s="133"/>
      <c r="Q62" s="146">
        <v>6647108.9431097088</v>
      </c>
      <c r="R62" s="146">
        <v>33863.201497769296</v>
      </c>
      <c r="S62" s="146">
        <v>782457.6929992087</v>
      </c>
      <c r="T62" s="146">
        <f t="shared" si="8"/>
        <v>7463429.8376066862</v>
      </c>
      <c r="U62" s="146">
        <f t="shared" si="9"/>
        <v>6680972.1446074778</v>
      </c>
      <c r="V62" s="133"/>
      <c r="W62" s="133"/>
      <c r="X62" s="133"/>
      <c r="Y62" s="133"/>
    </row>
    <row r="63" spans="1:25" s="132" customFormat="1" ht="15" x14ac:dyDescent="0.25">
      <c r="A63" s="132">
        <f t="shared" si="6"/>
        <v>56</v>
      </c>
      <c r="B63" s="134">
        <v>398</v>
      </c>
      <c r="C63" s="132" t="s">
        <v>249</v>
      </c>
      <c r="D63" s="133" t="s">
        <v>238</v>
      </c>
      <c r="E63" s="146">
        <v>970290.20000000007</v>
      </c>
      <c r="F63" s="146">
        <v>596424.81887109601</v>
      </c>
      <c r="G63" s="146">
        <v>116828.38303317952</v>
      </c>
      <c r="H63" s="146">
        <v>106080.45058539274</v>
      </c>
      <c r="I63" s="146">
        <v>59283.430514455911</v>
      </c>
      <c r="J63" s="146">
        <v>49323.143947947596</v>
      </c>
      <c r="K63" s="146">
        <v>5124.7689604348743</v>
      </c>
      <c r="L63" s="146">
        <v>14679.957487827985</v>
      </c>
      <c r="M63" s="146">
        <v>8777.9807434372269</v>
      </c>
      <c r="N63" s="146">
        <v>13486.111627402361</v>
      </c>
      <c r="O63" s="146">
        <v>281.1542288257956</v>
      </c>
      <c r="P63" s="133"/>
      <c r="Q63" s="146">
        <v>43928.370517625757</v>
      </c>
      <c r="R63" s="146">
        <v>223.78981223844784</v>
      </c>
      <c r="S63" s="146">
        <v>5170.9836180833909</v>
      </c>
      <c r="T63" s="146">
        <f t="shared" si="8"/>
        <v>49323.143947947596</v>
      </c>
      <c r="U63" s="146">
        <f t="shared" si="9"/>
        <v>44152.160329864208</v>
      </c>
      <c r="V63" s="133"/>
      <c r="W63" s="133"/>
      <c r="X63" s="133"/>
      <c r="Y63" s="133"/>
    </row>
    <row r="64" spans="1:25" s="132" customFormat="1" ht="15" x14ac:dyDescent="0.25">
      <c r="A64" s="132">
        <f t="shared" si="6"/>
        <v>57</v>
      </c>
      <c r="B64" s="134">
        <v>399</v>
      </c>
      <c r="C64" s="132" t="s">
        <v>250</v>
      </c>
      <c r="D64" s="133" t="s">
        <v>238</v>
      </c>
      <c r="E64" s="146">
        <v>1250391.3638000034</v>
      </c>
      <c r="F64" s="146">
        <v>768599.37642614497</v>
      </c>
      <c r="G64" s="146">
        <v>150554.13441402014</v>
      </c>
      <c r="H64" s="146">
        <v>136703.51332002328</v>
      </c>
      <c r="I64" s="146">
        <v>76397.236137923726</v>
      </c>
      <c r="J64" s="146">
        <v>63561.636743294002</v>
      </c>
      <c r="K64" s="146">
        <v>6604.1755854053645</v>
      </c>
      <c r="L64" s="146">
        <v>18917.734162141704</v>
      </c>
      <c r="M64" s="146">
        <v>11311.988220840158</v>
      </c>
      <c r="N64" s="146">
        <v>17379.251599311956</v>
      </c>
      <c r="O64" s="146">
        <v>362.31719089775913</v>
      </c>
      <c r="P64" s="133"/>
      <c r="Q64" s="146">
        <v>56609.512412931654</v>
      </c>
      <c r="R64" s="146">
        <v>288.39294525429557</v>
      </c>
      <c r="S64" s="146">
        <v>6663.7313851080507</v>
      </c>
      <c r="T64" s="146">
        <f t="shared" si="8"/>
        <v>63561.636743294002</v>
      </c>
      <c r="U64" s="146">
        <f t="shared" si="9"/>
        <v>56897.905358185948</v>
      </c>
      <c r="V64" s="133"/>
      <c r="W64" s="133"/>
      <c r="X64" s="133"/>
      <c r="Y64" s="133"/>
    </row>
    <row r="65" spans="1:25" s="132" customFormat="1" x14ac:dyDescent="0.2">
      <c r="A65" s="135">
        <f t="shared" si="6"/>
        <v>58</v>
      </c>
      <c r="B65" s="136"/>
      <c r="C65" s="135" t="s">
        <v>188</v>
      </c>
      <c r="D65" s="137"/>
      <c r="E65" s="147">
        <f t="shared" ref="E65:O65" si="10">SUM(E54:E64)</f>
        <v>562305522.21780002</v>
      </c>
      <c r="F65" s="147">
        <f t="shared" si="10"/>
        <v>344843438.89464855</v>
      </c>
      <c r="G65" s="147">
        <f t="shared" si="10"/>
        <v>67819913.86749652</v>
      </c>
      <c r="H65" s="147">
        <f t="shared" si="10"/>
        <v>61843429.355147891</v>
      </c>
      <c r="I65" s="147">
        <f t="shared" si="10"/>
        <v>34546290.055714831</v>
      </c>
      <c r="J65" s="147">
        <f t="shared" si="10"/>
        <v>28735173.015079167</v>
      </c>
      <c r="K65" s="147">
        <f t="shared" si="10"/>
        <v>2984787.8856784231</v>
      </c>
      <c r="L65" s="147">
        <f t="shared" si="10"/>
        <v>8555339.0659501068</v>
      </c>
      <c r="M65" s="147">
        <f t="shared" si="10"/>
        <v>5099794.019189165</v>
      </c>
      <c r="N65" s="147">
        <f t="shared" si="10"/>
        <v>7713362.198560847</v>
      </c>
      <c r="O65" s="147">
        <f t="shared" si="10"/>
        <v>163993.86033432701</v>
      </c>
      <c r="P65" s="133"/>
      <c r="Q65" s="147">
        <f>SUM(Q54:Q64)</f>
        <v>25588817.958431389</v>
      </c>
      <c r="R65" s="147">
        <f>SUM(R54:R64)</f>
        <v>130563.07821920367</v>
      </c>
      <c r="S65" s="147">
        <f>SUM(S54:S64)</f>
        <v>3015791.9784285761</v>
      </c>
      <c r="T65" s="147">
        <f>SUM(T54:T64)</f>
        <v>28735173.015079167</v>
      </c>
      <c r="U65" s="147">
        <f>SUM(U54:U64)</f>
        <v>25719381.036650583</v>
      </c>
      <c r="V65" s="133"/>
      <c r="W65" s="133"/>
      <c r="X65" s="133"/>
      <c r="Y65" s="133"/>
    </row>
    <row r="66" spans="1:25" s="132" customFormat="1" ht="15" x14ac:dyDescent="0.25">
      <c r="A66" s="132">
        <f t="shared" si="6"/>
        <v>59</v>
      </c>
      <c r="B66" s="134"/>
      <c r="D66" s="133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33"/>
      <c r="Q66" s="146"/>
      <c r="R66" s="146"/>
      <c r="S66" s="146"/>
      <c r="T66" s="146"/>
      <c r="U66" s="146"/>
      <c r="V66" s="133"/>
      <c r="W66" s="133"/>
      <c r="X66" s="133"/>
      <c r="Y66" s="133"/>
    </row>
    <row r="67" spans="1:25" s="132" customFormat="1" x14ac:dyDescent="0.2">
      <c r="A67" s="135">
        <f t="shared" si="6"/>
        <v>60</v>
      </c>
      <c r="B67" s="136"/>
      <c r="C67" s="135" t="s">
        <v>251</v>
      </c>
      <c r="D67" s="137"/>
      <c r="E67" s="147">
        <f>SUM(E65,E51,E27,E20,E14)</f>
        <v>10801889659.545374</v>
      </c>
      <c r="F67" s="147">
        <f t="shared" ref="F67:O67" si="11">SUM(F65,F51,F27,F20,F14)</f>
        <v>6327012747.6898909</v>
      </c>
      <c r="G67" s="147">
        <f t="shared" si="11"/>
        <v>1342620656.7711043</v>
      </c>
      <c r="H67" s="147">
        <f t="shared" si="11"/>
        <v>1318719087.6980696</v>
      </c>
      <c r="I67" s="147">
        <f t="shared" si="11"/>
        <v>733876904.98253739</v>
      </c>
      <c r="J67" s="147">
        <f t="shared" si="11"/>
        <v>606078884.63111675</v>
      </c>
      <c r="K67" s="147">
        <f t="shared" si="11"/>
        <v>63135509.022767507</v>
      </c>
      <c r="L67" s="147">
        <f t="shared" si="11"/>
        <v>183018784.99283093</v>
      </c>
      <c r="M67" s="147">
        <f t="shared" si="11"/>
        <v>112942622.30885296</v>
      </c>
      <c r="N67" s="147">
        <f t="shared" si="11"/>
        <v>110970702.81193693</v>
      </c>
      <c r="O67" s="147">
        <f t="shared" si="11"/>
        <v>3513758.6362680881</v>
      </c>
      <c r="P67" s="133"/>
      <c r="Q67" s="147">
        <f>SUM(Q65,Q51,Q27,Q20,Q14)</f>
        <v>539364233.95964766</v>
      </c>
      <c r="R67" s="147">
        <f>SUM(R65,R51,R27,R20,R14)</f>
        <v>2775214.2236867566</v>
      </c>
      <c r="S67" s="147">
        <f>SUM(S65,S51,S27,S20,S14)</f>
        <v>63939436.447782241</v>
      </c>
      <c r="T67" s="147">
        <f>SUM(T65,T51,T27,T20,T14)</f>
        <v>606078884.63111675</v>
      </c>
      <c r="U67" s="147">
        <f>SUM(U65,U51,U27,U20,U14)</f>
        <v>542139448.18333435</v>
      </c>
      <c r="V67" s="133"/>
      <c r="W67" s="133"/>
      <c r="X67" s="133"/>
      <c r="Y67" s="133"/>
    </row>
    <row r="68" spans="1:25" x14ac:dyDescent="0.2">
      <c r="A68" s="132">
        <f t="shared" si="6"/>
        <v>61</v>
      </c>
      <c r="Q68" s="133"/>
    </row>
    <row r="69" spans="1:25" s="132" customFormat="1" ht="15" x14ac:dyDescent="0.25">
      <c r="A69" s="132">
        <f t="shared" si="6"/>
        <v>62</v>
      </c>
      <c r="B69" s="134"/>
      <c r="C69" s="132" t="s">
        <v>257</v>
      </c>
      <c r="D69" s="133"/>
      <c r="E69" s="146"/>
      <c r="F69" s="146"/>
      <c r="G69" s="146"/>
      <c r="H69" s="146"/>
      <c r="I69" s="146"/>
      <c r="J69" s="146"/>
      <c r="K69" s="146">
        <f>-K23</f>
        <v>-17142065.432192277</v>
      </c>
      <c r="L69" s="146"/>
      <c r="M69" s="146">
        <f>-M23</f>
        <v>-96764949.440437227</v>
      </c>
      <c r="N69" s="146"/>
      <c r="O69" s="146"/>
      <c r="P69" s="133"/>
      <c r="Q69" s="146"/>
      <c r="R69" s="146"/>
      <c r="S69" s="146"/>
      <c r="T69" s="146"/>
      <c r="U69" s="146"/>
      <c r="V69" s="133"/>
      <c r="W69" s="133"/>
      <c r="X69" s="133"/>
      <c r="Y69" s="133"/>
    </row>
    <row r="70" spans="1:25" s="132" customFormat="1" ht="15" x14ac:dyDescent="0.25">
      <c r="A70" s="132">
        <f t="shared" si="6"/>
        <v>63</v>
      </c>
      <c r="B70" s="134"/>
      <c r="C70" s="132" t="s">
        <v>258</v>
      </c>
      <c r="D70" s="133"/>
      <c r="E70" s="146"/>
      <c r="F70" s="146"/>
      <c r="G70" s="146"/>
      <c r="H70" s="146"/>
      <c r="I70" s="146"/>
      <c r="J70" s="146"/>
      <c r="K70" s="146">
        <f>+K69/SUM(K51,K27)*SUM(K14,K65)</f>
        <v>-1646644.1789129865</v>
      </c>
      <c r="L70" s="146"/>
      <c r="M70" s="146">
        <f>+M69/SUM(M51,M27)*SUM(M14,M65)</f>
        <v>-8082087.2666180739</v>
      </c>
      <c r="N70" s="146"/>
      <c r="O70" s="146"/>
      <c r="P70" s="133"/>
      <c r="Q70" s="146"/>
      <c r="R70" s="146"/>
      <c r="S70" s="146"/>
      <c r="T70" s="146"/>
      <c r="U70" s="146"/>
      <c r="V70" s="133"/>
      <c r="W70" s="133"/>
      <c r="X70" s="133"/>
      <c r="Y70" s="133"/>
    </row>
    <row r="71" spans="1:25" s="132" customFormat="1" x14ac:dyDescent="0.2">
      <c r="A71" s="135">
        <f t="shared" si="6"/>
        <v>64</v>
      </c>
      <c r="B71" s="136"/>
      <c r="C71" s="135" t="s">
        <v>259</v>
      </c>
      <c r="D71" s="137"/>
      <c r="E71" s="147">
        <f>SUM(E67,E69:E70)</f>
        <v>10801889659.545374</v>
      </c>
      <c r="F71" s="147">
        <f t="shared" ref="F71:Q71" si="12">SUM(F67,F69:F70)</f>
        <v>6327012747.6898909</v>
      </c>
      <c r="G71" s="147">
        <f t="shared" si="12"/>
        <v>1342620656.7711043</v>
      </c>
      <c r="H71" s="147">
        <f t="shared" si="12"/>
        <v>1318719087.6980696</v>
      </c>
      <c r="I71" s="147">
        <f t="shared" si="12"/>
        <v>733876904.98253739</v>
      </c>
      <c r="J71" s="147">
        <f t="shared" si="12"/>
        <v>606078884.63111675</v>
      </c>
      <c r="K71" s="147">
        <f>SUM(K67,K69:K70)</f>
        <v>44346799.411662243</v>
      </c>
      <c r="L71" s="147">
        <f t="shared" si="12"/>
        <v>183018784.99283093</v>
      </c>
      <c r="M71" s="147">
        <f>SUM(M67,M69:M70)</f>
        <v>8095585.6017976543</v>
      </c>
      <c r="N71" s="147">
        <f t="shared" si="12"/>
        <v>110970702.81193693</v>
      </c>
      <c r="O71" s="147">
        <f t="shared" si="12"/>
        <v>3513758.6362680881</v>
      </c>
      <c r="P71" s="133"/>
      <c r="Q71" s="147">
        <f t="shared" si="12"/>
        <v>539364233.95964766</v>
      </c>
      <c r="R71" s="147">
        <f t="shared" ref="R71" si="13">SUM(R67,R69:R70)</f>
        <v>2775214.2236867566</v>
      </c>
      <c r="S71" s="147">
        <f t="shared" ref="S71" si="14">SUM(S67,S69:S70)</f>
        <v>63939436.447782241</v>
      </c>
      <c r="T71" s="147">
        <f t="shared" ref="T71" si="15">SUM(T67,T69:T70)</f>
        <v>606078884.63111675</v>
      </c>
      <c r="U71" s="147">
        <f t="shared" ref="U71" si="16">SUM(U67,U69:U70)</f>
        <v>542139448.18333435</v>
      </c>
      <c r="V71" s="133"/>
      <c r="W71" s="133"/>
      <c r="X71" s="133"/>
      <c r="Y71" s="133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40" fitToHeight="0" pageOrder="overThenDown" orientation="landscape" r:id="rId1"/>
  <headerFooter alignWithMargins="0">
    <oddHeader>&amp;RDocket No. UE-19xxxx
ECOS Model
Page &amp;P of &amp;N</oddHeader>
    <oddFooter>&amp;L&amp;F
&amp;A&amp;RExhibit No.___BDJ-4
Pages 12 to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O9" sqref="O9"/>
    </sheetView>
  </sheetViews>
  <sheetFormatPr defaultColWidth="9.140625" defaultRowHeight="12.75" x14ac:dyDescent="0.2"/>
  <cols>
    <col min="1" max="1" width="4.7109375" style="11" customWidth="1"/>
    <col min="2" max="2" width="29.7109375" style="11" customWidth="1"/>
    <col min="3" max="3" width="13.85546875" style="11" customWidth="1"/>
    <col min="4" max="4" width="15.7109375" style="11" bestFit="1" customWidth="1"/>
    <col min="5" max="5" width="9" style="11" customWidth="1"/>
    <col min="6" max="6" width="0.85546875" style="11" customWidth="1"/>
    <col min="7" max="7" width="14.7109375" style="11" bestFit="1" customWidth="1"/>
    <col min="8" max="8" width="14.7109375" style="11" customWidth="1"/>
    <col min="9" max="9" width="13.140625" style="11" customWidth="1"/>
    <col min="10" max="10" width="0.85546875" style="11" customWidth="1"/>
    <col min="11" max="11" width="14.7109375" style="11" customWidth="1"/>
    <col min="12" max="12" width="0.85546875" style="11" customWidth="1"/>
    <col min="13" max="13" width="12.5703125" style="11" customWidth="1"/>
    <col min="14" max="14" width="13.140625" style="11" bestFit="1" customWidth="1"/>
    <col min="15" max="15" width="12.7109375" style="11" customWidth="1"/>
    <col min="16" max="16" width="0.85546875" style="11" customWidth="1"/>
    <col min="17" max="17" width="9.42578125" style="11" customWidth="1"/>
    <col min="18" max="18" width="2.7109375" style="11" customWidth="1"/>
    <col min="19" max="19" width="12" style="11" bestFit="1" customWidth="1"/>
    <col min="20" max="20" width="21.85546875" style="11" bestFit="1" customWidth="1"/>
    <col min="21" max="21" width="38.5703125" style="11" bestFit="1" customWidth="1"/>
    <col min="22" max="16384" width="9.140625" style="11"/>
  </cols>
  <sheetData>
    <row r="1" spans="1:21" ht="12.75" customHeight="1" x14ac:dyDescent="0.2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21" x14ac:dyDescent="0.2">
      <c r="A2" s="262" t="s">
        <v>295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21" x14ac:dyDescent="0.2">
      <c r="A3" s="262" t="s">
        <v>322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1:21" x14ac:dyDescent="0.2">
      <c r="B4" s="30"/>
      <c r="C4" s="30"/>
      <c r="D4" s="30"/>
    </row>
    <row r="5" spans="1:21" s="28" customFormat="1" ht="13.5" thickBot="1" x14ac:dyDescent="0.25">
      <c r="B5" s="29"/>
      <c r="C5" s="29"/>
    </row>
    <row r="6" spans="1:21" s="15" customFormat="1" ht="76.5" x14ac:dyDescent="0.2">
      <c r="A6" s="27" t="s">
        <v>1</v>
      </c>
      <c r="B6" s="27" t="s">
        <v>2</v>
      </c>
      <c r="C6" s="27" t="s">
        <v>3</v>
      </c>
      <c r="D6" s="26" t="s">
        <v>323</v>
      </c>
      <c r="E6" s="27" t="s">
        <v>4</v>
      </c>
      <c r="F6" s="27"/>
      <c r="G6" s="27" t="s">
        <v>64</v>
      </c>
      <c r="H6" s="26" t="s">
        <v>107</v>
      </c>
      <c r="I6" s="27" t="s">
        <v>74</v>
      </c>
      <c r="J6" s="27"/>
      <c r="K6" s="27" t="s">
        <v>324</v>
      </c>
      <c r="L6" s="27"/>
      <c r="M6" s="26" t="s">
        <v>325</v>
      </c>
      <c r="N6" s="26" t="s">
        <v>326</v>
      </c>
      <c r="O6" s="26" t="s">
        <v>327</v>
      </c>
      <c r="P6" s="27"/>
      <c r="Q6" s="27" t="s">
        <v>75</v>
      </c>
      <c r="T6" s="204" t="s">
        <v>344</v>
      </c>
      <c r="U6" s="205" t="s">
        <v>343</v>
      </c>
    </row>
    <row r="7" spans="1:21" s="15" customFormat="1" ht="25.5" x14ac:dyDescent="0.2">
      <c r="A7" s="2"/>
      <c r="B7" s="2"/>
      <c r="C7" s="69"/>
      <c r="D7" s="69" t="s">
        <v>30</v>
      </c>
      <c r="E7" s="69" t="s">
        <v>119</v>
      </c>
      <c r="F7" s="70"/>
      <c r="G7" s="3" t="s">
        <v>273</v>
      </c>
      <c r="H7" s="3" t="s">
        <v>274</v>
      </c>
      <c r="I7" s="69" t="s">
        <v>275</v>
      </c>
      <c r="J7" s="1"/>
      <c r="K7" s="69" t="s">
        <v>27</v>
      </c>
      <c r="L7" s="69"/>
      <c r="M7" s="3" t="s">
        <v>276</v>
      </c>
      <c r="N7" s="3" t="s">
        <v>277</v>
      </c>
      <c r="O7" s="3" t="s">
        <v>278</v>
      </c>
      <c r="P7" s="1"/>
      <c r="Q7" s="3" t="s">
        <v>279</v>
      </c>
      <c r="T7" s="206"/>
      <c r="U7" s="207"/>
    </row>
    <row r="8" spans="1:21" s="15" customFormat="1" x14ac:dyDescent="0.2">
      <c r="A8" s="15">
        <v>1</v>
      </c>
      <c r="B8" s="25" t="s">
        <v>7</v>
      </c>
      <c r="C8" s="24"/>
      <c r="D8" s="11"/>
      <c r="F8" s="11"/>
      <c r="K8" s="24"/>
      <c r="L8" s="24"/>
      <c r="T8" s="208"/>
      <c r="U8" s="209"/>
    </row>
    <row r="9" spans="1:21" ht="15" x14ac:dyDescent="0.25">
      <c r="A9" s="15">
        <f t="shared" ref="A9:A37" si="0">+A8+1</f>
        <v>2</v>
      </c>
      <c r="B9" s="19" t="s">
        <v>7</v>
      </c>
      <c r="C9" s="222">
        <v>7</v>
      </c>
      <c r="D9" s="40">
        <v>6327012747.6898909</v>
      </c>
      <c r="E9" s="63">
        <f>+D9/$D$35</f>
        <v>0.59251379477431076</v>
      </c>
      <c r="G9" s="40">
        <f>+E9*$G$37</f>
        <v>24627958.114854041</v>
      </c>
      <c r="H9" s="40">
        <f>+E9*$H$37</f>
        <v>8656052.3875368349</v>
      </c>
      <c r="I9" s="40">
        <f>SUM(G9:H9)</f>
        <v>33284010.502390876</v>
      </c>
      <c r="J9" s="40"/>
      <c r="K9" s="41">
        <v>10836904000</v>
      </c>
      <c r="L9" s="41"/>
      <c r="M9" s="36">
        <f>ROUND(G9/$K9,6)</f>
        <v>2.2729999999999998E-3</v>
      </c>
      <c r="N9" s="36">
        <f>ROUND((H9)/$K9,6)</f>
        <v>7.9900000000000001E-4</v>
      </c>
      <c r="O9" s="36">
        <f>SUM(M9:N9)</f>
        <v>3.0720000000000001E-3</v>
      </c>
      <c r="Q9" s="40">
        <f>+O9*K9-I9</f>
        <v>6958.5856091231108</v>
      </c>
      <c r="R9" s="55"/>
      <c r="S9" s="89"/>
      <c r="T9" s="208" t="s">
        <v>345</v>
      </c>
      <c r="U9" s="209"/>
    </row>
    <row r="10" spans="1:21" ht="15" x14ac:dyDescent="0.25">
      <c r="A10" s="15">
        <f t="shared" si="0"/>
        <v>3</v>
      </c>
      <c r="B10" s="17" t="s">
        <v>26</v>
      </c>
      <c r="D10" s="46">
        <f>SUM(D9:D9)</f>
        <v>6327012747.6898909</v>
      </c>
      <c r="E10" s="64">
        <f>+D10/$D$35</f>
        <v>0.59251379477431076</v>
      </c>
      <c r="G10" s="46">
        <f>SUM(G9:G9)</f>
        <v>24627958.114854041</v>
      </c>
      <c r="H10" s="46">
        <f>SUM(H9:H9)</f>
        <v>8656052.3875368349</v>
      </c>
      <c r="I10" s="46">
        <f>SUM(I9:I9)</f>
        <v>33284010.502390876</v>
      </c>
      <c r="J10" s="46"/>
      <c r="K10" s="42">
        <f>SUM(K9:K9)</f>
        <v>10836904000</v>
      </c>
      <c r="L10" s="43"/>
      <c r="M10" s="37">
        <f>ROUND(G10/$K10,6)</f>
        <v>2.2729999999999998E-3</v>
      </c>
      <c r="N10" s="37">
        <f>ROUND((H10)/$K10,6)</f>
        <v>7.9900000000000001E-4</v>
      </c>
      <c r="O10" s="37">
        <f>SUM(M10:N10)</f>
        <v>3.0720000000000001E-3</v>
      </c>
      <c r="Q10" s="46">
        <f>SUM(Q9:Q9)</f>
        <v>6958.5856091231108</v>
      </c>
      <c r="S10"/>
      <c r="T10" s="208"/>
      <c r="U10" s="209"/>
    </row>
    <row r="11" spans="1:21" ht="15" x14ac:dyDescent="0.25">
      <c r="A11" s="15">
        <f t="shared" si="0"/>
        <v>4</v>
      </c>
      <c r="D11" s="47"/>
      <c r="E11" s="65"/>
      <c r="G11" s="47"/>
      <c r="H11" s="47"/>
      <c r="I11" s="47"/>
      <c r="J11" s="47"/>
      <c r="K11" s="43"/>
      <c r="L11" s="43"/>
      <c r="M11" s="38"/>
      <c r="N11" s="38"/>
      <c r="O11" s="38"/>
      <c r="Q11" s="47"/>
      <c r="S11"/>
      <c r="T11" s="208"/>
      <c r="U11" s="209"/>
    </row>
    <row r="12" spans="1:21" ht="15" x14ac:dyDescent="0.25">
      <c r="A12" s="15">
        <f t="shared" si="0"/>
        <v>5</v>
      </c>
      <c r="B12" s="11" t="s">
        <v>8</v>
      </c>
      <c r="D12" s="47"/>
      <c r="E12" s="65"/>
      <c r="G12" s="47"/>
      <c r="H12" s="47"/>
      <c r="I12" s="47"/>
      <c r="J12" s="47"/>
      <c r="K12" s="43"/>
      <c r="L12" s="43"/>
      <c r="M12" s="38"/>
      <c r="N12" s="38"/>
      <c r="O12" s="38"/>
      <c r="Q12" s="47"/>
      <c r="S12"/>
      <c r="T12" s="208"/>
      <c r="U12" s="209"/>
    </row>
    <row r="13" spans="1:21" ht="15" x14ac:dyDescent="0.25">
      <c r="A13" s="15">
        <f t="shared" si="0"/>
        <v>6</v>
      </c>
      <c r="B13" s="21" t="s">
        <v>9</v>
      </c>
      <c r="C13" s="222" t="s">
        <v>77</v>
      </c>
      <c r="D13" s="40">
        <v>1342620656.7711043</v>
      </c>
      <c r="E13" s="63">
        <f>+D13/$D$35</f>
        <v>0.12573410106946345</v>
      </c>
      <c r="G13" s="40">
        <f>+E13*$G$37</f>
        <v>5226163.8497835472</v>
      </c>
      <c r="H13" s="40">
        <f>+E13*$H$37</f>
        <v>1836853.3785305114</v>
      </c>
      <c r="I13" s="40">
        <f>SUM(G13:H13)</f>
        <v>7063017.2283140589</v>
      </c>
      <c r="J13" s="40"/>
      <c r="K13" s="41">
        <v>2675945000</v>
      </c>
      <c r="L13" s="41"/>
      <c r="M13" s="36">
        <f>ROUND(G13/$K13,6)</f>
        <v>1.9530000000000001E-3</v>
      </c>
      <c r="N13" s="36">
        <f>ROUND((H13)/$K13,6)</f>
        <v>6.8599999999999998E-4</v>
      </c>
      <c r="O13" s="36">
        <f>SUM(M13:N13)</f>
        <v>2.6389999999999999E-3</v>
      </c>
      <c r="Q13" s="40">
        <f>+O13*K13-I13</f>
        <v>-1198.3733140593395</v>
      </c>
      <c r="R13" s="55"/>
      <c r="S13"/>
      <c r="T13" s="208" t="s">
        <v>345</v>
      </c>
      <c r="U13" s="209"/>
    </row>
    <row r="14" spans="1:21" ht="15" x14ac:dyDescent="0.25">
      <c r="A14" s="15">
        <f t="shared" si="0"/>
        <v>7</v>
      </c>
      <c r="B14" s="21" t="s">
        <v>10</v>
      </c>
      <c r="C14" s="223" t="s">
        <v>86</v>
      </c>
      <c r="D14" s="40">
        <v>1318719087.6980696</v>
      </c>
      <c r="E14" s="63">
        <f>+D14/$D$35</f>
        <v>0.12349576048801056</v>
      </c>
      <c r="G14" s="40">
        <f>+E14*$G$37</f>
        <v>5133126.7617478212</v>
      </c>
      <c r="H14" s="40">
        <f>+E14*$H$37</f>
        <v>1804153.3916186693</v>
      </c>
      <c r="I14" s="40">
        <f>SUM(G14:H14)</f>
        <v>6937280.1533664903</v>
      </c>
      <c r="J14" s="40"/>
      <c r="K14" s="41">
        <v>2856044000</v>
      </c>
      <c r="L14" s="41"/>
      <c r="M14" s="36">
        <f>ROUND(G14/$K14,6)</f>
        <v>1.797E-3</v>
      </c>
      <c r="N14" s="36">
        <f>ROUND((H14)/$K14,6)</f>
        <v>6.3199999999999997E-4</v>
      </c>
      <c r="O14" s="36">
        <f>SUM(M14:N14)</f>
        <v>2.4289999999999997E-3</v>
      </c>
      <c r="Q14" s="40">
        <f>+O14*K14-I14</f>
        <v>50.722633508965373</v>
      </c>
      <c r="R14" s="55"/>
      <c r="S14"/>
      <c r="T14" s="208" t="s">
        <v>345</v>
      </c>
      <c r="U14" s="209"/>
    </row>
    <row r="15" spans="1:21" ht="15" x14ac:dyDescent="0.25">
      <c r="A15" s="15">
        <f t="shared" si="0"/>
        <v>8</v>
      </c>
      <c r="B15" s="21" t="s">
        <v>11</v>
      </c>
      <c r="C15" s="223" t="s">
        <v>120</v>
      </c>
      <c r="D15" s="47">
        <v>733876904.98253739</v>
      </c>
      <c r="E15" s="65">
        <f>+D15/$D$35</f>
        <v>6.8726302160082547E-2</v>
      </c>
      <c r="G15" s="47">
        <f>+E15*$G$37</f>
        <v>2856622.9274577904</v>
      </c>
      <c r="H15" s="47">
        <f>+E15*$H$37</f>
        <v>1004024.6778152364</v>
      </c>
      <c r="I15" s="47">
        <f>SUM(G15:H15)</f>
        <v>3860647.605273027</v>
      </c>
      <c r="J15" s="47"/>
      <c r="K15" s="43">
        <v>1673580000</v>
      </c>
      <c r="L15" s="43"/>
      <c r="M15" s="38">
        <f>ROUND(G15/$K15,6)</f>
        <v>1.707E-3</v>
      </c>
      <c r="N15" s="36">
        <f>ROUND((H15)/$K15,6)</f>
        <v>5.9999999999999995E-4</v>
      </c>
      <c r="O15" s="38">
        <f>SUM(M15:N15)</f>
        <v>2.307E-3</v>
      </c>
      <c r="Q15" s="47">
        <f>+O15*K15-I15</f>
        <v>301.45472697308287</v>
      </c>
      <c r="R15" s="55"/>
      <c r="S15"/>
      <c r="T15" s="208" t="s">
        <v>345</v>
      </c>
      <c r="U15" s="209"/>
    </row>
    <row r="16" spans="1:21" ht="15" x14ac:dyDescent="0.25">
      <c r="A16" s="15">
        <f t="shared" si="0"/>
        <v>9</v>
      </c>
      <c r="B16" s="14" t="s">
        <v>12</v>
      </c>
      <c r="D16" s="46">
        <f>SUM(D13:D15)</f>
        <v>3395216649.4517112</v>
      </c>
      <c r="E16" s="64">
        <f>+D16/$D$35</f>
        <v>0.31795616371755653</v>
      </c>
      <c r="G16" s="46">
        <f>SUM(G13:G15)</f>
        <v>13215913.53898916</v>
      </c>
      <c r="H16" s="46">
        <f>SUM(H13:H15)</f>
        <v>4645031.4479644168</v>
      </c>
      <c r="I16" s="46">
        <f>SUM(I13:I15)</f>
        <v>17860944.986953575</v>
      </c>
      <c r="J16" s="46"/>
      <c r="K16" s="42">
        <f>SUM(K13:K15)</f>
        <v>7205569000</v>
      </c>
      <c r="L16" s="43"/>
      <c r="M16" s="37">
        <f>ROUND(G16/$K16,6)</f>
        <v>1.8339999999999999E-3</v>
      </c>
      <c r="N16" s="37">
        <f>ROUND((H16)/$K16,6)</f>
        <v>6.4499999999999996E-4</v>
      </c>
      <c r="O16" s="37">
        <f>SUM(M16:N16)</f>
        <v>2.4789999999999999E-3</v>
      </c>
      <c r="Q16" s="46">
        <f>SUM(Q13:Q15)</f>
        <v>-846.19595357729122</v>
      </c>
      <c r="S16"/>
      <c r="T16" s="208"/>
      <c r="U16" s="209"/>
    </row>
    <row r="17" spans="1:21" ht="15" x14ac:dyDescent="0.25">
      <c r="A17" s="15">
        <f t="shared" si="0"/>
        <v>10</v>
      </c>
      <c r="D17" s="47"/>
      <c r="E17" s="65"/>
      <c r="G17" s="47"/>
      <c r="H17" s="47"/>
      <c r="I17" s="47"/>
      <c r="J17" s="47"/>
      <c r="K17" s="43"/>
      <c r="L17" s="43"/>
      <c r="M17" s="38"/>
      <c r="N17" s="38"/>
      <c r="O17" s="38"/>
      <c r="Q17" s="47"/>
      <c r="S17"/>
      <c r="T17" s="208"/>
      <c r="U17" s="209"/>
    </row>
    <row r="18" spans="1:21" ht="15" x14ac:dyDescent="0.25">
      <c r="A18" s="15">
        <f t="shared" si="0"/>
        <v>11</v>
      </c>
      <c r="B18" s="11" t="s">
        <v>13</v>
      </c>
      <c r="D18" s="47"/>
      <c r="E18" s="65"/>
      <c r="G18" s="47"/>
      <c r="H18" s="47"/>
      <c r="I18" s="47"/>
      <c r="J18" s="47"/>
      <c r="K18" s="43"/>
      <c r="L18" s="43"/>
      <c r="M18" s="38"/>
      <c r="N18" s="38"/>
      <c r="O18" s="38"/>
      <c r="Q18" s="47"/>
      <c r="S18"/>
      <c r="T18" s="208"/>
      <c r="U18" s="209"/>
    </row>
    <row r="19" spans="1:21" ht="15" x14ac:dyDescent="0.25">
      <c r="A19" s="15">
        <f t="shared" si="0"/>
        <v>12</v>
      </c>
      <c r="B19" s="21" t="s">
        <v>22</v>
      </c>
      <c r="C19" s="223" t="s">
        <v>87</v>
      </c>
      <c r="D19" s="40">
        <v>542139448.18333435</v>
      </c>
      <c r="E19" s="63">
        <f>+D19/$D$35</f>
        <v>5.0770421137090876E-2</v>
      </c>
      <c r="G19" s="40">
        <f>+E19*$G$37</f>
        <v>2110283.0284551312</v>
      </c>
      <c r="H19" s="40">
        <f>+E19*$H$37</f>
        <v>741706.65556801297</v>
      </c>
      <c r="I19" s="40">
        <f>SUM(G19:H19)</f>
        <v>2851989.6840231442</v>
      </c>
      <c r="J19" s="40"/>
      <c r="K19" s="41">
        <v>1283727000</v>
      </c>
      <c r="L19" s="41"/>
      <c r="M19" s="36">
        <f>ROUND(G19/$K19,6)</f>
        <v>1.6440000000000001E-3</v>
      </c>
      <c r="N19" s="36">
        <f>ROUND((H19)/$K19,6)</f>
        <v>5.7799999999999995E-4</v>
      </c>
      <c r="O19" s="36">
        <f>SUM(M19:N19)</f>
        <v>2.222E-3</v>
      </c>
      <c r="Q19" s="40">
        <f>+O19*K19-I19</f>
        <v>451.70997685566545</v>
      </c>
      <c r="R19" s="55"/>
      <c r="S19"/>
      <c r="T19" s="208" t="s">
        <v>345</v>
      </c>
      <c r="U19" s="209"/>
    </row>
    <row r="20" spans="1:21" ht="15" x14ac:dyDescent="0.25">
      <c r="A20" s="15">
        <f t="shared" si="0"/>
        <v>13</v>
      </c>
      <c r="B20" s="19" t="s">
        <v>14</v>
      </c>
      <c r="C20" s="222">
        <v>43</v>
      </c>
      <c r="D20" s="40">
        <v>63939436.447782241</v>
      </c>
      <c r="E20" s="63">
        <f>+D20/$D$35</f>
        <v>5.9878175746111532E-3</v>
      </c>
      <c r="G20" s="40">
        <f>+E20*$G$37</f>
        <v>248884.87277006108</v>
      </c>
      <c r="H20" s="40">
        <f>+E20*$H$37</f>
        <v>87476.21248647946</v>
      </c>
      <c r="I20" s="40">
        <f>SUM(G20:H20)</f>
        <v>336361.08525654057</v>
      </c>
      <c r="J20" s="40"/>
      <c r="K20" s="41">
        <v>110092000</v>
      </c>
      <c r="L20" s="41"/>
      <c r="M20" s="36">
        <f>ROUND(G20/$K20,6)</f>
        <v>2.261E-3</v>
      </c>
      <c r="N20" s="36">
        <f>ROUND((H20)/$K20,6)</f>
        <v>7.9500000000000003E-4</v>
      </c>
      <c r="O20" s="36">
        <f>SUM(M20:N20)</f>
        <v>3.0560000000000001E-3</v>
      </c>
      <c r="Q20" s="40">
        <f>+O20*K20-I20</f>
        <v>80.066743459436111</v>
      </c>
      <c r="R20" s="55"/>
      <c r="S20"/>
      <c r="T20" s="208" t="s">
        <v>348</v>
      </c>
      <c r="U20" s="209"/>
    </row>
    <row r="21" spans="1:21" ht="15" x14ac:dyDescent="0.25">
      <c r="A21" s="15">
        <f t="shared" si="0"/>
        <v>14</v>
      </c>
      <c r="B21" s="17" t="s">
        <v>15</v>
      </c>
      <c r="D21" s="46">
        <f>SUM(D19:D20)</f>
        <v>606078884.63111663</v>
      </c>
      <c r="E21" s="64">
        <f>+D21/$D$35</f>
        <v>5.6758238711702033E-2</v>
      </c>
      <c r="G21" s="46">
        <f>SUM(G19:G20)</f>
        <v>2359167.9012251925</v>
      </c>
      <c r="H21" s="46">
        <f>SUM(H19:H20)</f>
        <v>829182.8680544924</v>
      </c>
      <c r="I21" s="46">
        <f>SUM(I19:I20)</f>
        <v>3188350.7692796849</v>
      </c>
      <c r="J21" s="46"/>
      <c r="K21" s="42">
        <f>SUM(K19:K20)</f>
        <v>1393819000</v>
      </c>
      <c r="L21" s="43"/>
      <c r="M21" s="37">
        <f>ROUND(G21/$K21,6)</f>
        <v>1.6930000000000001E-3</v>
      </c>
      <c r="N21" s="37">
        <f>ROUND((H21)/$K21,6)</f>
        <v>5.9500000000000004E-4</v>
      </c>
      <c r="O21" s="37">
        <f>SUM(M21:N21)</f>
        <v>2.2880000000000001E-3</v>
      </c>
      <c r="Q21" s="46">
        <f>SUM(Q19:Q20)</f>
        <v>531.77672031510156</v>
      </c>
      <c r="S21"/>
      <c r="T21" s="208"/>
      <c r="U21" s="209"/>
    </row>
    <row r="22" spans="1:21" ht="15" x14ac:dyDescent="0.25">
      <c r="A22" s="15">
        <f t="shared" si="0"/>
        <v>15</v>
      </c>
      <c r="D22" s="34"/>
      <c r="E22" s="66"/>
      <c r="G22" s="34"/>
      <c r="H22" s="34"/>
      <c r="I22" s="34"/>
      <c r="J22" s="34"/>
      <c r="K22" s="44"/>
      <c r="L22" s="44"/>
      <c r="M22" s="35"/>
      <c r="N22" s="35"/>
      <c r="O22" s="35"/>
      <c r="Q22" s="34"/>
      <c r="S22"/>
      <c r="T22" s="208"/>
      <c r="U22" s="209"/>
    </row>
    <row r="23" spans="1:21" ht="15" x14ac:dyDescent="0.25">
      <c r="A23" s="15">
        <f t="shared" si="0"/>
        <v>16</v>
      </c>
      <c r="B23" s="14" t="s">
        <v>294</v>
      </c>
      <c r="C23" s="222" t="s">
        <v>321</v>
      </c>
      <c r="D23" s="46">
        <v>44346799.411662243</v>
      </c>
      <c r="E23" s="64">
        <f>+D23/$D$35</f>
        <v>4.1530010217053935E-3</v>
      </c>
      <c r="G23" s="46">
        <f>+E23*$G$37</f>
        <v>172620.34422753824</v>
      </c>
      <c r="H23" s="46">
        <f>+E23*$H$37</f>
        <v>60671.320611309566</v>
      </c>
      <c r="I23" s="46">
        <f>SUM(G23:H23)</f>
        <v>233291.66483884782</v>
      </c>
      <c r="J23" s="46"/>
      <c r="K23" s="42">
        <v>480416000</v>
      </c>
      <c r="L23" s="43"/>
      <c r="M23" s="37">
        <f>ROUND(G23/$K23,6)</f>
        <v>3.59E-4</v>
      </c>
      <c r="N23" s="37">
        <f>ROUND((H23)/$K23,6)</f>
        <v>1.26E-4</v>
      </c>
      <c r="O23" s="37">
        <f>SUM(M23:N23)</f>
        <v>4.8499999999999997E-4</v>
      </c>
      <c r="Q23" s="46">
        <f>+O23*K23-I23</f>
        <v>-289.90483884784044</v>
      </c>
      <c r="R23" s="55"/>
      <c r="S23"/>
      <c r="T23" s="208" t="s">
        <v>345</v>
      </c>
      <c r="U23" s="209" t="s">
        <v>347</v>
      </c>
    </row>
    <row r="24" spans="1:21" ht="15" x14ac:dyDescent="0.25">
      <c r="A24" s="15">
        <f t="shared" si="0"/>
        <v>17</v>
      </c>
      <c r="D24" s="34"/>
      <c r="E24" s="66"/>
      <c r="G24" s="34"/>
      <c r="H24" s="34"/>
      <c r="I24" s="34"/>
      <c r="J24" s="34"/>
      <c r="K24" s="44"/>
      <c r="L24" s="44"/>
      <c r="M24" s="35"/>
      <c r="N24" s="35"/>
      <c r="O24" s="35"/>
      <c r="Q24" s="34"/>
      <c r="S24"/>
      <c r="T24" s="208"/>
      <c r="U24" s="209"/>
    </row>
    <row r="25" spans="1:21" ht="15" x14ac:dyDescent="0.25">
      <c r="A25" s="15">
        <f t="shared" si="0"/>
        <v>18</v>
      </c>
      <c r="B25" s="11" t="s">
        <v>24</v>
      </c>
      <c r="C25" s="223" t="s">
        <v>65</v>
      </c>
      <c r="D25" s="46">
        <v>183018784.99283093</v>
      </c>
      <c r="E25" s="64">
        <f>+D25/$D$35</f>
        <v>1.7139392496194953E-2</v>
      </c>
      <c r="G25" s="46">
        <f>+E25*$G$37</f>
        <v>712402.38494550926</v>
      </c>
      <c r="H25" s="46">
        <f>+E25*$H$37</f>
        <v>250389.91605947257</v>
      </c>
      <c r="I25" s="46">
        <f>SUM(G25:H25)</f>
        <v>962792.30100498185</v>
      </c>
      <c r="J25" s="46"/>
      <c r="K25" s="42">
        <v>577456000</v>
      </c>
      <c r="L25" s="43"/>
      <c r="M25" s="37">
        <f>ROUND(G25/$K25,6)</f>
        <v>1.2340000000000001E-3</v>
      </c>
      <c r="N25" s="37">
        <f>ROUND((H25)/$K25,6)</f>
        <v>4.3399999999999998E-4</v>
      </c>
      <c r="O25" s="37">
        <f>SUM(M25:N25)</f>
        <v>1.668E-3</v>
      </c>
      <c r="Q25" s="46">
        <f>+O25*K25-I25</f>
        <v>404.30699501815252</v>
      </c>
      <c r="R25" s="55"/>
      <c r="S25"/>
      <c r="T25" s="208" t="s">
        <v>348</v>
      </c>
      <c r="U25" s="209"/>
    </row>
    <row r="26" spans="1:21" ht="15" x14ac:dyDescent="0.25">
      <c r="A26" s="15">
        <f t="shared" si="0"/>
        <v>19</v>
      </c>
      <c r="D26" s="34"/>
      <c r="E26" s="66"/>
      <c r="G26" s="34"/>
      <c r="H26" s="34"/>
      <c r="I26" s="34"/>
      <c r="J26" s="34"/>
      <c r="K26" s="44"/>
      <c r="L26" s="44"/>
      <c r="M26" s="35"/>
      <c r="N26" s="35"/>
      <c r="O26" s="35"/>
      <c r="Q26" s="34"/>
      <c r="S26"/>
      <c r="T26" s="210"/>
      <c r="U26" s="209"/>
    </row>
    <row r="27" spans="1:21" ht="15" x14ac:dyDescent="0.25">
      <c r="A27" s="15">
        <f t="shared" si="0"/>
        <v>20</v>
      </c>
      <c r="B27" s="11" t="s">
        <v>17</v>
      </c>
      <c r="C27" s="222" t="s">
        <v>18</v>
      </c>
      <c r="D27" s="46">
        <v>110970702.81193693</v>
      </c>
      <c r="E27" s="64">
        <f>+D27/$D$35</f>
        <v>1.0392214280883215E-2</v>
      </c>
      <c r="G27" s="46">
        <f>+E27*$G$37</f>
        <v>431954.53048931516</v>
      </c>
      <c r="H27" s="46">
        <f>+E27*$H$37</f>
        <v>151820.18044338989</v>
      </c>
      <c r="I27" s="46">
        <f>SUM(G27:H27)</f>
        <v>583774.71093270509</v>
      </c>
      <c r="J27" s="46"/>
      <c r="K27" s="42">
        <v>62835000</v>
      </c>
      <c r="L27" s="43"/>
      <c r="M27" s="37">
        <f>ROUND(G27/$K27,6)</f>
        <v>6.8739999999999999E-3</v>
      </c>
      <c r="N27" s="37">
        <f>ROUND((H27)/$K27,6)</f>
        <v>2.4160000000000002E-3</v>
      </c>
      <c r="O27" s="37">
        <f>SUM(M27:N27)</f>
        <v>9.2899999999999996E-3</v>
      </c>
      <c r="Q27" s="46">
        <f>+O27*K27-I27</f>
        <v>-37.560932705062442</v>
      </c>
      <c r="R27" s="55"/>
      <c r="S27"/>
      <c r="T27" s="264" t="s">
        <v>346</v>
      </c>
      <c r="U27" s="265"/>
    </row>
    <row r="28" spans="1:21" ht="15" x14ac:dyDescent="0.25">
      <c r="A28" s="15">
        <f t="shared" si="0"/>
        <v>21</v>
      </c>
      <c r="C28" s="222"/>
      <c r="D28" s="34"/>
      <c r="E28" s="66"/>
      <c r="G28" s="34"/>
      <c r="H28" s="34"/>
      <c r="I28" s="34"/>
      <c r="J28" s="34"/>
      <c r="K28" s="44"/>
      <c r="L28" s="44"/>
      <c r="M28" s="35"/>
      <c r="N28" s="35"/>
      <c r="O28" s="35"/>
      <c r="Q28" s="34"/>
      <c r="S28"/>
      <c r="T28" s="210"/>
      <c r="U28" s="209"/>
    </row>
    <row r="29" spans="1:21" ht="15" x14ac:dyDescent="0.25">
      <c r="A29" s="15">
        <f t="shared" si="0"/>
        <v>22</v>
      </c>
      <c r="B29" s="17" t="s">
        <v>21</v>
      </c>
      <c r="C29" s="223" t="s">
        <v>66</v>
      </c>
      <c r="D29" s="46">
        <v>8095585.6017976543</v>
      </c>
      <c r="E29" s="64">
        <f>+D29/$D$35</f>
        <v>7.5813758200388973E-4</v>
      </c>
      <c r="G29" s="46">
        <f>+E29*$G$37</f>
        <v>31512.14499908896</v>
      </c>
      <c r="H29" s="46">
        <f>+E29*$H$37</f>
        <v>11075.655427205418</v>
      </c>
      <c r="I29" s="46">
        <f>SUM(G29:H29)</f>
        <v>42587.80042629438</v>
      </c>
      <c r="J29" s="46"/>
      <c r="K29" s="42">
        <v>1999367000</v>
      </c>
      <c r="L29" s="43"/>
      <c r="M29" s="37">
        <f>ROUND(G29/$K29,6)</f>
        <v>1.5999999999999999E-5</v>
      </c>
      <c r="N29" s="37">
        <f>ROUND((H29)/$K29,6)</f>
        <v>6.0000000000000002E-6</v>
      </c>
      <c r="O29" s="37">
        <f>SUM(M29:N29)</f>
        <v>2.1999999999999999E-5</v>
      </c>
      <c r="Q29" s="46">
        <f>+O29*K29-I29</f>
        <v>1398.2735737056209</v>
      </c>
      <c r="R29" s="55"/>
      <c r="S29"/>
      <c r="T29" s="264" t="s">
        <v>349</v>
      </c>
      <c r="U29" s="265"/>
    </row>
    <row r="30" spans="1:21" ht="15" x14ac:dyDescent="0.25">
      <c r="A30" s="15">
        <f t="shared" si="0"/>
        <v>23</v>
      </c>
      <c r="D30" s="34"/>
      <c r="E30" s="66"/>
      <c r="G30" s="34"/>
      <c r="H30" s="34"/>
      <c r="I30" s="34"/>
      <c r="J30" s="34"/>
      <c r="K30" s="44"/>
      <c r="L30" s="44"/>
      <c r="M30" s="35"/>
      <c r="N30" s="35"/>
      <c r="O30" s="35"/>
      <c r="Q30" s="34"/>
      <c r="S30"/>
      <c r="T30" s="210"/>
      <c r="U30" s="209"/>
    </row>
    <row r="31" spans="1:21" ht="15.75" thickBot="1" x14ac:dyDescent="0.3">
      <c r="A31" s="15">
        <f t="shared" si="0"/>
        <v>24</v>
      </c>
      <c r="B31" s="14" t="s">
        <v>19</v>
      </c>
      <c r="D31" s="48">
        <f>SUM(D10,D16,D21,D23,D25,D27,D29)</f>
        <v>10674740154.590946</v>
      </c>
      <c r="E31" s="67">
        <f>+D31/$D$35</f>
        <v>0.99967094258435674</v>
      </c>
      <c r="G31" s="48">
        <f>SUM(G10,G16,G21,G23,G25,G27,G29)</f>
        <v>41551528.95972985</v>
      </c>
      <c r="H31" s="48">
        <f>SUM(H10,H16,H21,H23,H25,H27,H29)</f>
        <v>14604223.776097121</v>
      </c>
      <c r="I31" s="48">
        <f>SUM(I10,I16,I21,I23,I25,I27,I29)</f>
        <v>56155752.735826969</v>
      </c>
      <c r="J31" s="48"/>
      <c r="K31" s="45">
        <f>SUM(K10,K16,K21,K23,K25,K27,K29)</f>
        <v>22556366000</v>
      </c>
      <c r="L31" s="43"/>
      <c r="M31" s="39">
        <f>ROUND(G31/$K31,6)</f>
        <v>1.8420000000000001E-3</v>
      </c>
      <c r="N31" s="39">
        <f>ROUND((H31)/$K31,6)</f>
        <v>6.4700000000000001E-4</v>
      </c>
      <c r="O31" s="39">
        <f>SUM(M31:N31)</f>
        <v>2.4889999999999999E-3</v>
      </c>
      <c r="Q31" s="48">
        <f>SUM(Q10,Q16,Q21,Q23,Q25,Q27,Q29)</f>
        <v>8119.2811730317917</v>
      </c>
      <c r="S31"/>
      <c r="T31" s="210"/>
      <c r="U31" s="209"/>
    </row>
    <row r="32" spans="1:21" ht="15.75" thickTop="1" x14ac:dyDescent="0.25">
      <c r="A32" s="15">
        <f t="shared" si="0"/>
        <v>25</v>
      </c>
      <c r="D32" s="16"/>
      <c r="E32" s="68"/>
      <c r="G32" s="16"/>
      <c r="H32" s="16"/>
      <c r="I32" s="16"/>
      <c r="J32" s="16"/>
      <c r="K32" s="32"/>
      <c r="L32" s="43"/>
      <c r="M32" s="59"/>
      <c r="N32" s="59"/>
      <c r="O32" s="59"/>
      <c r="Q32" s="16"/>
      <c r="S32"/>
      <c r="T32" s="210"/>
      <c r="U32" s="209"/>
    </row>
    <row r="33" spans="1:21" ht="15" x14ac:dyDescent="0.25">
      <c r="A33" s="15">
        <f t="shared" si="0"/>
        <v>26</v>
      </c>
      <c r="B33" s="14" t="s">
        <v>363</v>
      </c>
      <c r="D33" s="46">
        <v>3513758.6362680881</v>
      </c>
      <c r="E33" s="64">
        <f>+D33/$D$35</f>
        <v>3.2905741564316757E-4</v>
      </c>
      <c r="G33" s="46">
        <f>+E33*$G$37</f>
        <v>13677.339365455409</v>
      </c>
      <c r="H33" s="46">
        <f>+E33*$H$37</f>
        <v>4807.209981329931</v>
      </c>
      <c r="I33" s="46">
        <f>SUM(G33:H33)</f>
        <v>18484.549346785341</v>
      </c>
      <c r="J33" s="46"/>
      <c r="K33" s="42">
        <v>7435000</v>
      </c>
      <c r="L33" s="43"/>
      <c r="M33" s="37"/>
      <c r="N33" s="37"/>
      <c r="O33" s="37"/>
      <c r="Q33" s="46"/>
      <c r="R33" s="55"/>
      <c r="S33"/>
      <c r="T33" s="210"/>
      <c r="U33" s="209"/>
    </row>
    <row r="34" spans="1:21" ht="15" x14ac:dyDescent="0.25">
      <c r="A34" s="15">
        <f t="shared" si="0"/>
        <v>27</v>
      </c>
      <c r="D34" s="34"/>
      <c r="E34" s="66"/>
      <c r="G34" s="34"/>
      <c r="H34" s="34"/>
      <c r="I34" s="34"/>
      <c r="J34" s="34"/>
      <c r="K34" s="44"/>
      <c r="L34" s="44"/>
      <c r="M34" s="35"/>
      <c r="N34" s="35"/>
      <c r="O34" s="35"/>
      <c r="Q34" s="34"/>
      <c r="S34"/>
      <c r="T34" s="208"/>
      <c r="U34" s="209"/>
    </row>
    <row r="35" spans="1:21" ht="15.75" thickBot="1" x14ac:dyDescent="0.3">
      <c r="A35" s="15">
        <f t="shared" si="0"/>
        <v>28</v>
      </c>
      <c r="B35" s="14" t="s">
        <v>20</v>
      </c>
      <c r="D35" s="48">
        <f>SUM(D31,D33)</f>
        <v>10678253913.227215</v>
      </c>
      <c r="E35" s="67">
        <f>SUM(E31,E33)</f>
        <v>0.99999999999999989</v>
      </c>
      <c r="G35" s="48">
        <f>SUM(G31,G33)</f>
        <v>41565206.299095303</v>
      </c>
      <c r="H35" s="48">
        <f>SUM(H31,H33)</f>
        <v>14609030.98607845</v>
      </c>
      <c r="I35" s="48">
        <f>SUM(I31,I33)</f>
        <v>56174237.285173751</v>
      </c>
      <c r="J35" s="48"/>
      <c r="K35" s="45">
        <f>SUM(K31,K33)</f>
        <v>22563801000</v>
      </c>
      <c r="L35" s="43"/>
      <c r="M35" s="39">
        <f>ROUND(G35/$K35,6)</f>
        <v>1.8420000000000001E-3</v>
      </c>
      <c r="N35" s="39">
        <f>ROUND((H35)/$K35,6)</f>
        <v>6.4700000000000001E-4</v>
      </c>
      <c r="O35" s="39">
        <f>SUM(M35:N35)</f>
        <v>2.4889999999999999E-3</v>
      </c>
      <c r="P35" s="55"/>
      <c r="Q35" s="48">
        <f>SUM(Q31,Q33)</f>
        <v>8119.2811730317917</v>
      </c>
      <c r="R35" s="55"/>
      <c r="S35"/>
      <c r="T35" s="211"/>
      <c r="U35" s="212"/>
    </row>
    <row r="36" spans="1:21" ht="15.75" thickTop="1" x14ac:dyDescent="0.25">
      <c r="A36" s="15">
        <f t="shared" si="0"/>
        <v>29</v>
      </c>
      <c r="P36" s="56"/>
      <c r="R36" s="55"/>
      <c r="T36"/>
      <c r="U36"/>
    </row>
    <row r="37" spans="1:21" ht="15.75" thickBot="1" x14ac:dyDescent="0.3">
      <c r="A37" s="15">
        <f t="shared" si="0"/>
        <v>30</v>
      </c>
      <c r="B37" s="11" t="s">
        <v>67</v>
      </c>
      <c r="D37" s="34"/>
      <c r="G37" s="90">
        <v>41565206.299095303</v>
      </c>
      <c r="H37" s="90">
        <v>14609030.986078452</v>
      </c>
      <c r="I37" s="90">
        <f>SUM(G37:H37)</f>
        <v>56174237.285173759</v>
      </c>
      <c r="T37"/>
      <c r="U37"/>
    </row>
    <row r="38" spans="1:21" ht="15.75" thickTop="1" x14ac:dyDescent="0.25">
      <c r="G38" s="54" t="s">
        <v>5</v>
      </c>
      <c r="H38" s="54" t="s">
        <v>6</v>
      </c>
      <c r="T38"/>
      <c r="U38"/>
    </row>
  </sheetData>
  <mergeCells count="5">
    <mergeCell ref="A1:Q1"/>
    <mergeCell ref="A2:Q2"/>
    <mergeCell ref="A3:Q3"/>
    <mergeCell ref="T27:U27"/>
    <mergeCell ref="T29:U29"/>
  </mergeCells>
  <printOptions horizontalCentered="1"/>
  <pageMargins left="0.7" right="0.7" top="0.75" bottom="0.75" header="0.3" footer="0.3"/>
  <pageSetup scale="67" fitToHeight="0" orientation="landscape" r:id="rId1"/>
  <headerFooter alignWithMargins="0">
    <oddFooter xml:space="preserve">&amp;L&amp;F
&amp;A&amp;RPage &amp;P of &amp;N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3B38676409484480E6749546AD236E" ma:contentTypeVersion="20" ma:contentTypeDescription="" ma:contentTypeScope="" ma:versionID="7020cde12ab123fabe6db28dac2e5c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FBE499-3339-40E7-9148-9E4087F90C1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9709EDC-9C07-4E07-8B41-5BD8B2766670}"/>
</file>

<file path=customXml/itemProps3.xml><?xml version="1.0" encoding="utf-8"?>
<ds:datastoreItem xmlns:ds="http://schemas.openxmlformats.org/officeDocument/2006/customXml" ds:itemID="{F0F43ACC-A4D5-4924-96C9-7F19B6E56FE4}"/>
</file>

<file path=customXml/itemProps4.xml><?xml version="1.0" encoding="utf-8"?>
<ds:datastoreItem xmlns:ds="http://schemas.openxmlformats.org/officeDocument/2006/customXml" ds:itemID="{D3154271-8326-46E3-8502-5096CDF7771F}"/>
</file>

<file path=customXml/itemProps5.xml><?xml version="1.0" encoding="utf-8"?>
<ds:datastoreItem xmlns:ds="http://schemas.openxmlformats.org/officeDocument/2006/customXml" ds:itemID="{E7EEE62A-73EC-4C5E-B282-DE71FA359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2022 Prop Tax Rate Impacts</vt:lpstr>
      <vt:lpstr>DRAFT 2022 Prop Tax Rate Design</vt:lpstr>
      <vt:lpstr>Typical Res Customer Sch 140</vt:lpstr>
      <vt:lpstr>Sch 449-459 Rate Design</vt:lpstr>
      <vt:lpstr>Street &amp; Area Lighting</vt:lpstr>
      <vt:lpstr>2022 PRELIM Rev Req</vt:lpstr>
      <vt:lpstr>Projected Revenue on F2022</vt:lpstr>
      <vt:lpstr>UE-190529 Compliance PLR ECOS</vt:lpstr>
      <vt:lpstr>2021 Final Prop Tax Rate Design</vt:lpstr>
      <vt:lpstr>'2021 Final Prop Tax Rate Design'!Print_Area</vt:lpstr>
      <vt:lpstr>'2022 Prop Tax Rate Impacts'!Print_Area</vt:lpstr>
      <vt:lpstr>'DRAFT 2022 Prop Tax Rate Design'!Print_Area</vt:lpstr>
      <vt:lpstr>'Projected Revenue on F2022'!Print_Area</vt:lpstr>
      <vt:lpstr>'Sch 449-459 Rate Design'!Print_Area</vt:lpstr>
      <vt:lpstr>'Street &amp; Area Lighting'!Print_Area</vt:lpstr>
      <vt:lpstr>'Typical Res Customer Sch 140'!Print_Area</vt:lpstr>
      <vt:lpstr>'UE-190529 Compliance PLR ECOS'!Print_Area</vt:lpstr>
      <vt:lpstr>'Street &amp; Area Lighting'!Print_Titles</vt:lpstr>
      <vt:lpstr>'UE-190529 Compliance PLR ECOS'!Print_Titles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2021-03-15T17:22:18Z</cp:lastPrinted>
  <dcterms:created xsi:type="dcterms:W3CDTF">2014-04-04T17:25:38Z</dcterms:created>
  <dcterms:modified xsi:type="dcterms:W3CDTF">2022-03-30T21:30:43Z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0x0101006E56B4D1795A2E4DB2F0B01679ED314A005B3B38676409484480E6749546AD236E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